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ataScience\Python\Programs\I-learn-Python\Reference_to_Monobank\"/>
    </mc:Choice>
  </mc:AlternateContent>
  <bookViews>
    <workbookView xWindow="0" yWindow="0" windowWidth="23040" windowHeight="9192"/>
  </bookViews>
  <sheets>
    <sheet name="Reference" sheetId="2" r:id="rId1"/>
  </sheets>
  <definedNames>
    <definedName name="_xlnm._FilterDatabase" localSheetId="0" hidden="1">Reference!$A$1:$S$3562</definedName>
  </definedNames>
  <calcPr calcId="162913"/>
</workbook>
</file>

<file path=xl/calcChain.xml><?xml version="1.0" encoding="utf-8"?>
<calcChain xmlns="http://schemas.openxmlformats.org/spreadsheetml/2006/main">
  <c r="P1173" i="2" l="1"/>
  <c r="J1173" i="2"/>
  <c r="G1173" i="2"/>
  <c r="P1721" i="2"/>
  <c r="J1721" i="2"/>
  <c r="G1721" i="2"/>
  <c r="P305" i="2"/>
  <c r="J305" i="2"/>
  <c r="G305" i="2"/>
  <c r="P59" i="2"/>
  <c r="J59" i="2"/>
  <c r="G59" i="2"/>
  <c r="P1088" i="2"/>
  <c r="J1088" i="2"/>
  <c r="G1088" i="2"/>
  <c r="P1968" i="2"/>
  <c r="J1968" i="2"/>
  <c r="G1968" i="2"/>
  <c r="P2944" i="2"/>
  <c r="J2944" i="2"/>
  <c r="G2944" i="2"/>
  <c r="P2880" i="2"/>
  <c r="J2880" i="2"/>
  <c r="G2880" i="2"/>
  <c r="P2942" i="2"/>
  <c r="J2942" i="2"/>
  <c r="G2942" i="2"/>
  <c r="P2943" i="2"/>
  <c r="J2943" i="2"/>
  <c r="G2943" i="2"/>
  <c r="P242" i="2"/>
  <c r="J242" i="2"/>
  <c r="G242" i="2"/>
  <c r="P93" i="2"/>
  <c r="J93" i="2"/>
  <c r="G93" i="2"/>
  <c r="P1381" i="2"/>
  <c r="J1381" i="2"/>
  <c r="G1381" i="2"/>
  <c r="P1380" i="2"/>
  <c r="J1380" i="2"/>
  <c r="G1380" i="2"/>
  <c r="P199" i="2"/>
  <c r="J199" i="2"/>
  <c r="G199" i="2"/>
  <c r="P200" i="2"/>
  <c r="J200" i="2"/>
  <c r="G200" i="2"/>
  <c r="P1075" i="2"/>
  <c r="J1075" i="2"/>
  <c r="G1075" i="2"/>
  <c r="P1786" i="2"/>
  <c r="J1786" i="2"/>
  <c r="G1786" i="2"/>
  <c r="P945" i="2"/>
  <c r="J945" i="2"/>
  <c r="G945" i="2"/>
  <c r="P3380" i="2"/>
  <c r="J3380" i="2"/>
  <c r="G3380" i="2"/>
  <c r="P1787" i="2"/>
  <c r="J1787" i="2"/>
  <c r="G1787" i="2"/>
  <c r="P434" i="2"/>
  <c r="J434" i="2"/>
  <c r="G434" i="2"/>
  <c r="P2377" i="2"/>
  <c r="J2377" i="2"/>
  <c r="G2377" i="2"/>
  <c r="P912" i="2"/>
  <c r="J912" i="2"/>
  <c r="G912" i="2"/>
  <c r="P3549" i="2"/>
  <c r="J3549" i="2"/>
  <c r="G3549" i="2"/>
  <c r="P1387" i="2"/>
  <c r="J1387" i="2"/>
  <c r="G1387" i="2"/>
  <c r="P1395" i="2"/>
  <c r="J1395" i="2"/>
  <c r="G1395" i="2"/>
  <c r="P3244" i="2"/>
  <c r="J3244" i="2"/>
  <c r="G3244" i="2"/>
  <c r="P3243" i="2"/>
  <c r="J3243" i="2"/>
  <c r="G3243" i="2"/>
  <c r="P3464" i="2"/>
  <c r="J3464" i="2"/>
  <c r="G3464" i="2"/>
  <c r="P2333" i="2"/>
  <c r="J2333" i="2"/>
  <c r="G2333" i="2"/>
  <c r="P909" i="2"/>
  <c r="J909" i="2"/>
  <c r="G909" i="2"/>
  <c r="J2747" i="2"/>
  <c r="G2747" i="2"/>
  <c r="P1159" i="2"/>
  <c r="J1159" i="2"/>
  <c r="G1159" i="2"/>
  <c r="P1158" i="2"/>
  <c r="J1158" i="2"/>
  <c r="G1158" i="2"/>
  <c r="P2709" i="2"/>
  <c r="J2709" i="2"/>
  <c r="G2709" i="2"/>
  <c r="P3185" i="2"/>
  <c r="J3185" i="2"/>
  <c r="G3185" i="2"/>
  <c r="P2792" i="2"/>
  <c r="J2792" i="2"/>
  <c r="G2792" i="2"/>
  <c r="P2791" i="2"/>
  <c r="J2791" i="2"/>
  <c r="G2791" i="2"/>
  <c r="P1016" i="2"/>
  <c r="J1016" i="2"/>
  <c r="G1016" i="2"/>
  <c r="P1131" i="2"/>
  <c r="J1131" i="2"/>
  <c r="G1131" i="2"/>
  <c r="J2990" i="2"/>
  <c r="G2990" i="2"/>
  <c r="P2134" i="2"/>
  <c r="J2134" i="2"/>
  <c r="G2134" i="2"/>
  <c r="P1606" i="2"/>
  <c r="J1606" i="2"/>
  <c r="G1606" i="2"/>
  <c r="P2242" i="2"/>
  <c r="J2242" i="2"/>
  <c r="G2242" i="2"/>
  <c r="P246" i="2"/>
  <c r="J246" i="2"/>
  <c r="G246" i="2"/>
  <c r="P638" i="2"/>
  <c r="J638" i="2"/>
  <c r="G638" i="2"/>
  <c r="P619" i="2"/>
  <c r="J619" i="2"/>
  <c r="G619" i="2"/>
  <c r="P618" i="2"/>
  <c r="J618" i="2"/>
  <c r="G618" i="2"/>
  <c r="P949" i="2"/>
  <c r="J949" i="2"/>
  <c r="G949" i="2"/>
  <c r="P590" i="2"/>
  <c r="J590" i="2"/>
  <c r="G590" i="2"/>
  <c r="P1097" i="2"/>
  <c r="J1097" i="2"/>
  <c r="G1097" i="2"/>
  <c r="P591" i="2"/>
  <c r="J591" i="2"/>
  <c r="G591" i="2"/>
  <c r="P2772" i="2"/>
  <c r="J2772" i="2"/>
  <c r="G2772" i="2"/>
  <c r="P1588" i="2"/>
  <c r="J1588" i="2"/>
  <c r="G1588" i="2"/>
  <c r="P1197" i="2"/>
  <c r="J1197" i="2"/>
  <c r="G1197" i="2"/>
  <c r="P2234" i="2"/>
  <c r="J2234" i="2"/>
  <c r="G2234" i="2"/>
  <c r="P1745" i="2"/>
  <c r="J1745" i="2"/>
  <c r="G1745" i="2"/>
  <c r="P248" i="2"/>
  <c r="J248" i="2"/>
  <c r="G248" i="2"/>
  <c r="P2195" i="2"/>
  <c r="J2195" i="2"/>
  <c r="G2195" i="2"/>
  <c r="P1234" i="2"/>
  <c r="J1234" i="2"/>
  <c r="G1234" i="2"/>
  <c r="P2171" i="2"/>
  <c r="J2171" i="2"/>
  <c r="G2171" i="2"/>
  <c r="P2193" i="2"/>
  <c r="J2193" i="2"/>
  <c r="G2193" i="2"/>
  <c r="P217" i="2"/>
  <c r="J217" i="2"/>
  <c r="G217" i="2"/>
  <c r="P333" i="2"/>
  <c r="J333" i="2"/>
  <c r="G333" i="2"/>
  <c r="P2170" i="2"/>
  <c r="J2170" i="2"/>
  <c r="G2170" i="2"/>
  <c r="P1694" i="2"/>
  <c r="J1694" i="2"/>
  <c r="G1694" i="2"/>
  <c r="P130" i="2"/>
  <c r="J130" i="2"/>
  <c r="G130" i="2"/>
  <c r="P1693" i="2"/>
  <c r="J1693" i="2"/>
  <c r="G1693" i="2"/>
  <c r="P2751" i="2"/>
  <c r="J2751" i="2"/>
  <c r="G2751" i="2"/>
  <c r="P1287" i="2"/>
  <c r="J1287" i="2"/>
  <c r="G1287" i="2"/>
  <c r="P2307" i="2"/>
  <c r="J2307" i="2"/>
  <c r="G2307" i="2"/>
  <c r="P1692" i="2"/>
  <c r="J1692" i="2"/>
  <c r="G1692" i="2"/>
  <c r="P2241" i="2"/>
  <c r="J2241" i="2"/>
  <c r="G2241" i="2"/>
  <c r="P2194" i="2"/>
  <c r="J2194" i="2"/>
  <c r="G2194" i="2"/>
  <c r="P230" i="2"/>
  <c r="J230" i="2"/>
  <c r="G230" i="2"/>
  <c r="P2101" i="2"/>
  <c r="J2101" i="2"/>
  <c r="G2101" i="2"/>
  <c r="P2707" i="2"/>
  <c r="J2707" i="2"/>
  <c r="G2707" i="2"/>
  <c r="P2706" i="2"/>
  <c r="J2706" i="2"/>
  <c r="G2706" i="2"/>
  <c r="P1538" i="2"/>
  <c r="J1538" i="2"/>
  <c r="G1538" i="2"/>
  <c r="P818" i="2"/>
  <c r="J818" i="2"/>
  <c r="G818" i="2"/>
  <c r="P1206" i="2"/>
  <c r="J1206" i="2"/>
  <c r="G1206" i="2"/>
  <c r="P2180" i="2"/>
  <c r="J2180" i="2"/>
  <c r="G2180" i="2"/>
  <c r="P1191" i="2"/>
  <c r="J1191" i="2"/>
  <c r="G1191" i="2"/>
  <c r="P1048" i="2"/>
  <c r="J1048" i="2"/>
  <c r="G1048" i="2"/>
  <c r="P616" i="2"/>
  <c r="J616" i="2"/>
  <c r="G616" i="2"/>
  <c r="P2092" i="2"/>
  <c r="J2092" i="2"/>
  <c r="G2092" i="2"/>
  <c r="P2715" i="2"/>
  <c r="J2715" i="2"/>
  <c r="G2715" i="2"/>
  <c r="P1033" i="2"/>
  <c r="J1033" i="2"/>
  <c r="G1033" i="2"/>
  <c r="P2705" i="2"/>
  <c r="J2705" i="2"/>
  <c r="G2705" i="2"/>
  <c r="P2177" i="2"/>
  <c r="J2177" i="2"/>
  <c r="G2177" i="2"/>
  <c r="P605" i="2"/>
  <c r="J605" i="2"/>
  <c r="G605" i="2"/>
  <c r="P1636" i="2"/>
  <c r="J1636" i="2"/>
  <c r="G1636" i="2"/>
  <c r="P2704" i="2"/>
  <c r="J2704" i="2"/>
  <c r="G2704" i="2"/>
  <c r="P2501" i="2"/>
  <c r="J2501" i="2"/>
  <c r="G2501" i="2"/>
  <c r="P1238" i="2"/>
  <c r="J1238" i="2"/>
  <c r="G1238" i="2"/>
  <c r="P1632" i="2"/>
  <c r="J1632" i="2"/>
  <c r="G1632" i="2"/>
  <c r="P2471" i="2"/>
  <c r="J2471" i="2"/>
  <c r="G2471" i="2"/>
  <c r="J2991" i="2"/>
  <c r="G2991" i="2"/>
  <c r="P2243" i="2"/>
  <c r="J2243" i="2"/>
  <c r="G2243" i="2"/>
  <c r="P2035" i="2"/>
  <c r="J2035" i="2"/>
  <c r="G2035" i="2"/>
  <c r="P1553" i="2"/>
  <c r="J1553" i="2"/>
  <c r="G1553" i="2"/>
  <c r="P2299" i="2"/>
  <c r="J2299" i="2"/>
  <c r="G2299" i="2"/>
  <c r="P2279" i="2"/>
  <c r="J2279" i="2"/>
  <c r="G2279" i="2"/>
  <c r="P1120" i="2"/>
  <c r="J1120" i="2"/>
  <c r="G1120" i="2"/>
  <c r="P686" i="2"/>
  <c r="J686" i="2"/>
  <c r="G686" i="2"/>
  <c r="P956" i="2"/>
  <c r="J956" i="2"/>
  <c r="G956" i="2"/>
  <c r="P1298" i="2"/>
  <c r="J1298" i="2"/>
  <c r="G1298" i="2"/>
  <c r="P2107" i="2"/>
  <c r="J2107" i="2"/>
  <c r="G2107" i="2"/>
  <c r="P2517" i="2"/>
  <c r="J2517" i="2"/>
  <c r="G2517" i="2"/>
  <c r="P237" i="2"/>
  <c r="J237" i="2"/>
  <c r="G237" i="2"/>
  <c r="P1119" i="2"/>
  <c r="J1119" i="2"/>
  <c r="G1119" i="2"/>
  <c r="P958" i="2"/>
  <c r="J958" i="2"/>
  <c r="G958" i="2"/>
  <c r="P1185" i="2"/>
  <c r="J1185" i="2"/>
  <c r="G1185" i="2"/>
  <c r="P2259" i="2"/>
  <c r="J2259" i="2"/>
  <c r="G2259" i="2"/>
  <c r="P1261" i="2"/>
  <c r="J1261" i="2"/>
  <c r="G1261" i="2"/>
  <c r="P447" i="2"/>
  <c r="J447" i="2"/>
  <c r="G447" i="2"/>
  <c r="P946" i="2"/>
  <c r="J946" i="2"/>
  <c r="G946" i="2"/>
  <c r="P2778" i="2"/>
  <c r="J2778" i="2"/>
  <c r="G2778" i="2"/>
  <c r="P290" i="2"/>
  <c r="J290" i="2"/>
  <c r="G290" i="2"/>
  <c r="P3151" i="2"/>
  <c r="J3151" i="2"/>
  <c r="G3151" i="2"/>
  <c r="P2302" i="2"/>
  <c r="J2302" i="2"/>
  <c r="G2302" i="2"/>
  <c r="P1231" i="2"/>
  <c r="J1231" i="2"/>
  <c r="G1231" i="2"/>
  <c r="P947" i="2"/>
  <c r="J947" i="2"/>
  <c r="G947" i="2"/>
  <c r="P1182" i="2"/>
  <c r="J1182" i="2"/>
  <c r="G1182" i="2"/>
  <c r="P286" i="2"/>
  <c r="J286" i="2"/>
  <c r="G286" i="2"/>
  <c r="P948" i="2"/>
  <c r="J948" i="2"/>
  <c r="G948" i="2"/>
  <c r="P1184" i="2"/>
  <c r="J1184" i="2"/>
  <c r="G1184" i="2"/>
  <c r="P1899" i="2"/>
  <c r="J1899" i="2"/>
  <c r="G1899" i="2"/>
  <c r="P2277" i="2"/>
  <c r="J2277" i="2"/>
  <c r="G2277" i="2"/>
  <c r="P1183" i="2"/>
  <c r="J1183" i="2"/>
  <c r="G1183" i="2"/>
  <c r="P1113" i="2"/>
  <c r="J1113" i="2"/>
  <c r="G1113" i="2"/>
  <c r="P491" i="2"/>
  <c r="J491" i="2"/>
  <c r="G491" i="2"/>
  <c r="P1203" i="2"/>
  <c r="J1203" i="2"/>
  <c r="G1203" i="2"/>
  <c r="P1096" i="2"/>
  <c r="J1096" i="2"/>
  <c r="G1096" i="2"/>
  <c r="P52" i="2"/>
  <c r="J52" i="2"/>
  <c r="G52" i="2"/>
  <c r="P448" i="2"/>
  <c r="J448" i="2"/>
  <c r="G448" i="2"/>
  <c r="P965" i="2"/>
  <c r="J965" i="2"/>
  <c r="G965" i="2"/>
  <c r="P1998" i="2"/>
  <c r="J1998" i="2"/>
  <c r="G1998" i="2"/>
  <c r="P2215" i="2"/>
  <c r="J2215" i="2"/>
  <c r="G2215" i="2"/>
  <c r="P1372" i="2"/>
  <c r="J1372" i="2"/>
  <c r="G1372" i="2"/>
  <c r="P2461" i="2"/>
  <c r="J2461" i="2"/>
  <c r="G2461" i="2"/>
  <c r="P450" i="2"/>
  <c r="J450" i="2"/>
  <c r="G450" i="2"/>
  <c r="P2482" i="2"/>
  <c r="J2482" i="2"/>
  <c r="G2482" i="2"/>
  <c r="P1954" i="2"/>
  <c r="J1954" i="2"/>
  <c r="G1954" i="2"/>
  <c r="P1055" i="2"/>
  <c r="J1055" i="2"/>
  <c r="G1055" i="2"/>
  <c r="P3272" i="2"/>
  <c r="J3272" i="2"/>
  <c r="G3272" i="2"/>
  <c r="P3078" i="2"/>
  <c r="J3078" i="2"/>
  <c r="G3078" i="2"/>
  <c r="P3167" i="2"/>
  <c r="J3167" i="2"/>
  <c r="G3167" i="2"/>
  <c r="P1315" i="2"/>
  <c r="J1315" i="2"/>
  <c r="G1315" i="2"/>
  <c r="P2532" i="2"/>
  <c r="J2532" i="2"/>
  <c r="G2532" i="2"/>
  <c r="P235" i="2"/>
  <c r="J235" i="2"/>
  <c r="G235" i="2"/>
  <c r="P1931" i="2"/>
  <c r="J1931" i="2"/>
  <c r="G1931" i="2"/>
  <c r="P2934" i="2"/>
  <c r="J2934" i="2"/>
  <c r="G2934" i="2"/>
  <c r="P95" i="2"/>
  <c r="J95" i="2"/>
  <c r="G95" i="2"/>
  <c r="P1200" i="2"/>
  <c r="J1200" i="2"/>
  <c r="G1200" i="2"/>
  <c r="P1074" i="2"/>
  <c r="J1074" i="2"/>
  <c r="G1074" i="2"/>
  <c r="P2935" i="2"/>
  <c r="J2935" i="2"/>
  <c r="G2935" i="2"/>
  <c r="P1031" i="2"/>
  <c r="J1031" i="2"/>
  <c r="G1031" i="2"/>
  <c r="P2378" i="2"/>
  <c r="J2378" i="2"/>
  <c r="G2378" i="2"/>
  <c r="P1427" i="2"/>
  <c r="J1427" i="2"/>
  <c r="G1427" i="2"/>
  <c r="P1806" i="2"/>
  <c r="J1806" i="2"/>
  <c r="G1806" i="2"/>
  <c r="P3317" i="2"/>
  <c r="J3317" i="2"/>
  <c r="G3317" i="2"/>
  <c r="P2745" i="2"/>
  <c r="J2745" i="2"/>
  <c r="G2745" i="2"/>
  <c r="P3251" i="2"/>
  <c r="J3251" i="2"/>
  <c r="G3251" i="2"/>
  <c r="P274" i="2"/>
  <c r="J274" i="2"/>
  <c r="G274" i="2"/>
  <c r="J3002" i="2"/>
  <c r="G3002" i="2"/>
  <c r="P1519" i="2"/>
  <c r="J1519" i="2"/>
  <c r="G1519" i="2"/>
  <c r="P245" i="2"/>
  <c r="J245" i="2"/>
  <c r="G245" i="2"/>
  <c r="P346" i="2"/>
  <c r="J346" i="2"/>
  <c r="G346" i="2"/>
  <c r="P148" i="2"/>
  <c r="J148" i="2"/>
  <c r="G148" i="2"/>
  <c r="P2270" i="2"/>
  <c r="J2270" i="2"/>
  <c r="G2270" i="2"/>
  <c r="P2175" i="2"/>
  <c r="J2175" i="2"/>
  <c r="G2175" i="2"/>
  <c r="P2280" i="2"/>
  <c r="J2280" i="2"/>
  <c r="G2280" i="2"/>
  <c r="P2743" i="2"/>
  <c r="J2743" i="2"/>
  <c r="G2743" i="2"/>
  <c r="P2181" i="2"/>
  <c r="J2181" i="2"/>
  <c r="G2181" i="2"/>
  <c r="P275" i="2"/>
  <c r="J275" i="2"/>
  <c r="G275" i="2"/>
  <c r="P2394" i="2"/>
  <c r="J2394" i="2"/>
  <c r="G2394" i="2"/>
  <c r="P2113" i="2"/>
  <c r="J2113" i="2"/>
  <c r="G2113" i="2"/>
  <c r="P2742" i="2"/>
  <c r="J2742" i="2"/>
  <c r="G2742" i="2"/>
  <c r="P940" i="2"/>
  <c r="J940" i="2"/>
  <c r="G940" i="2"/>
  <c r="P62" i="2"/>
  <c r="J62" i="2"/>
  <c r="G62" i="2"/>
  <c r="P2719" i="2"/>
  <c r="J2719" i="2"/>
  <c r="G2719" i="2"/>
  <c r="P331" i="2"/>
  <c r="J331" i="2"/>
  <c r="G331" i="2"/>
  <c r="P1318" i="2"/>
  <c r="J1318" i="2"/>
  <c r="G1318" i="2"/>
  <c r="P2289" i="2"/>
  <c r="J2289" i="2"/>
  <c r="G2289" i="2"/>
  <c r="P1317" i="2"/>
  <c r="J1317" i="2"/>
  <c r="G1317" i="2"/>
  <c r="P1268" i="2"/>
  <c r="J1268" i="2"/>
  <c r="G1268" i="2"/>
  <c r="P1987" i="2"/>
  <c r="J1987" i="2"/>
  <c r="G1987" i="2"/>
  <c r="P2914" i="2"/>
  <c r="J2914" i="2"/>
  <c r="G2914" i="2"/>
  <c r="P2913" i="2"/>
  <c r="J2913" i="2"/>
  <c r="G2913" i="2"/>
  <c r="P2912" i="2"/>
  <c r="J2912" i="2"/>
  <c r="G2912" i="2"/>
  <c r="P2654" i="2"/>
  <c r="J2654" i="2"/>
  <c r="G2654" i="2"/>
  <c r="P3313" i="2"/>
  <c r="J3313" i="2"/>
  <c r="G3313" i="2"/>
  <c r="P3556" i="2"/>
  <c r="J3556" i="2"/>
  <c r="G3556" i="2"/>
  <c r="P2723" i="2"/>
  <c r="J2723" i="2"/>
  <c r="G2723" i="2"/>
  <c r="P2578" i="2"/>
  <c r="J2578" i="2"/>
  <c r="G2578" i="2"/>
  <c r="P2633" i="2"/>
  <c r="J2633" i="2"/>
  <c r="G2633" i="2"/>
  <c r="P2728" i="2"/>
  <c r="J2728" i="2"/>
  <c r="G2728" i="2"/>
  <c r="P2122" i="2"/>
  <c r="J2122" i="2"/>
  <c r="G2122" i="2"/>
  <c r="P3209" i="2"/>
  <c r="J3209" i="2"/>
  <c r="G3209" i="2"/>
  <c r="P2699" i="2"/>
  <c r="J2699" i="2"/>
  <c r="G2699" i="2"/>
  <c r="P304" i="2"/>
  <c r="J304" i="2"/>
  <c r="G304" i="2"/>
  <c r="P1959" i="2"/>
  <c r="J1959" i="2"/>
  <c r="G1959" i="2"/>
  <c r="P60" i="2"/>
  <c r="J60" i="2"/>
  <c r="G60" i="2"/>
  <c r="P3280" i="2"/>
  <c r="J3280" i="2"/>
  <c r="G3280" i="2"/>
  <c r="P1586" i="2"/>
  <c r="J1586" i="2"/>
  <c r="G1586" i="2"/>
  <c r="P1938" i="2"/>
  <c r="J1938" i="2"/>
  <c r="G1938" i="2"/>
  <c r="P2106" i="2"/>
  <c r="J2106" i="2"/>
  <c r="G2106" i="2"/>
  <c r="P1181" i="2"/>
  <c r="J1181" i="2"/>
  <c r="G1181" i="2"/>
  <c r="P1335" i="2"/>
  <c r="J1335" i="2"/>
  <c r="G1335" i="2"/>
  <c r="P2533" i="2"/>
  <c r="J2533" i="2"/>
  <c r="G2533" i="2"/>
  <c r="P3441" i="2"/>
  <c r="J3441" i="2"/>
  <c r="G3441" i="2"/>
  <c r="P1527" i="2"/>
  <c r="J1527" i="2"/>
  <c r="G1527" i="2"/>
  <c r="P2780" i="2"/>
  <c r="J2780" i="2"/>
  <c r="G2780" i="2"/>
  <c r="P1552" i="2"/>
  <c r="J1552" i="2"/>
  <c r="G1552" i="2"/>
  <c r="J2993" i="2"/>
  <c r="G2993" i="2"/>
  <c r="P3481" i="2"/>
  <c r="J3481" i="2"/>
  <c r="G3481" i="2"/>
  <c r="P2384" i="2"/>
  <c r="J2384" i="2"/>
  <c r="G2384" i="2"/>
  <c r="P3482" i="2"/>
  <c r="J3482" i="2"/>
  <c r="G3482" i="2"/>
  <c r="P1046" i="2"/>
  <c r="J1046" i="2"/>
  <c r="G1046" i="2"/>
  <c r="P3484" i="2"/>
  <c r="J3484" i="2"/>
  <c r="G3484" i="2"/>
  <c r="P3480" i="2"/>
  <c r="J3480" i="2"/>
  <c r="G3480" i="2"/>
  <c r="P929" i="2"/>
  <c r="J929" i="2"/>
  <c r="G929" i="2"/>
  <c r="P3483" i="2"/>
  <c r="J3483" i="2"/>
  <c r="G3483" i="2"/>
  <c r="P2034" i="2"/>
  <c r="J2034" i="2"/>
  <c r="G2034" i="2"/>
  <c r="P1675" i="2"/>
  <c r="J1675" i="2"/>
  <c r="G1675" i="2"/>
  <c r="P829" i="2"/>
  <c r="J829" i="2"/>
  <c r="G829" i="2"/>
  <c r="P3485" i="2"/>
  <c r="J3485" i="2"/>
  <c r="G3485" i="2"/>
  <c r="P695" i="2"/>
  <c r="J695" i="2"/>
  <c r="G695" i="2"/>
  <c r="P2123" i="2"/>
  <c r="J2123" i="2"/>
  <c r="G2123" i="2"/>
  <c r="P1422" i="2"/>
  <c r="J1422" i="2"/>
  <c r="G1422" i="2"/>
  <c r="P3524" i="2"/>
  <c r="J3524" i="2"/>
  <c r="G3524" i="2"/>
  <c r="P2774" i="2"/>
  <c r="J2774" i="2"/>
  <c r="G2774" i="2"/>
  <c r="P2775" i="2"/>
  <c r="J2775" i="2"/>
  <c r="G2775" i="2"/>
  <c r="P918" i="2"/>
  <c r="J918" i="2"/>
  <c r="G918" i="2"/>
  <c r="P3558" i="2"/>
  <c r="J3558" i="2"/>
  <c r="G3558" i="2"/>
  <c r="P711" i="2"/>
  <c r="J711" i="2"/>
  <c r="G711" i="2"/>
  <c r="P2918" i="2"/>
  <c r="J2918" i="2"/>
  <c r="G2918" i="2"/>
  <c r="P2917" i="2"/>
  <c r="J2917" i="2"/>
  <c r="G2917" i="2"/>
  <c r="P920" i="2"/>
  <c r="J920" i="2"/>
  <c r="G920" i="2"/>
  <c r="P2697" i="2"/>
  <c r="J2697" i="2"/>
  <c r="G2697" i="2"/>
  <c r="P2396" i="2"/>
  <c r="J2396" i="2"/>
  <c r="G2396" i="2"/>
  <c r="P728" i="2"/>
  <c r="J728" i="2"/>
  <c r="G728" i="2"/>
  <c r="P3125" i="2"/>
  <c r="J3125" i="2"/>
  <c r="G3125" i="2"/>
  <c r="P2373" i="2"/>
  <c r="J2373" i="2"/>
  <c r="G2373" i="2"/>
  <c r="P430" i="2"/>
  <c r="J430" i="2"/>
  <c r="G430" i="2"/>
  <c r="P219" i="2"/>
  <c r="J219" i="2"/>
  <c r="G219" i="2"/>
  <c r="P2219" i="2"/>
  <c r="J2219" i="2"/>
  <c r="G2219" i="2"/>
  <c r="P431" i="2"/>
  <c r="J431" i="2"/>
  <c r="G431" i="2"/>
  <c r="P2385" i="2"/>
  <c r="J2385" i="2"/>
  <c r="G2385" i="2"/>
  <c r="P457" i="2"/>
  <c r="J457" i="2"/>
  <c r="G457" i="2"/>
  <c r="P2212" i="2"/>
  <c r="J2212" i="2"/>
  <c r="G2212" i="2"/>
  <c r="P2164" i="2"/>
  <c r="J2164" i="2"/>
  <c r="G2164" i="2"/>
  <c r="P3417" i="2"/>
  <c r="J3417" i="2"/>
  <c r="G3417" i="2"/>
  <c r="P2741" i="2"/>
  <c r="J2741" i="2"/>
  <c r="G2741" i="2"/>
  <c r="P429" i="2"/>
  <c r="J429" i="2"/>
  <c r="G429" i="2"/>
  <c r="P2218" i="2"/>
  <c r="J2218" i="2"/>
  <c r="G2218" i="2"/>
  <c r="P458" i="2"/>
  <c r="J458" i="2"/>
  <c r="G458" i="2"/>
  <c r="P3476" i="2"/>
  <c r="J3476" i="2"/>
  <c r="G3476" i="2"/>
  <c r="P1160" i="2"/>
  <c r="J1160" i="2"/>
  <c r="G1160" i="2"/>
  <c r="P3477" i="2"/>
  <c r="J3477" i="2"/>
  <c r="G3477" i="2"/>
  <c r="J3019" i="2"/>
  <c r="G3019" i="2"/>
  <c r="P2790" i="2"/>
  <c r="J2790" i="2"/>
  <c r="G2790" i="2"/>
  <c r="P2710" i="2"/>
  <c r="J2710" i="2"/>
  <c r="G2710" i="2"/>
  <c r="P2293" i="2"/>
  <c r="J2293" i="2"/>
  <c r="G2293" i="2"/>
  <c r="P3127" i="2"/>
  <c r="J3127" i="2"/>
  <c r="G3127" i="2"/>
  <c r="P1260" i="2"/>
  <c r="J1260" i="2"/>
  <c r="G1260" i="2"/>
  <c r="P1259" i="2"/>
  <c r="J1259" i="2"/>
  <c r="G1259" i="2"/>
  <c r="P1711" i="2"/>
  <c r="J1711" i="2"/>
  <c r="G1711" i="2"/>
  <c r="P255" i="2"/>
  <c r="J255" i="2"/>
  <c r="G255" i="2"/>
  <c r="P1851" i="2"/>
  <c r="J1851" i="2"/>
  <c r="G1851" i="2"/>
  <c r="P2300" i="2"/>
  <c r="J2300" i="2"/>
  <c r="G2300" i="2"/>
  <c r="P930" i="2"/>
  <c r="J930" i="2"/>
  <c r="G930" i="2"/>
  <c r="P1488" i="2"/>
  <c r="J1488" i="2"/>
  <c r="G1488" i="2"/>
  <c r="P917" i="2"/>
  <c r="J917" i="2"/>
  <c r="G917" i="2"/>
  <c r="P3098" i="2"/>
  <c r="J3098" i="2"/>
  <c r="G3098" i="2"/>
  <c r="P604" i="2"/>
  <c r="J604" i="2"/>
  <c r="G604" i="2"/>
  <c r="P3299" i="2"/>
  <c r="J3299" i="2"/>
  <c r="G3299" i="2"/>
  <c r="P3298" i="2"/>
  <c r="J3298" i="2"/>
  <c r="G3298" i="2"/>
  <c r="P1316" i="2"/>
  <c r="J1316" i="2"/>
  <c r="G1316" i="2"/>
  <c r="P496" i="2"/>
  <c r="J496" i="2"/>
  <c r="G496" i="2"/>
  <c r="P2281" i="2"/>
  <c r="J2281" i="2"/>
  <c r="G2281" i="2"/>
  <c r="P1896" i="2"/>
  <c r="J1896" i="2"/>
  <c r="G1896" i="2"/>
  <c r="P1897" i="2"/>
  <c r="J1897" i="2"/>
  <c r="G1897" i="2"/>
  <c r="P1192" i="2"/>
  <c r="J1192" i="2"/>
  <c r="G1192" i="2"/>
  <c r="P1194" i="2"/>
  <c r="J1194" i="2"/>
  <c r="G1194" i="2"/>
  <c r="P2157" i="2"/>
  <c r="J2157" i="2"/>
  <c r="G2157" i="2"/>
  <c r="P2255" i="2"/>
  <c r="J2255" i="2"/>
  <c r="G2255" i="2"/>
  <c r="P1593" i="2"/>
  <c r="J1593" i="2"/>
  <c r="G1593" i="2"/>
  <c r="P1563" i="2"/>
  <c r="J1563" i="2"/>
  <c r="G1563" i="2"/>
  <c r="P3433" i="2"/>
  <c r="J3433" i="2"/>
  <c r="G3433" i="2"/>
  <c r="P3263" i="2"/>
  <c r="J3263" i="2"/>
  <c r="G3263" i="2"/>
  <c r="P656" i="2"/>
  <c r="J656" i="2"/>
  <c r="G656" i="2"/>
  <c r="P2283" i="2"/>
  <c r="J2283" i="2"/>
  <c r="G2283" i="2"/>
  <c r="P2733" i="2"/>
  <c r="J2733" i="2"/>
  <c r="G2733" i="2"/>
  <c r="P2117" i="2"/>
  <c r="J2117" i="2"/>
  <c r="G2117" i="2"/>
  <c r="P311" i="2"/>
  <c r="J311" i="2"/>
  <c r="G311" i="2"/>
  <c r="P2393" i="2"/>
  <c r="J2393" i="2"/>
  <c r="G2393" i="2"/>
  <c r="P1398" i="2"/>
  <c r="J1398" i="2"/>
  <c r="G1398" i="2"/>
  <c r="P2272" i="2"/>
  <c r="J2272" i="2"/>
  <c r="G2272" i="2"/>
  <c r="P1336" i="2"/>
  <c r="J1336" i="2"/>
  <c r="G1336" i="2"/>
  <c r="P2392" i="2"/>
  <c r="J2392" i="2"/>
  <c r="G2392" i="2"/>
  <c r="P919" i="2"/>
  <c r="J919" i="2"/>
  <c r="G919" i="2"/>
  <c r="P921" i="2"/>
  <c r="J921" i="2"/>
  <c r="G921" i="2"/>
  <c r="P1561" i="2"/>
  <c r="J1561" i="2"/>
  <c r="G1561" i="2"/>
  <c r="P2116" i="2"/>
  <c r="J2116" i="2"/>
  <c r="G2116" i="2"/>
  <c r="P811" i="2"/>
  <c r="J811" i="2"/>
  <c r="G811" i="2"/>
  <c r="P2343" i="2"/>
  <c r="J2343" i="2"/>
  <c r="G2343" i="2"/>
  <c r="P2722" i="2"/>
  <c r="J2722" i="2"/>
  <c r="G2722" i="2"/>
  <c r="P1560" i="2"/>
  <c r="J1560" i="2"/>
  <c r="G1560" i="2"/>
  <c r="P928" i="2"/>
  <c r="J928" i="2"/>
  <c r="G928" i="2"/>
  <c r="P1747" i="2"/>
  <c r="J1747" i="2"/>
  <c r="G1747" i="2"/>
  <c r="P915" i="2"/>
  <c r="J915" i="2"/>
  <c r="G915" i="2"/>
  <c r="P1582" i="2"/>
  <c r="J1582" i="2"/>
  <c r="G1582" i="2"/>
  <c r="P916" i="2"/>
  <c r="J916" i="2"/>
  <c r="G916" i="2"/>
  <c r="P923" i="2"/>
  <c r="J923" i="2"/>
  <c r="G923" i="2"/>
  <c r="P2736" i="2"/>
  <c r="J2736" i="2"/>
  <c r="G2736" i="2"/>
  <c r="P116" i="2"/>
  <c r="J116" i="2"/>
  <c r="G116" i="2"/>
  <c r="P1575" i="2"/>
  <c r="J1575" i="2"/>
  <c r="G1575" i="2"/>
  <c r="P1193" i="2"/>
  <c r="J1193" i="2"/>
  <c r="G1193" i="2"/>
  <c r="P1484" i="2"/>
  <c r="J1484" i="2"/>
  <c r="G1484" i="2"/>
  <c r="P1543" i="2"/>
  <c r="J1543" i="2"/>
  <c r="G1543" i="2"/>
  <c r="P2700" i="2"/>
  <c r="J2700" i="2"/>
  <c r="G2700" i="2"/>
  <c r="P1320" i="2"/>
  <c r="J1320" i="2"/>
  <c r="G1320" i="2"/>
  <c r="P810" i="2"/>
  <c r="J810" i="2"/>
  <c r="G810" i="2"/>
  <c r="P1544" i="2"/>
  <c r="J1544" i="2"/>
  <c r="G1544" i="2"/>
  <c r="P2721" i="2"/>
  <c r="J2721" i="2"/>
  <c r="G2721" i="2"/>
  <c r="P2208" i="2"/>
  <c r="J2208" i="2"/>
  <c r="G2208" i="2"/>
  <c r="P3072" i="2"/>
  <c r="J3072" i="2"/>
  <c r="G3072" i="2"/>
  <c r="P1212" i="2"/>
  <c r="J1212" i="2"/>
  <c r="G1212" i="2"/>
  <c r="P112" i="2"/>
  <c r="J112" i="2"/>
  <c r="G112" i="2"/>
  <c r="P922" i="2"/>
  <c r="J922" i="2"/>
  <c r="G922" i="2"/>
  <c r="P963" i="2"/>
  <c r="J963" i="2"/>
  <c r="G963" i="2"/>
  <c r="P2530" i="2"/>
  <c r="J2530" i="2"/>
  <c r="G2530" i="2"/>
  <c r="P2777" i="2"/>
  <c r="J2777" i="2"/>
  <c r="G2777" i="2"/>
  <c r="P1266" i="2"/>
  <c r="J1266" i="2"/>
  <c r="G1266" i="2"/>
  <c r="P2334" i="2"/>
  <c r="J2334" i="2"/>
  <c r="G2334" i="2"/>
  <c r="P1057" i="2"/>
  <c r="J1057" i="2"/>
  <c r="G1057" i="2"/>
  <c r="P2290" i="2"/>
  <c r="J2290" i="2"/>
  <c r="G2290" i="2"/>
  <c r="P1788" i="2"/>
  <c r="J1788" i="2"/>
  <c r="G1788" i="2"/>
  <c r="P955" i="2"/>
  <c r="J955" i="2"/>
  <c r="G955" i="2"/>
  <c r="P1056" i="2"/>
  <c r="J1056" i="2"/>
  <c r="G1056" i="2"/>
  <c r="P514" i="2"/>
  <c r="J514" i="2"/>
  <c r="G514" i="2"/>
  <c r="P1161" i="2"/>
  <c r="J1161" i="2"/>
  <c r="G1161" i="2"/>
  <c r="P2624" i="2"/>
  <c r="J2624" i="2"/>
  <c r="G2624" i="2"/>
  <c r="P821" i="2"/>
  <c r="J821" i="2"/>
  <c r="G821" i="2"/>
  <c r="P1856" i="2"/>
  <c r="J1856" i="2"/>
  <c r="G1856" i="2"/>
  <c r="J3045" i="2"/>
  <c r="G3045" i="2"/>
  <c r="P3115" i="2"/>
  <c r="J3115" i="2"/>
  <c r="G3115" i="2"/>
  <c r="P2890" i="2"/>
  <c r="J2890" i="2"/>
  <c r="G2890" i="2"/>
  <c r="P2476" i="2"/>
  <c r="J2476" i="2"/>
  <c r="G2476" i="2"/>
  <c r="P54" i="2"/>
  <c r="J54" i="2"/>
  <c r="G54" i="2"/>
  <c r="P2547" i="2"/>
  <c r="J2547" i="2"/>
  <c r="G2547" i="2"/>
  <c r="P3114" i="2"/>
  <c r="J3114" i="2"/>
  <c r="G3114" i="2"/>
  <c r="P1211" i="2"/>
  <c r="J1211" i="2"/>
  <c r="G1211" i="2"/>
  <c r="P3052" i="2"/>
  <c r="J3052" i="2"/>
  <c r="G3052" i="2"/>
  <c r="P2475" i="2"/>
  <c r="J2475" i="2"/>
  <c r="G2475" i="2"/>
  <c r="P2696" i="2"/>
  <c r="J2696" i="2"/>
  <c r="G2696" i="2"/>
  <c r="P403" i="2"/>
  <c r="J403" i="2"/>
  <c r="G403" i="2"/>
  <c r="P3316" i="2"/>
  <c r="J3316" i="2"/>
  <c r="G3316" i="2"/>
  <c r="P3113" i="2"/>
  <c r="J3113" i="2"/>
  <c r="G3113" i="2"/>
  <c r="P2016" i="2"/>
  <c r="J2016" i="2"/>
  <c r="G2016" i="2"/>
  <c r="P2524" i="2"/>
  <c r="J2524" i="2"/>
  <c r="G2524" i="2"/>
  <c r="P260" i="2"/>
  <c r="J260" i="2"/>
  <c r="G260" i="2"/>
  <c r="P1644" i="2"/>
  <c r="J1644" i="2"/>
  <c r="G1644" i="2"/>
  <c r="P1643" i="2"/>
  <c r="J1643" i="2"/>
  <c r="G1643" i="2"/>
  <c r="P2545" i="2"/>
  <c r="J2545" i="2"/>
  <c r="G2545" i="2"/>
  <c r="P957" i="2"/>
  <c r="J957" i="2"/>
  <c r="G957" i="2"/>
  <c r="P2522" i="2"/>
  <c r="J2522" i="2"/>
  <c r="G2522" i="2"/>
  <c r="P2429" i="2"/>
  <c r="J2429" i="2"/>
  <c r="G2429" i="2"/>
  <c r="P57" i="2"/>
  <c r="J57" i="2"/>
  <c r="G57" i="2"/>
  <c r="P2725" i="2"/>
  <c r="J2725" i="2"/>
  <c r="G2725" i="2"/>
  <c r="P2724" i="2"/>
  <c r="J2724" i="2"/>
  <c r="G2724" i="2"/>
  <c r="P202" i="2"/>
  <c r="J202" i="2"/>
  <c r="G202" i="2"/>
  <c r="P454" i="2"/>
  <c r="J454" i="2"/>
  <c r="G454" i="2"/>
  <c r="P3170" i="2"/>
  <c r="J3170" i="2"/>
  <c r="G3170" i="2"/>
  <c r="P2284" i="2"/>
  <c r="J2284" i="2"/>
  <c r="G2284" i="2"/>
  <c r="P75" i="2"/>
  <c r="J75" i="2"/>
  <c r="G75" i="2"/>
  <c r="P1319" i="2"/>
  <c r="J1319" i="2"/>
  <c r="G1319" i="2"/>
  <c r="P225" i="2"/>
  <c r="J225" i="2"/>
  <c r="G225" i="2"/>
  <c r="P2617" i="2"/>
  <c r="J2617" i="2"/>
  <c r="G2617" i="2"/>
  <c r="P3261" i="2"/>
  <c r="J3261" i="2"/>
  <c r="G3261" i="2"/>
  <c r="P502" i="2"/>
  <c r="J502" i="2"/>
  <c r="G502" i="2"/>
  <c r="P3401" i="2"/>
  <c r="J3401" i="2"/>
  <c r="G3401" i="2"/>
  <c r="P589" i="2"/>
  <c r="J589" i="2"/>
  <c r="G589" i="2"/>
  <c r="P1423" i="2"/>
  <c r="J1423" i="2"/>
  <c r="G1423" i="2"/>
  <c r="P2120" i="2"/>
  <c r="J2120" i="2"/>
  <c r="G2120" i="2"/>
  <c r="P697" i="2"/>
  <c r="J697" i="2"/>
  <c r="G697" i="2"/>
  <c r="P2691" i="2"/>
  <c r="J2691" i="2"/>
  <c r="G2691" i="2"/>
  <c r="P2690" i="2"/>
  <c r="J2690" i="2"/>
  <c r="G2690" i="2"/>
  <c r="P2689" i="2"/>
  <c r="J2689" i="2"/>
  <c r="G2689" i="2"/>
  <c r="P2688" i="2"/>
  <c r="J2688" i="2"/>
  <c r="G2688" i="2"/>
  <c r="P2687" i="2"/>
  <c r="J2687" i="2"/>
  <c r="G2687" i="2"/>
  <c r="P2686" i="2"/>
  <c r="J2686" i="2"/>
  <c r="G2686" i="2"/>
  <c r="P2685" i="2"/>
  <c r="J2685" i="2"/>
  <c r="G2685" i="2"/>
  <c r="P2684" i="2"/>
  <c r="J2684" i="2"/>
  <c r="G2684" i="2"/>
  <c r="P2683" i="2"/>
  <c r="J2683" i="2"/>
  <c r="G2683" i="2"/>
  <c r="P2718" i="2"/>
  <c r="J2718" i="2"/>
  <c r="G2718" i="2"/>
  <c r="P2335" i="2"/>
  <c r="J2335" i="2"/>
  <c r="G2335" i="2"/>
  <c r="P2717" i="2"/>
  <c r="J2717" i="2"/>
  <c r="G2717" i="2"/>
  <c r="P2744" i="2"/>
  <c r="J2744" i="2"/>
  <c r="G2744" i="2"/>
  <c r="P1842" i="2"/>
  <c r="J1842" i="2"/>
  <c r="G1842" i="2"/>
  <c r="P2350" i="2"/>
  <c r="J2350" i="2"/>
  <c r="G2350" i="2"/>
  <c r="P1611" i="2"/>
  <c r="J1611" i="2"/>
  <c r="G1611" i="2"/>
  <c r="P1609" i="2"/>
  <c r="J1609" i="2"/>
  <c r="G1609" i="2"/>
  <c r="P1608" i="2"/>
  <c r="J1608" i="2"/>
  <c r="G1608" i="2"/>
  <c r="P1607" i="2"/>
  <c r="J1607" i="2"/>
  <c r="G1607" i="2"/>
  <c r="P363" i="2"/>
  <c r="J363" i="2"/>
  <c r="G363" i="2"/>
  <c r="P2240" i="2"/>
  <c r="J2240" i="2"/>
  <c r="G2240" i="2"/>
  <c r="P180" i="2"/>
  <c r="J180" i="2"/>
  <c r="G180" i="2"/>
  <c r="P3399" i="2"/>
  <c r="J3399" i="2"/>
  <c r="G3399" i="2"/>
  <c r="P2197" i="2"/>
  <c r="J2197" i="2"/>
  <c r="G2197" i="2"/>
  <c r="P2351" i="2"/>
  <c r="J2351" i="2"/>
  <c r="G2351" i="2"/>
  <c r="P489" i="2"/>
  <c r="J489" i="2"/>
  <c r="G489" i="2"/>
  <c r="P2395" i="2"/>
  <c r="J2395" i="2"/>
  <c r="G2395" i="2"/>
  <c r="P1628" i="2"/>
  <c r="J1628" i="2"/>
  <c r="G1628" i="2"/>
  <c r="P2677" i="2"/>
  <c r="J2677" i="2"/>
  <c r="G2677" i="2"/>
  <c r="P2678" i="2"/>
  <c r="J2678" i="2"/>
  <c r="G2678" i="2"/>
  <c r="P2671" i="2"/>
  <c r="J2671" i="2"/>
  <c r="G2671" i="2"/>
  <c r="P2397" i="2"/>
  <c r="J2397" i="2"/>
  <c r="G2397" i="2"/>
  <c r="P2301" i="2"/>
  <c r="J2301" i="2"/>
  <c r="G2301" i="2"/>
  <c r="P497" i="2"/>
  <c r="J497" i="2"/>
  <c r="G497" i="2"/>
  <c r="P321" i="2"/>
  <c r="J321" i="2"/>
  <c r="G321" i="2"/>
  <c r="P2211" i="2"/>
  <c r="J2211" i="2"/>
  <c r="G2211" i="2"/>
  <c r="P1845" i="2"/>
  <c r="J1845" i="2"/>
  <c r="G1845" i="2"/>
  <c r="P3350" i="2"/>
  <c r="J3350" i="2"/>
  <c r="G3350" i="2"/>
  <c r="P2785" i="2"/>
  <c r="J2785" i="2"/>
  <c r="G2785" i="2"/>
  <c r="P446" i="2"/>
  <c r="J446" i="2"/>
  <c r="G446" i="2"/>
  <c r="P2495" i="2"/>
  <c r="J2495" i="2"/>
  <c r="G2495" i="2"/>
  <c r="P2131" i="2"/>
  <c r="J2131" i="2"/>
  <c r="G2131" i="2"/>
  <c r="P2437" i="2"/>
  <c r="J2437" i="2"/>
  <c r="G2437" i="2"/>
  <c r="P67" i="2"/>
  <c r="J67" i="2"/>
  <c r="G67" i="2"/>
  <c r="P2891" i="2"/>
  <c r="J2891" i="2"/>
  <c r="G2891" i="2"/>
  <c r="P3513" i="2"/>
  <c r="J3513" i="2"/>
  <c r="G3513" i="2"/>
  <c r="P3472" i="2"/>
  <c r="J3472" i="2"/>
  <c r="G3472" i="2"/>
  <c r="P746" i="2"/>
  <c r="J746" i="2"/>
  <c r="G746" i="2"/>
  <c r="P2911" i="2"/>
  <c r="J2911" i="2"/>
  <c r="G2911" i="2"/>
  <c r="P1050" i="2"/>
  <c r="J1050" i="2"/>
  <c r="G1050" i="2"/>
  <c r="P2235" i="2"/>
  <c r="J2235" i="2"/>
  <c r="G2235" i="2"/>
  <c r="P1157" i="2"/>
  <c r="J1157" i="2"/>
  <c r="G1157" i="2"/>
  <c r="P2783" i="2"/>
  <c r="J2783" i="2"/>
  <c r="G2783" i="2"/>
  <c r="P873" i="2"/>
  <c r="J873" i="2"/>
  <c r="G873" i="2"/>
  <c r="P103" i="2"/>
  <c r="J103" i="2"/>
  <c r="G103" i="2"/>
  <c r="P1610" i="2"/>
  <c r="J1610" i="2"/>
  <c r="G1610" i="2"/>
  <c r="P1047" i="2"/>
  <c r="J1047" i="2"/>
  <c r="G1047" i="2"/>
  <c r="P1768" i="2"/>
  <c r="J1768" i="2"/>
  <c r="G1768" i="2"/>
  <c r="P816" i="2"/>
  <c r="J816" i="2"/>
  <c r="G816" i="2"/>
  <c r="P1202" i="2"/>
  <c r="J1202" i="2"/>
  <c r="G1202" i="2"/>
  <c r="P243" i="2"/>
  <c r="J243" i="2"/>
  <c r="G243" i="2"/>
  <c r="P748" i="2"/>
  <c r="J748" i="2"/>
  <c r="G748" i="2"/>
  <c r="P3093" i="2"/>
  <c r="J3093" i="2"/>
  <c r="G3093" i="2"/>
  <c r="P66" i="2"/>
  <c r="J66" i="2"/>
  <c r="G66" i="2"/>
  <c r="P238" i="2"/>
  <c r="J238" i="2"/>
  <c r="G238" i="2"/>
  <c r="P857" i="2"/>
  <c r="J857" i="2"/>
  <c r="G857" i="2"/>
  <c r="P874" i="2"/>
  <c r="J874" i="2"/>
  <c r="G874" i="2"/>
  <c r="P872" i="2"/>
  <c r="J872" i="2"/>
  <c r="G872" i="2"/>
  <c r="P747" i="2"/>
  <c r="J747" i="2"/>
  <c r="G747" i="2"/>
  <c r="P2031" i="2"/>
  <c r="J2031" i="2"/>
  <c r="G2031" i="2"/>
  <c r="P2298" i="2"/>
  <c r="J2298" i="2"/>
  <c r="G2298" i="2"/>
  <c r="P2401" i="2"/>
  <c r="J2401" i="2"/>
  <c r="G2401" i="2"/>
  <c r="P2015" i="2"/>
  <c r="J2015" i="2"/>
  <c r="G2015" i="2"/>
  <c r="P183" i="2"/>
  <c r="J183" i="2"/>
  <c r="G183" i="2"/>
  <c r="P2412" i="2"/>
  <c r="J2412" i="2"/>
  <c r="G2412" i="2"/>
  <c r="P3141" i="2"/>
  <c r="J3141" i="2"/>
  <c r="G3141" i="2"/>
  <c r="P744" i="2"/>
  <c r="J744" i="2"/>
  <c r="G744" i="2"/>
  <c r="P2404" i="2"/>
  <c r="J2404" i="2"/>
  <c r="G2404" i="2"/>
  <c r="J2994" i="2"/>
  <c r="G2994" i="2"/>
  <c r="P815" i="2"/>
  <c r="J815" i="2"/>
  <c r="G815" i="2"/>
  <c r="P413" i="2"/>
  <c r="J413" i="2"/>
  <c r="G413" i="2"/>
  <c r="P501" i="2"/>
  <c r="J501" i="2"/>
  <c r="G501" i="2"/>
  <c r="P2426" i="2"/>
  <c r="J2426" i="2"/>
  <c r="G2426" i="2"/>
  <c r="P3132" i="2"/>
  <c r="J3132" i="2"/>
  <c r="G3132" i="2"/>
  <c r="P864" i="2"/>
  <c r="J864" i="2"/>
  <c r="G864" i="2"/>
  <c r="P2383" i="2"/>
  <c r="J2383" i="2"/>
  <c r="G2383" i="2"/>
  <c r="P1156" i="2"/>
  <c r="J1156" i="2"/>
  <c r="G1156" i="2"/>
  <c r="P1722" i="2"/>
  <c r="J1722" i="2"/>
  <c r="G1722" i="2"/>
  <c r="P2737" i="2"/>
  <c r="J2737" i="2"/>
  <c r="G2737" i="2"/>
  <c r="P2001" i="2"/>
  <c r="J2001" i="2"/>
  <c r="G2001" i="2"/>
  <c r="P1612" i="2"/>
  <c r="J1612" i="2"/>
  <c r="G1612" i="2"/>
  <c r="P362" i="2"/>
  <c r="J362" i="2"/>
  <c r="G362" i="2"/>
  <c r="P58" i="2"/>
  <c r="J58" i="2"/>
  <c r="G58" i="2"/>
  <c r="P2309" i="2"/>
  <c r="J2309" i="2"/>
  <c r="G2309" i="2"/>
  <c r="P2420" i="2"/>
  <c r="J2420" i="2"/>
  <c r="G2420" i="2"/>
  <c r="P1638" i="2"/>
  <c r="J1638" i="2"/>
  <c r="G1638" i="2"/>
  <c r="P1637" i="2"/>
  <c r="J1637" i="2"/>
  <c r="G1637" i="2"/>
  <c r="P924" i="2"/>
  <c r="J924" i="2"/>
  <c r="G924" i="2"/>
  <c r="P1997" i="2"/>
  <c r="J1997" i="2"/>
  <c r="G1997" i="2"/>
  <c r="P97" i="2"/>
  <c r="J97" i="2"/>
  <c r="G97" i="2"/>
  <c r="P98" i="2"/>
  <c r="J98" i="2"/>
  <c r="G98" i="2"/>
  <c r="P2673" i="2"/>
  <c r="J2673" i="2"/>
  <c r="G2673" i="2"/>
  <c r="P2179" i="2"/>
  <c r="J2179" i="2"/>
  <c r="G2179" i="2"/>
  <c r="P2727" i="2"/>
  <c r="J2727" i="2"/>
  <c r="G2727" i="2"/>
  <c r="P2672" i="2"/>
  <c r="J2672" i="2"/>
  <c r="G2672" i="2"/>
  <c r="P2729" i="2"/>
  <c r="J2729" i="2"/>
  <c r="G2729" i="2"/>
  <c r="P2655" i="2"/>
  <c r="J2655" i="2"/>
  <c r="G2655" i="2"/>
  <c r="P1329" i="2"/>
  <c r="J1329" i="2"/>
  <c r="G1329" i="2"/>
  <c r="P743" i="2"/>
  <c r="J743" i="2"/>
  <c r="G743" i="2"/>
  <c r="P400" i="2"/>
  <c r="J400" i="2"/>
  <c r="G400" i="2"/>
  <c r="P745" i="2"/>
  <c r="J745" i="2"/>
  <c r="G745" i="2"/>
  <c r="P2937" i="2"/>
  <c r="J2937" i="2"/>
  <c r="G2937" i="2"/>
  <c r="P264" i="2"/>
  <c r="J264" i="2"/>
  <c r="G264" i="2"/>
  <c r="P2178" i="2"/>
  <c r="J2178" i="2"/>
  <c r="G2178" i="2"/>
  <c r="P404" i="2"/>
  <c r="J404" i="2"/>
  <c r="G404" i="2"/>
  <c r="P3544" i="2"/>
  <c r="J3544" i="2"/>
  <c r="G3544" i="2"/>
  <c r="P2254" i="2"/>
  <c r="J2254" i="2"/>
  <c r="G2254" i="2"/>
  <c r="P181" i="2"/>
  <c r="J181" i="2"/>
  <c r="G181" i="2"/>
  <c r="P2391" i="2"/>
  <c r="J2391" i="2"/>
  <c r="G2391" i="2"/>
  <c r="J2877" i="2"/>
  <c r="G2877" i="2"/>
  <c r="P3241" i="2"/>
  <c r="J3241" i="2"/>
  <c r="G3241" i="2"/>
  <c r="P3240" i="2"/>
  <c r="J3240" i="2"/>
  <c r="G3240" i="2"/>
  <c r="P3239" i="2"/>
  <c r="J3239" i="2"/>
  <c r="G3239" i="2"/>
  <c r="P3242" i="2"/>
  <c r="J3242" i="2"/>
  <c r="G3242" i="2"/>
  <c r="P3238" i="2"/>
  <c r="J3238" i="2"/>
  <c r="G3238" i="2"/>
  <c r="P3237" i="2"/>
  <c r="J3237" i="2"/>
  <c r="G3237" i="2"/>
  <c r="P3236" i="2"/>
  <c r="J3236" i="2"/>
  <c r="G3236" i="2"/>
  <c r="P3235" i="2"/>
  <c r="J3235" i="2"/>
  <c r="G3235" i="2"/>
  <c r="P3234" i="2"/>
  <c r="J3234" i="2"/>
  <c r="G3234" i="2"/>
  <c r="P3233" i="2"/>
  <c r="J3233" i="2"/>
  <c r="G3233" i="2"/>
  <c r="P3232" i="2"/>
  <c r="J3232" i="2"/>
  <c r="G3232" i="2"/>
  <c r="P3231" i="2"/>
  <c r="J3231" i="2"/>
  <c r="G3231" i="2"/>
  <c r="P435" i="2"/>
  <c r="J435" i="2"/>
  <c r="G435" i="2"/>
  <c r="P2071" i="2"/>
  <c r="J2071" i="2"/>
  <c r="G2071" i="2"/>
  <c r="P3230" i="2"/>
  <c r="J3230" i="2"/>
  <c r="G3230" i="2"/>
  <c r="P966" i="2"/>
  <c r="J966" i="2"/>
  <c r="G966" i="2"/>
  <c r="P2390" i="2"/>
  <c r="J2390" i="2"/>
  <c r="G2390" i="2"/>
  <c r="P55" i="2"/>
  <c r="J55" i="2"/>
  <c r="G55" i="2"/>
  <c r="P2960" i="2"/>
  <c r="J2960" i="2"/>
  <c r="G2960" i="2"/>
  <c r="P806" i="2"/>
  <c r="J806" i="2"/>
  <c r="G806" i="2"/>
  <c r="P2424" i="2"/>
  <c r="J2424" i="2"/>
  <c r="G2424" i="2"/>
  <c r="P2910" i="2"/>
  <c r="J2910" i="2"/>
  <c r="G2910" i="2"/>
  <c r="P2909" i="2"/>
  <c r="J2909" i="2"/>
  <c r="G2909" i="2"/>
  <c r="P2908" i="2"/>
  <c r="J2908" i="2"/>
  <c r="G2908" i="2"/>
  <c r="P220" i="2"/>
  <c r="J220" i="2"/>
  <c r="G220" i="2"/>
  <c r="P831" i="2"/>
  <c r="J831" i="2"/>
  <c r="G831" i="2"/>
  <c r="P1969" i="2"/>
  <c r="J1969" i="2"/>
  <c r="G1969" i="2"/>
  <c r="P830" i="2"/>
  <c r="J830" i="2"/>
  <c r="G830" i="2"/>
  <c r="P2133" i="2"/>
  <c r="J2133" i="2"/>
  <c r="G2133" i="2"/>
  <c r="P2922" i="2"/>
  <c r="J2922" i="2"/>
  <c r="G2922" i="2"/>
  <c r="P2703" i="2"/>
  <c r="J2703" i="2"/>
  <c r="G2703" i="2"/>
  <c r="P3537" i="2"/>
  <c r="J3537" i="2"/>
  <c r="G3537" i="2"/>
  <c r="P2611" i="2"/>
  <c r="J2611" i="2"/>
  <c r="G2611" i="2"/>
  <c r="P2610" i="2"/>
  <c r="J2610" i="2"/>
  <c r="G2610" i="2"/>
  <c r="P1892" i="2"/>
  <c r="J1892" i="2"/>
  <c r="G1892" i="2"/>
  <c r="P207" i="2"/>
  <c r="J207" i="2"/>
  <c r="G207" i="2"/>
  <c r="P2925" i="2"/>
  <c r="J2925" i="2"/>
  <c r="G2925" i="2"/>
  <c r="P2956" i="2"/>
  <c r="J2956" i="2"/>
  <c r="G2956" i="2"/>
  <c r="P1256" i="2"/>
  <c r="J1256" i="2"/>
  <c r="G1256" i="2"/>
  <c r="P2561" i="2"/>
  <c r="J2561" i="2"/>
  <c r="G2561" i="2"/>
  <c r="P1051" i="2"/>
  <c r="J1051" i="2"/>
  <c r="G1051" i="2"/>
  <c r="P1868" i="2"/>
  <c r="J1868" i="2"/>
  <c r="G1868" i="2"/>
  <c r="P1866" i="2"/>
  <c r="J1866" i="2"/>
  <c r="G1866" i="2"/>
  <c r="P1867" i="2"/>
  <c r="J1867" i="2"/>
  <c r="G1867" i="2"/>
  <c r="P2735" i="2"/>
  <c r="J2735" i="2"/>
  <c r="G2735" i="2"/>
  <c r="P2626" i="2"/>
  <c r="J2626" i="2"/>
  <c r="G2626" i="2"/>
  <c r="P2542" i="2"/>
  <c r="J2542" i="2"/>
  <c r="G2542" i="2"/>
  <c r="P778" i="2"/>
  <c r="J778" i="2"/>
  <c r="G778" i="2"/>
  <c r="P1844" i="2"/>
  <c r="J1844" i="2"/>
  <c r="G1844" i="2"/>
  <c r="P2627" i="2"/>
  <c r="J2627" i="2"/>
  <c r="G2627" i="2"/>
  <c r="P2366" i="2"/>
  <c r="J2366" i="2"/>
  <c r="G2366" i="2"/>
  <c r="P1162" i="2"/>
  <c r="J1162" i="2"/>
  <c r="G1162" i="2"/>
  <c r="P1843" i="2"/>
  <c r="J1843" i="2"/>
  <c r="G1843" i="2"/>
  <c r="P1027" i="2"/>
  <c r="J1027" i="2"/>
  <c r="G1027" i="2"/>
  <c r="P3501" i="2"/>
  <c r="J3501" i="2"/>
  <c r="G3501" i="2"/>
  <c r="P2357" i="2"/>
  <c r="J2357" i="2"/>
  <c r="G2357" i="2"/>
  <c r="P2114" i="2"/>
  <c r="J2114" i="2"/>
  <c r="G2114" i="2"/>
  <c r="P779" i="2"/>
  <c r="J779" i="2"/>
  <c r="G779" i="2"/>
  <c r="P2621" i="2"/>
  <c r="J2621" i="2"/>
  <c r="G2621" i="2"/>
  <c r="P2603" i="2"/>
  <c r="J2603" i="2"/>
  <c r="G2603" i="2"/>
  <c r="P2023" i="2"/>
  <c r="J2023" i="2"/>
  <c r="G2023" i="2"/>
  <c r="P2472" i="2"/>
  <c r="J2472" i="2"/>
  <c r="G2472" i="2"/>
  <c r="P2479" i="2"/>
  <c r="J2479" i="2"/>
  <c r="G2479" i="2"/>
  <c r="P2478" i="2"/>
  <c r="J2478" i="2"/>
  <c r="G2478" i="2"/>
  <c r="P1881" i="2"/>
  <c r="J1881" i="2"/>
  <c r="G1881" i="2"/>
  <c r="P2590" i="2"/>
  <c r="J2590" i="2"/>
  <c r="G2590" i="2"/>
  <c r="P2518" i="2"/>
  <c r="J2518" i="2"/>
  <c r="G2518" i="2"/>
  <c r="P3292" i="2"/>
  <c r="J3292" i="2"/>
  <c r="G3292" i="2"/>
  <c r="P3121" i="2"/>
  <c r="J3121" i="2"/>
  <c r="G3121" i="2"/>
  <c r="P614" i="2"/>
  <c r="J614" i="2"/>
  <c r="G614" i="2"/>
  <c r="P2503" i="2"/>
  <c r="J2503" i="2"/>
  <c r="G2503" i="2"/>
  <c r="P2604" i="2"/>
  <c r="J2604" i="2"/>
  <c r="G2604" i="2"/>
  <c r="P132" i="2"/>
  <c r="J132" i="2"/>
  <c r="G132" i="2"/>
  <c r="P2504" i="2"/>
  <c r="J2504" i="2"/>
  <c r="G2504" i="2"/>
  <c r="P2591" i="2"/>
  <c r="J2591" i="2"/>
  <c r="G2591" i="2"/>
  <c r="P2505" i="2"/>
  <c r="J2505" i="2"/>
  <c r="G2505" i="2"/>
  <c r="P2462" i="2"/>
  <c r="J2462" i="2"/>
  <c r="G2462" i="2"/>
  <c r="P3061" i="2"/>
  <c r="J3061" i="2"/>
  <c r="G3061" i="2"/>
  <c r="P1568" i="2"/>
  <c r="J1568" i="2"/>
  <c r="G1568" i="2"/>
  <c r="P2904" i="2"/>
  <c r="J2904" i="2"/>
  <c r="G2904" i="2"/>
  <c r="P2014" i="2"/>
  <c r="J2014" i="2"/>
  <c r="G2014" i="2"/>
  <c r="P1297" i="2"/>
  <c r="J1297" i="2"/>
  <c r="G1297" i="2"/>
  <c r="P2534" i="2"/>
  <c r="J2534" i="2"/>
  <c r="G2534" i="2"/>
  <c r="P1857" i="2"/>
  <c r="J1857" i="2"/>
  <c r="G1857" i="2"/>
  <c r="P2628" i="2"/>
  <c r="J2628" i="2"/>
  <c r="G2628" i="2"/>
  <c r="P2506" i="2"/>
  <c r="J2506" i="2"/>
  <c r="G2506" i="2"/>
  <c r="P1957" i="2"/>
  <c r="J1957" i="2"/>
  <c r="G1957" i="2"/>
  <c r="P3318" i="2"/>
  <c r="J3318" i="2"/>
  <c r="G3318" i="2"/>
  <c r="P2580" i="2"/>
  <c r="J2580" i="2"/>
  <c r="G2580" i="2"/>
  <c r="P2954" i="2"/>
  <c r="J2954" i="2"/>
  <c r="G2954" i="2"/>
  <c r="P2629" i="2"/>
  <c r="J2629" i="2"/>
  <c r="G2629" i="2"/>
  <c r="P2535" i="2"/>
  <c r="J2535" i="2"/>
  <c r="G2535" i="2"/>
  <c r="P2507" i="2"/>
  <c r="J2507" i="2"/>
  <c r="G2507" i="2"/>
  <c r="P2592" i="2"/>
  <c r="J2592" i="2"/>
  <c r="G2592" i="2"/>
  <c r="P1167" i="2"/>
  <c r="J1167" i="2"/>
  <c r="G1167" i="2"/>
  <c r="P471" i="2"/>
  <c r="J471" i="2"/>
  <c r="G471" i="2"/>
  <c r="P445" i="2"/>
  <c r="J445" i="2"/>
  <c r="G445" i="2"/>
  <c r="P444" i="2"/>
  <c r="J444" i="2"/>
  <c r="G444" i="2"/>
  <c r="P443" i="2"/>
  <c r="J443" i="2"/>
  <c r="G443" i="2"/>
  <c r="P442" i="2"/>
  <c r="J442" i="2"/>
  <c r="G442" i="2"/>
  <c r="P2508" i="2"/>
  <c r="J2508" i="2"/>
  <c r="G2508" i="2"/>
  <c r="P3507" i="2"/>
  <c r="J3507" i="2"/>
  <c r="G3507" i="2"/>
  <c r="P2536" i="2"/>
  <c r="J2536" i="2"/>
  <c r="G2536" i="2"/>
  <c r="P3416" i="2"/>
  <c r="J3416" i="2"/>
  <c r="G3416" i="2"/>
  <c r="P3541" i="2"/>
  <c r="J3541" i="2"/>
  <c r="G3541" i="2"/>
  <c r="P2694" i="2"/>
  <c r="J2694" i="2"/>
  <c r="G2694" i="2"/>
  <c r="P401" i="2"/>
  <c r="J401" i="2"/>
  <c r="G401" i="2"/>
  <c r="P3315" i="2"/>
  <c r="J3315" i="2"/>
  <c r="G3315" i="2"/>
  <c r="P2793" i="2"/>
  <c r="J2793" i="2"/>
  <c r="G2793" i="2"/>
  <c r="P2787" i="2"/>
  <c r="J2787" i="2"/>
  <c r="G2787" i="2"/>
  <c r="P2786" i="2"/>
  <c r="J2786" i="2"/>
  <c r="G2786" i="2"/>
  <c r="P2515" i="2"/>
  <c r="J2515" i="2"/>
  <c r="G2515" i="2"/>
  <c r="P2789" i="2"/>
  <c r="J2789" i="2"/>
  <c r="G2789" i="2"/>
  <c r="P2788" i="2"/>
  <c r="J2788" i="2"/>
  <c r="G2788" i="2"/>
  <c r="P2481" i="2"/>
  <c r="J2481" i="2"/>
  <c r="G2481" i="2"/>
  <c r="P2497" i="2"/>
  <c r="J2497" i="2"/>
  <c r="G2497" i="2"/>
  <c r="P2569" i="2"/>
  <c r="J2569" i="2"/>
  <c r="G2569" i="2"/>
  <c r="P2444" i="2"/>
  <c r="J2444" i="2"/>
  <c r="G2444" i="2"/>
  <c r="P2588" i="2"/>
  <c r="J2588" i="2"/>
  <c r="G2588" i="2"/>
  <c r="P2509" i="2"/>
  <c r="J2509" i="2"/>
  <c r="G2509" i="2"/>
  <c r="P2544" i="2"/>
  <c r="J2544" i="2"/>
  <c r="G2544" i="2"/>
  <c r="P2582" i="2"/>
  <c r="J2582" i="2"/>
  <c r="G2582" i="2"/>
  <c r="P2448" i="2"/>
  <c r="J2448" i="2"/>
  <c r="G2448" i="2"/>
  <c r="P2869" i="2"/>
  <c r="J2869" i="2"/>
  <c r="G2869" i="2"/>
  <c r="P2519" i="2"/>
  <c r="J2519" i="2"/>
  <c r="G2519" i="2"/>
  <c r="P2445" i="2"/>
  <c r="J2445" i="2"/>
  <c r="G2445" i="2"/>
  <c r="P2498" i="2"/>
  <c r="J2498" i="2"/>
  <c r="G2498" i="2"/>
  <c r="P2104" i="2"/>
  <c r="J2104" i="2"/>
  <c r="G2104" i="2"/>
  <c r="P2570" i="2"/>
  <c r="J2570" i="2"/>
  <c r="G2570" i="2"/>
  <c r="P2587" i="2"/>
  <c r="J2587" i="2"/>
  <c r="G2587" i="2"/>
  <c r="P882" i="2"/>
  <c r="J882" i="2"/>
  <c r="G882" i="2"/>
  <c r="P2833" i="2"/>
  <c r="J2833" i="2"/>
  <c r="G2833" i="2"/>
  <c r="P2574" i="2"/>
  <c r="J2574" i="2"/>
  <c r="G2574" i="2"/>
  <c r="P2870" i="2"/>
  <c r="J2870" i="2"/>
  <c r="G2870" i="2"/>
  <c r="P2643" i="2"/>
  <c r="J2643" i="2"/>
  <c r="G2643" i="2"/>
  <c r="P1750" i="2"/>
  <c r="J1750" i="2"/>
  <c r="G1750" i="2"/>
  <c r="P1749" i="2"/>
  <c r="J1749" i="2"/>
  <c r="G1749" i="2"/>
  <c r="P2873" i="2"/>
  <c r="J2873" i="2"/>
  <c r="G2873" i="2"/>
  <c r="P462" i="2"/>
  <c r="J462" i="2"/>
  <c r="G462" i="2"/>
  <c r="P2531" i="2"/>
  <c r="J2531" i="2"/>
  <c r="G2531" i="2"/>
  <c r="P2451" i="2"/>
  <c r="J2451" i="2"/>
  <c r="G2451" i="2"/>
  <c r="P2537" i="2"/>
  <c r="J2537" i="2"/>
  <c r="G2537" i="2"/>
  <c r="P2630" i="2"/>
  <c r="J2630" i="2"/>
  <c r="G2630" i="2"/>
  <c r="P911" i="2"/>
  <c r="J911" i="2"/>
  <c r="G911" i="2"/>
  <c r="P226" i="2"/>
  <c r="J226" i="2"/>
  <c r="G226" i="2"/>
  <c r="J2646" i="2"/>
  <c r="G2646" i="2"/>
  <c r="P470" i="2"/>
  <c r="J470" i="2"/>
  <c r="G470" i="2"/>
  <c r="P2746" i="2"/>
  <c r="J2746" i="2"/>
  <c r="G2746" i="2"/>
  <c r="P2589" i="2"/>
  <c r="J2589" i="2"/>
  <c r="G2589" i="2"/>
  <c r="P2841" i="2"/>
  <c r="J2841" i="2"/>
  <c r="G2841" i="2"/>
  <c r="P247" i="2"/>
  <c r="J247" i="2"/>
  <c r="G247" i="2"/>
  <c r="J3043" i="2"/>
  <c r="G3043" i="2"/>
  <c r="P1871" i="2"/>
  <c r="J1871" i="2"/>
  <c r="G1871" i="2"/>
  <c r="P2892" i="2"/>
  <c r="J2892" i="2"/>
  <c r="G2892" i="2"/>
  <c r="P2857" i="2"/>
  <c r="J2857" i="2"/>
  <c r="G2857" i="2"/>
  <c r="P241" i="2"/>
  <c r="J241" i="2"/>
  <c r="G241" i="2"/>
  <c r="P2822" i="2"/>
  <c r="J2822" i="2"/>
  <c r="G2822" i="2"/>
  <c r="P3526" i="2"/>
  <c r="J3526" i="2"/>
  <c r="G3526" i="2"/>
  <c r="J2995" i="2"/>
  <c r="G2995" i="2"/>
  <c r="P1121" i="2"/>
  <c r="J1121" i="2"/>
  <c r="G1121" i="2"/>
  <c r="P2806" i="2"/>
  <c r="J2806" i="2"/>
  <c r="G2806" i="2"/>
  <c r="P2856" i="2"/>
  <c r="J2856" i="2"/>
  <c r="G2856" i="2"/>
  <c r="P2867" i="2"/>
  <c r="J2867" i="2"/>
  <c r="G2867" i="2"/>
  <c r="P2562" i="2"/>
  <c r="J2562" i="2"/>
  <c r="G2562" i="2"/>
  <c r="P2839" i="2"/>
  <c r="J2839" i="2"/>
  <c r="G2839" i="2"/>
  <c r="P1812" i="2"/>
  <c r="J1812" i="2"/>
  <c r="G1812" i="2"/>
  <c r="P1679" i="2"/>
  <c r="J1679" i="2"/>
  <c r="G1679" i="2"/>
  <c r="P2881" i="2"/>
  <c r="J2881" i="2"/>
  <c r="G2881" i="2"/>
  <c r="P2932" i="2"/>
  <c r="J2932" i="2"/>
  <c r="G2932" i="2"/>
  <c r="P71" i="2"/>
  <c r="J71" i="2"/>
  <c r="G71" i="2"/>
  <c r="P2183" i="2"/>
  <c r="J2183" i="2"/>
  <c r="G2183" i="2"/>
  <c r="P2025" i="2"/>
  <c r="J2025" i="2"/>
  <c r="G2025" i="2"/>
  <c r="P2306" i="2"/>
  <c r="J2306" i="2"/>
  <c r="G2306" i="2"/>
  <c r="P2305" i="2"/>
  <c r="J2305" i="2"/>
  <c r="G2305" i="2"/>
  <c r="P2521" i="2"/>
  <c r="J2521" i="2"/>
  <c r="G2521" i="2"/>
  <c r="P2087" i="2"/>
  <c r="J2087" i="2"/>
  <c r="G2087" i="2"/>
  <c r="P19" i="2"/>
  <c r="J19" i="2"/>
  <c r="G19" i="2"/>
  <c r="P2523" i="2"/>
  <c r="J2523" i="2"/>
  <c r="G2523" i="2"/>
  <c r="P879" i="2"/>
  <c r="J879" i="2"/>
  <c r="G879" i="2"/>
  <c r="J3006" i="2"/>
  <c r="G3006" i="2"/>
  <c r="P182" i="2"/>
  <c r="J182" i="2"/>
  <c r="G182" i="2"/>
  <c r="P35" i="2"/>
  <c r="J35" i="2"/>
  <c r="G35" i="2"/>
  <c r="P735" i="2"/>
  <c r="J735" i="2"/>
  <c r="G735" i="2"/>
  <c r="P2608" i="2"/>
  <c r="J2608" i="2"/>
  <c r="G2608" i="2"/>
  <c r="P2926" i="2"/>
  <c r="J2926" i="2"/>
  <c r="G2926" i="2"/>
  <c r="P34" i="2"/>
  <c r="J34" i="2"/>
  <c r="G34" i="2"/>
  <c r="J3028" i="2"/>
  <c r="G3028" i="2"/>
  <c r="P250" i="2"/>
  <c r="J250" i="2"/>
  <c r="G250" i="2"/>
  <c r="J3027" i="2"/>
  <c r="G3027" i="2"/>
  <c r="P2770" i="2"/>
  <c r="J2770" i="2"/>
  <c r="G2770" i="2"/>
  <c r="P2612" i="2"/>
  <c r="J2612" i="2"/>
  <c r="G2612" i="2"/>
  <c r="P2606" i="2"/>
  <c r="J2606" i="2"/>
  <c r="G2606" i="2"/>
  <c r="P2514" i="2"/>
  <c r="J2514" i="2"/>
  <c r="G2514" i="2"/>
  <c r="P2466" i="2"/>
  <c r="J2466" i="2"/>
  <c r="G2466" i="2"/>
  <c r="P715" i="2"/>
  <c r="J715" i="2"/>
  <c r="G715" i="2"/>
  <c r="P2631" i="2"/>
  <c r="J2631" i="2"/>
  <c r="G2631" i="2"/>
  <c r="J2998" i="2"/>
  <c r="G2998" i="2"/>
  <c r="P1170" i="2"/>
  <c r="J1170" i="2"/>
  <c r="G1170" i="2"/>
  <c r="P2500" i="2"/>
  <c r="J2500" i="2"/>
  <c r="G2500" i="2"/>
  <c r="P2555" i="2"/>
  <c r="J2555" i="2"/>
  <c r="G2555" i="2"/>
  <c r="P1169" i="2"/>
  <c r="J1169" i="2"/>
  <c r="G1169" i="2"/>
  <c r="P2805" i="2"/>
  <c r="J2805" i="2"/>
  <c r="G2805" i="2"/>
  <c r="P2862" i="2"/>
  <c r="J2862" i="2"/>
  <c r="G2862" i="2"/>
  <c r="P2865" i="2"/>
  <c r="J2865" i="2"/>
  <c r="G2865" i="2"/>
  <c r="P2473" i="2"/>
  <c r="J2473" i="2"/>
  <c r="G2473" i="2"/>
  <c r="P2823" i="2"/>
  <c r="J2823" i="2"/>
  <c r="G2823" i="2"/>
  <c r="P1421" i="2"/>
  <c r="J1421" i="2"/>
  <c r="G1421" i="2"/>
  <c r="P2619" i="2"/>
  <c r="J2619" i="2"/>
  <c r="G2619" i="2"/>
  <c r="P2868" i="2"/>
  <c r="J2868" i="2"/>
  <c r="G2868" i="2"/>
  <c r="P2593" i="2"/>
  <c r="J2593" i="2"/>
  <c r="G2593" i="2"/>
  <c r="P1648" i="2"/>
  <c r="J1648" i="2"/>
  <c r="G1648" i="2"/>
  <c r="P2866" i="2"/>
  <c r="J2866" i="2"/>
  <c r="G2866" i="2"/>
  <c r="P249" i="2"/>
  <c r="J249" i="2"/>
  <c r="G249" i="2"/>
  <c r="P27" i="2"/>
  <c r="J27" i="2"/>
  <c r="G27" i="2"/>
  <c r="P2510" i="2"/>
  <c r="J2510" i="2"/>
  <c r="G2510" i="2"/>
  <c r="P361" i="2"/>
  <c r="J361" i="2"/>
  <c r="G361" i="2"/>
  <c r="P26" i="2"/>
  <c r="J26" i="2"/>
  <c r="G26" i="2"/>
  <c r="P1680" i="2"/>
  <c r="J1680" i="2"/>
  <c r="G1680" i="2"/>
  <c r="P2286" i="2"/>
  <c r="J2286" i="2"/>
  <c r="G2286" i="2"/>
  <c r="P2850" i="2"/>
  <c r="J2850" i="2"/>
  <c r="G2850" i="2"/>
  <c r="P3499" i="2"/>
  <c r="J3499" i="2"/>
  <c r="G3499" i="2"/>
  <c r="P2824" i="2"/>
  <c r="J2824" i="2"/>
  <c r="G2824" i="2"/>
  <c r="P12" i="2"/>
  <c r="J12" i="2"/>
  <c r="G12" i="2"/>
  <c r="P3288" i="2"/>
  <c r="J3288" i="2"/>
  <c r="G3288" i="2"/>
  <c r="P2708" i="2"/>
  <c r="J2708" i="2"/>
  <c r="G2708" i="2"/>
  <c r="P2648" i="2"/>
  <c r="J2648" i="2"/>
  <c r="G2648" i="2"/>
  <c r="P17" i="2"/>
  <c r="J17" i="2"/>
  <c r="G17" i="2"/>
  <c r="P2834" i="2"/>
  <c r="J2834" i="2"/>
  <c r="G2834" i="2"/>
  <c r="P16" i="2"/>
  <c r="J16" i="2"/>
  <c r="G16" i="2"/>
  <c r="P3118" i="2"/>
  <c r="J3118" i="2"/>
  <c r="G3118" i="2"/>
  <c r="P2802" i="2"/>
  <c r="J2802" i="2"/>
  <c r="G2802" i="2"/>
  <c r="J3038" i="2"/>
  <c r="G3038" i="2"/>
  <c r="P20" i="2"/>
  <c r="J20" i="2"/>
  <c r="G20" i="2"/>
  <c r="P280" i="2"/>
  <c r="J280" i="2"/>
  <c r="G280" i="2"/>
  <c r="P2810" i="2"/>
  <c r="J2810" i="2"/>
  <c r="G2810" i="2"/>
  <c r="P2605" i="2"/>
  <c r="J2605" i="2"/>
  <c r="G2605" i="2"/>
  <c r="P41" i="2"/>
  <c r="J41" i="2"/>
  <c r="G41" i="2"/>
  <c r="J3015" i="2"/>
  <c r="G3015" i="2"/>
  <c r="P1559" i="2"/>
  <c r="J1559" i="2"/>
  <c r="G1559" i="2"/>
  <c r="P14" i="2"/>
  <c r="J14" i="2"/>
  <c r="G14" i="2"/>
  <c r="P2565" i="2"/>
  <c r="J2565" i="2"/>
  <c r="G2565" i="2"/>
  <c r="P3397" i="2"/>
  <c r="J3397" i="2"/>
  <c r="G3397" i="2"/>
  <c r="P3396" i="2"/>
  <c r="J3396" i="2"/>
  <c r="G3396" i="2"/>
  <c r="P2613" i="2"/>
  <c r="J2613" i="2"/>
  <c r="G2613" i="2"/>
  <c r="P2732" i="2"/>
  <c r="J2732" i="2"/>
  <c r="G2732" i="2"/>
  <c r="P21" i="2"/>
  <c r="J21" i="2"/>
  <c r="G21" i="2"/>
  <c r="P2480" i="2"/>
  <c r="J2480" i="2"/>
  <c r="G2480" i="2"/>
  <c r="P2594" i="2"/>
  <c r="J2594" i="2"/>
  <c r="G2594" i="2"/>
  <c r="P2526" i="2"/>
  <c r="J2526" i="2"/>
  <c r="G2526" i="2"/>
  <c r="P2564" i="2"/>
  <c r="J2564" i="2"/>
  <c r="G2564" i="2"/>
  <c r="P2411" i="2"/>
  <c r="J2411" i="2"/>
  <c r="G2411" i="2"/>
  <c r="P2499" i="2"/>
  <c r="J2499" i="2"/>
  <c r="G2499" i="2"/>
  <c r="P2454" i="2"/>
  <c r="J2454" i="2"/>
  <c r="G2454" i="2"/>
  <c r="P2525" i="2"/>
  <c r="J2525" i="2"/>
  <c r="G2525" i="2"/>
  <c r="P2620" i="2"/>
  <c r="J2620" i="2"/>
  <c r="G2620" i="2"/>
  <c r="P2415" i="2"/>
  <c r="J2415" i="2"/>
  <c r="G2415" i="2"/>
  <c r="P1171" i="2"/>
  <c r="J1171" i="2"/>
  <c r="G1171" i="2"/>
  <c r="P2405" i="2"/>
  <c r="J2405" i="2"/>
  <c r="G2405" i="2"/>
  <c r="P2406" i="2"/>
  <c r="J2406" i="2"/>
  <c r="G2406" i="2"/>
  <c r="P2417" i="2"/>
  <c r="J2417" i="2"/>
  <c r="G2417" i="2"/>
  <c r="P359" i="2"/>
  <c r="J359" i="2"/>
  <c r="G359" i="2"/>
  <c r="P2428" i="2"/>
  <c r="J2428" i="2"/>
  <c r="G2428" i="2"/>
  <c r="P36" i="2"/>
  <c r="J36" i="2"/>
  <c r="G36" i="2"/>
  <c r="P25" i="2"/>
  <c r="J25" i="2"/>
  <c r="G25" i="2"/>
  <c r="P2614" i="2"/>
  <c r="J2614" i="2"/>
  <c r="G2614" i="2"/>
  <c r="P13" i="2"/>
  <c r="J13" i="2"/>
  <c r="G13" i="2"/>
  <c r="P2432" i="2"/>
  <c r="J2432" i="2"/>
  <c r="G2432" i="2"/>
  <c r="P15" i="2"/>
  <c r="J15" i="2"/>
  <c r="G15" i="2"/>
  <c r="P2433" i="2"/>
  <c r="J2433" i="2"/>
  <c r="G2433" i="2"/>
  <c r="P3177" i="2"/>
  <c r="J3177" i="2"/>
  <c r="G3177" i="2"/>
  <c r="P8" i="2"/>
  <c r="J8" i="2"/>
  <c r="G8" i="2"/>
  <c r="P42" i="2"/>
  <c r="J42" i="2"/>
  <c r="G42" i="2"/>
  <c r="P2431" i="2"/>
  <c r="J2431" i="2"/>
  <c r="G2431" i="2"/>
  <c r="P3063" i="2"/>
  <c r="J3063" i="2"/>
  <c r="G3063" i="2"/>
  <c r="P2434" i="2"/>
  <c r="J2434" i="2"/>
  <c r="G2434" i="2"/>
  <c r="P2207" i="2"/>
  <c r="J2207" i="2"/>
  <c r="G2207" i="2"/>
  <c r="P2720" i="2"/>
  <c r="J2720" i="2"/>
  <c r="G2720" i="2"/>
  <c r="J2973" i="2"/>
  <c r="G2973" i="2"/>
  <c r="P2848" i="2"/>
  <c r="J2848" i="2"/>
  <c r="G2848" i="2"/>
  <c r="P2807" i="2"/>
  <c r="J2807" i="2"/>
  <c r="G2807" i="2"/>
  <c r="P2618" i="2"/>
  <c r="J2618" i="2"/>
  <c r="G2618" i="2"/>
  <c r="P2858" i="2"/>
  <c r="J2858" i="2"/>
  <c r="G2858" i="2"/>
  <c r="P636" i="2"/>
  <c r="J636" i="2"/>
  <c r="G636" i="2"/>
  <c r="P2400" i="2"/>
  <c r="J2400" i="2"/>
  <c r="G2400" i="2"/>
  <c r="P860" i="2"/>
  <c r="J860" i="2"/>
  <c r="G860" i="2"/>
  <c r="P2861" i="2"/>
  <c r="J2861" i="2"/>
  <c r="G2861" i="2"/>
  <c r="P2132" i="2"/>
  <c r="J2132" i="2"/>
  <c r="G2132" i="2"/>
  <c r="P2849" i="2"/>
  <c r="J2849" i="2"/>
  <c r="G2849" i="2"/>
  <c r="P38" i="2"/>
  <c r="J38" i="2"/>
  <c r="G38" i="2"/>
  <c r="P2622" i="2"/>
  <c r="J2622" i="2"/>
  <c r="G2622" i="2"/>
  <c r="P177" i="2"/>
  <c r="J177" i="2"/>
  <c r="G177" i="2"/>
  <c r="P218" i="2"/>
  <c r="J218" i="2"/>
  <c r="G218" i="2"/>
  <c r="P2550" i="2"/>
  <c r="J2550" i="2"/>
  <c r="G2550" i="2"/>
  <c r="P3071" i="2"/>
  <c r="J3071" i="2"/>
  <c r="G3071" i="2"/>
  <c r="P1991" i="2"/>
  <c r="J1991" i="2"/>
  <c r="G1991" i="2"/>
  <c r="P2888" i="2"/>
  <c r="J2888" i="2"/>
  <c r="G2888" i="2"/>
  <c r="P2410" i="2"/>
  <c r="J2410" i="2"/>
  <c r="G2410" i="2"/>
  <c r="P2402" i="2"/>
  <c r="J2402" i="2"/>
  <c r="G2402" i="2"/>
  <c r="P2907" i="2"/>
  <c r="J2907" i="2"/>
  <c r="G2907" i="2"/>
  <c r="P1878" i="2"/>
  <c r="J1878" i="2"/>
  <c r="G1878" i="2"/>
  <c r="P1742" i="2"/>
  <c r="J1742" i="2"/>
  <c r="G1742" i="2"/>
  <c r="P2421" i="2"/>
  <c r="J2421" i="2"/>
  <c r="G2421" i="2"/>
  <c r="P1481" i="2"/>
  <c r="J1481" i="2"/>
  <c r="G1481" i="2"/>
  <c r="J3012" i="2"/>
  <c r="G3012" i="2"/>
  <c r="P866" i="2"/>
  <c r="J866" i="2"/>
  <c r="G866" i="2"/>
  <c r="P2492" i="2"/>
  <c r="J2492" i="2"/>
  <c r="G2492" i="2"/>
  <c r="P2804" i="2"/>
  <c r="J2804" i="2"/>
  <c r="G2804" i="2"/>
  <c r="P2812" i="2"/>
  <c r="J2812" i="2"/>
  <c r="G2812" i="2"/>
  <c r="P2408" i="2"/>
  <c r="J2408" i="2"/>
  <c r="G2408" i="2"/>
  <c r="P3534" i="2"/>
  <c r="J3534" i="2"/>
  <c r="G3534" i="2"/>
  <c r="P2831" i="2"/>
  <c r="J2831" i="2"/>
  <c r="G2831" i="2"/>
  <c r="P2483" i="2"/>
  <c r="J2483" i="2"/>
  <c r="G2483" i="2"/>
  <c r="P812" i="2"/>
  <c r="J812" i="2"/>
  <c r="G812" i="2"/>
  <c r="P2556" i="2"/>
  <c r="J2556" i="2"/>
  <c r="G2556" i="2"/>
  <c r="P939" i="2"/>
  <c r="J939" i="2"/>
  <c r="G939" i="2"/>
  <c r="P2548" i="2"/>
  <c r="J2548" i="2"/>
  <c r="G2548" i="2"/>
  <c r="P2356" i="2"/>
  <c r="J2356" i="2"/>
  <c r="G2356" i="2"/>
  <c r="P2455" i="2"/>
  <c r="J2455" i="2"/>
  <c r="G2455" i="2"/>
  <c r="P201" i="2"/>
  <c r="J201" i="2"/>
  <c r="G201" i="2"/>
  <c r="P2442" i="2"/>
  <c r="J2442" i="2"/>
  <c r="G2442" i="2"/>
  <c r="P2872" i="2"/>
  <c r="J2872" i="2"/>
  <c r="G2872" i="2"/>
  <c r="P1930" i="2"/>
  <c r="J1930" i="2"/>
  <c r="G1930" i="2"/>
  <c r="P2403" i="2"/>
  <c r="J2403" i="2"/>
  <c r="G2403" i="2"/>
  <c r="P2543" i="2"/>
  <c r="J2543" i="2"/>
  <c r="G2543" i="2"/>
  <c r="P2609" i="2"/>
  <c r="J2609" i="2"/>
  <c r="G2609" i="2"/>
  <c r="P2144" i="2"/>
  <c r="J2144" i="2"/>
  <c r="G2144" i="2"/>
  <c r="P2419" i="2"/>
  <c r="J2419" i="2"/>
  <c r="G2419" i="2"/>
  <c r="P2465" i="2"/>
  <c r="J2465" i="2"/>
  <c r="G2465" i="2"/>
  <c r="J2878" i="2"/>
  <c r="G2878" i="2"/>
  <c r="P2634" i="2"/>
  <c r="J2634" i="2"/>
  <c r="G2634" i="2"/>
  <c r="P2423" i="2"/>
  <c r="J2423" i="2"/>
  <c r="G2423" i="2"/>
  <c r="P1386" i="2"/>
  <c r="J1386" i="2"/>
  <c r="G1386" i="2"/>
  <c r="P1855" i="2"/>
  <c r="J1855" i="2"/>
  <c r="G1855" i="2"/>
  <c r="J2989" i="2"/>
  <c r="G2989" i="2"/>
  <c r="P2959" i="2"/>
  <c r="J2959" i="2"/>
  <c r="G2959" i="2"/>
  <c r="P3538" i="2"/>
  <c r="J3538" i="2"/>
  <c r="G3538" i="2"/>
  <c r="P3548" i="2"/>
  <c r="J3548" i="2"/>
  <c r="G3548" i="2"/>
  <c r="P3539" i="2"/>
  <c r="J3539" i="2"/>
  <c r="G3539" i="2"/>
  <c r="P3547" i="2"/>
  <c r="J3547" i="2"/>
  <c r="G3547" i="2"/>
  <c r="P1982" i="2"/>
  <c r="J1982" i="2"/>
  <c r="G1982" i="2"/>
  <c r="P1385" i="2"/>
  <c r="J1385" i="2"/>
  <c r="G1385" i="2"/>
  <c r="P2916" i="2"/>
  <c r="J2916" i="2"/>
  <c r="G2916" i="2"/>
  <c r="P1615" i="2"/>
  <c r="J1615" i="2"/>
  <c r="G1615" i="2"/>
  <c r="P1614" i="2"/>
  <c r="J1614" i="2"/>
  <c r="G1614" i="2"/>
  <c r="P2407" i="2"/>
  <c r="J2407" i="2"/>
  <c r="G2407" i="2"/>
  <c r="P3085" i="2"/>
  <c r="J3085" i="2"/>
  <c r="G3085" i="2"/>
  <c r="P3353" i="2"/>
  <c r="J3353" i="2"/>
  <c r="G3353" i="2"/>
  <c r="P3488" i="2"/>
  <c r="J3488" i="2"/>
  <c r="G3488" i="2"/>
  <c r="P1613" i="2"/>
  <c r="J1613" i="2"/>
  <c r="G1613" i="2"/>
  <c r="P228" i="2"/>
  <c r="J228" i="2"/>
  <c r="G228" i="2"/>
  <c r="J2976" i="2"/>
  <c r="G2976" i="2"/>
  <c r="P2938" i="2"/>
  <c r="J2938" i="2"/>
  <c r="G2938" i="2"/>
  <c r="J2876" i="2"/>
  <c r="G2876" i="2"/>
  <c r="P2835" i="2"/>
  <c r="J2835" i="2"/>
  <c r="G2835" i="2"/>
  <c r="P908" i="2"/>
  <c r="J908" i="2"/>
  <c r="G908" i="2"/>
  <c r="P3314" i="2"/>
  <c r="J3314" i="2"/>
  <c r="G3314" i="2"/>
  <c r="P1067" i="2"/>
  <c r="J1067" i="2"/>
  <c r="G1067" i="2"/>
  <c r="J3014" i="2"/>
  <c r="G3014" i="2"/>
  <c r="P3545" i="2"/>
  <c r="J3545" i="2"/>
  <c r="G3545" i="2"/>
  <c r="J2981" i="2"/>
  <c r="G2981" i="2"/>
  <c r="P2838" i="2"/>
  <c r="J2838" i="2"/>
  <c r="G2838" i="2"/>
  <c r="P2893" i="2"/>
  <c r="J2893" i="2"/>
  <c r="G2893" i="2"/>
  <c r="P2871" i="2"/>
  <c r="J2871" i="2"/>
  <c r="G2871" i="2"/>
  <c r="P2674" i="2"/>
  <c r="J2674" i="2"/>
  <c r="G2674" i="2"/>
  <c r="P2811" i="2"/>
  <c r="J2811" i="2"/>
  <c r="G2811" i="2"/>
  <c r="P650" i="2"/>
  <c r="J650" i="2"/>
  <c r="G650" i="2"/>
  <c r="P2296" i="2"/>
  <c r="J2296" i="2"/>
  <c r="G2296" i="2"/>
  <c r="P2840" i="2"/>
  <c r="J2840" i="2"/>
  <c r="G2840" i="2"/>
  <c r="P2826" i="2"/>
  <c r="J2826" i="2"/>
  <c r="G2826" i="2"/>
  <c r="P2427" i="2"/>
  <c r="J2427" i="2"/>
  <c r="G2427" i="2"/>
  <c r="P2422" i="2"/>
  <c r="J2422" i="2"/>
  <c r="G2422" i="2"/>
  <c r="P2847" i="2"/>
  <c r="J2847" i="2"/>
  <c r="G2847" i="2"/>
  <c r="P3324" i="2"/>
  <c r="J3324" i="2"/>
  <c r="G3324" i="2"/>
  <c r="P1528" i="2"/>
  <c r="J1528" i="2"/>
  <c r="G1528" i="2"/>
  <c r="P2800" i="2"/>
  <c r="J2800" i="2"/>
  <c r="G2800" i="2"/>
  <c r="P1600" i="2"/>
  <c r="J1600" i="2"/>
  <c r="G1600" i="2"/>
  <c r="P850" i="2"/>
  <c r="J850" i="2"/>
  <c r="G850" i="2"/>
  <c r="P436" i="2"/>
  <c r="J436" i="2"/>
  <c r="G436" i="2"/>
  <c r="P2018" i="2"/>
  <c r="J2018" i="2"/>
  <c r="G2018" i="2"/>
  <c r="P2693" i="2"/>
  <c r="J2693" i="2"/>
  <c r="G2693" i="2"/>
  <c r="P2581" i="2"/>
  <c r="J2581" i="2"/>
  <c r="G2581" i="2"/>
  <c r="P527" i="2"/>
  <c r="J527" i="2"/>
  <c r="G527" i="2"/>
  <c r="P2414" i="2"/>
  <c r="J2414" i="2"/>
  <c r="G2414" i="2"/>
  <c r="P2836" i="2"/>
  <c r="J2836" i="2"/>
  <c r="G2836" i="2"/>
  <c r="P2552" i="2"/>
  <c r="J2552" i="2"/>
  <c r="G2552" i="2"/>
  <c r="P840" i="2"/>
  <c r="J840" i="2"/>
  <c r="G840" i="2"/>
  <c r="P839" i="2"/>
  <c r="J839" i="2"/>
  <c r="G839" i="2"/>
  <c r="P2413" i="2"/>
  <c r="J2413" i="2"/>
  <c r="G2413" i="2"/>
  <c r="P1292" i="2"/>
  <c r="J1292" i="2"/>
  <c r="G1292" i="2"/>
  <c r="P2855" i="2"/>
  <c r="J2855" i="2"/>
  <c r="G2855" i="2"/>
  <c r="P1714" i="2"/>
  <c r="J1714" i="2"/>
  <c r="G1714" i="2"/>
  <c r="P1810" i="2"/>
  <c r="J1810" i="2"/>
  <c r="G1810" i="2"/>
  <c r="P2474" i="2"/>
  <c r="J2474" i="2"/>
  <c r="G2474" i="2"/>
  <c r="P2484" i="2"/>
  <c r="J2484" i="2"/>
  <c r="G2484" i="2"/>
  <c r="P2827" i="2"/>
  <c r="J2827" i="2"/>
  <c r="G2827" i="2"/>
  <c r="P1351" i="2"/>
  <c r="J1351" i="2"/>
  <c r="G1351" i="2"/>
  <c r="P3284" i="2"/>
  <c r="J3284" i="2"/>
  <c r="G3284" i="2"/>
  <c r="P3164" i="2"/>
  <c r="J3164" i="2"/>
  <c r="G3164" i="2"/>
  <c r="P894" i="2"/>
  <c r="J894" i="2"/>
  <c r="G894" i="2"/>
  <c r="P3346" i="2"/>
  <c r="J3346" i="2"/>
  <c r="G3346" i="2"/>
  <c r="P941" i="2"/>
  <c r="J941" i="2"/>
  <c r="G941" i="2"/>
  <c r="P1136" i="2"/>
  <c r="J1136" i="2"/>
  <c r="G1136" i="2"/>
  <c r="P342" i="2"/>
  <c r="J342" i="2"/>
  <c r="G342" i="2"/>
  <c r="P1066" i="2"/>
  <c r="J1066" i="2"/>
  <c r="G1066" i="2"/>
  <c r="P2538" i="2"/>
  <c r="J2538" i="2"/>
  <c r="G2538" i="2"/>
  <c r="P300" i="2"/>
  <c r="J300" i="2"/>
  <c r="G300" i="2"/>
  <c r="P3533" i="2"/>
  <c r="J3533" i="2"/>
  <c r="G3533" i="2"/>
  <c r="P3500" i="2"/>
  <c r="J3500" i="2"/>
  <c r="G3500" i="2"/>
  <c r="P2639" i="2"/>
  <c r="J2639" i="2"/>
  <c r="G2639" i="2"/>
  <c r="P332" i="2"/>
  <c r="J332" i="2"/>
  <c r="G332" i="2"/>
  <c r="P2435" i="2"/>
  <c r="J2435" i="2"/>
  <c r="G2435" i="2"/>
  <c r="J3009" i="2"/>
  <c r="G3009" i="2"/>
  <c r="P2011" i="2"/>
  <c r="J2011" i="2"/>
  <c r="G2011" i="2"/>
  <c r="P2853" i="2"/>
  <c r="J2853" i="2"/>
  <c r="G2853" i="2"/>
  <c r="P1541" i="2"/>
  <c r="J1541" i="2"/>
  <c r="G1541" i="2"/>
  <c r="P2874" i="2"/>
  <c r="J2874" i="2"/>
  <c r="G2874" i="2"/>
  <c r="P297" i="2"/>
  <c r="J297" i="2"/>
  <c r="G297" i="2"/>
  <c r="J2992" i="2"/>
  <c r="G2992" i="2"/>
  <c r="P2002" i="2"/>
  <c r="J2002" i="2"/>
  <c r="G2002" i="2"/>
  <c r="P751" i="2"/>
  <c r="J751" i="2"/>
  <c r="G751" i="2"/>
  <c r="P835" i="2"/>
  <c r="J835" i="2"/>
  <c r="G835" i="2"/>
  <c r="P143" i="2"/>
  <c r="J143" i="2"/>
  <c r="G143" i="2"/>
  <c r="P2108" i="2"/>
  <c r="J2108" i="2"/>
  <c r="G2108" i="2"/>
  <c r="J49" i="2"/>
  <c r="G49" i="2"/>
  <c r="P336" i="2"/>
  <c r="J336" i="2"/>
  <c r="G336" i="2"/>
  <c r="P24" i="2"/>
  <c r="J24" i="2"/>
  <c r="G24" i="2"/>
  <c r="P2022" i="2"/>
  <c r="J2022" i="2"/>
  <c r="G2022" i="2"/>
  <c r="P10" i="2"/>
  <c r="J10" i="2"/>
  <c r="G10" i="2"/>
  <c r="P2776" i="2"/>
  <c r="J2776" i="2"/>
  <c r="G2776" i="2"/>
  <c r="P262" i="2"/>
  <c r="J262" i="2"/>
  <c r="G262" i="2"/>
  <c r="P3191" i="2"/>
  <c r="J3191" i="2"/>
  <c r="G3191" i="2"/>
  <c r="P3390" i="2"/>
  <c r="J3390" i="2"/>
  <c r="G3390" i="2"/>
  <c r="P3434" i="2"/>
  <c r="J3434" i="2"/>
  <c r="G3434" i="2"/>
  <c r="P3176" i="2"/>
  <c r="J3176" i="2"/>
  <c r="G3176" i="2"/>
  <c r="P3120" i="2"/>
  <c r="J3120" i="2"/>
  <c r="G3120" i="2"/>
  <c r="P3210" i="2"/>
  <c r="J3210" i="2"/>
  <c r="G3210" i="2"/>
  <c r="P3204" i="2"/>
  <c r="J3204" i="2"/>
  <c r="G3204" i="2"/>
  <c r="P3378" i="2"/>
  <c r="J3378" i="2"/>
  <c r="G3378" i="2"/>
  <c r="P3196" i="2"/>
  <c r="J3196" i="2"/>
  <c r="G3196" i="2"/>
  <c r="P3189" i="2"/>
  <c r="J3189" i="2"/>
  <c r="G3189" i="2"/>
  <c r="P3160" i="2"/>
  <c r="J3160" i="2"/>
  <c r="G3160" i="2"/>
  <c r="P3505" i="2"/>
  <c r="J3505" i="2"/>
  <c r="G3505" i="2"/>
  <c r="P2635" i="2"/>
  <c r="J2635" i="2"/>
  <c r="G2635" i="2"/>
  <c r="P3449" i="2"/>
  <c r="J3449" i="2"/>
  <c r="G3449" i="2"/>
  <c r="P3274" i="2"/>
  <c r="J3274" i="2"/>
  <c r="G3274" i="2"/>
  <c r="P3205" i="2"/>
  <c r="J3205" i="2"/>
  <c r="G3205" i="2"/>
  <c r="P3198" i="2"/>
  <c r="J3198" i="2"/>
  <c r="G3198" i="2"/>
  <c r="P3290" i="2"/>
  <c r="J3290" i="2"/>
  <c r="G3290" i="2"/>
  <c r="P3264" i="2"/>
  <c r="J3264" i="2"/>
  <c r="G3264" i="2"/>
  <c r="P3302" i="2"/>
  <c r="J3302" i="2"/>
  <c r="G3302" i="2"/>
  <c r="P2409" i="2"/>
  <c r="J2409" i="2"/>
  <c r="G2409" i="2"/>
  <c r="P3325" i="2"/>
  <c r="J3325" i="2"/>
  <c r="G3325" i="2"/>
  <c r="P2779" i="2"/>
  <c r="J2779" i="2"/>
  <c r="G2779" i="2"/>
  <c r="P3168" i="2"/>
  <c r="J3168" i="2"/>
  <c r="G3168" i="2"/>
  <c r="P2640" i="2"/>
  <c r="J2640" i="2"/>
  <c r="G2640" i="2"/>
  <c r="P3087" i="2"/>
  <c r="J3087" i="2"/>
  <c r="G3087" i="2"/>
  <c r="P2641" i="2"/>
  <c r="J2641" i="2"/>
  <c r="G2641" i="2"/>
  <c r="P3403" i="2"/>
  <c r="J3403" i="2"/>
  <c r="G3403" i="2"/>
  <c r="P3518" i="2"/>
  <c r="J3518" i="2"/>
  <c r="G3518" i="2"/>
  <c r="P3216" i="2"/>
  <c r="J3216" i="2"/>
  <c r="G3216" i="2"/>
  <c r="P3211" i="2"/>
  <c r="J3211" i="2"/>
  <c r="G3211" i="2"/>
  <c r="P3334" i="2"/>
  <c r="J3334" i="2"/>
  <c r="G3334" i="2"/>
  <c r="P1032" i="2"/>
  <c r="J1032" i="2"/>
  <c r="G1032" i="2"/>
  <c r="P3326" i="2"/>
  <c r="J3326" i="2"/>
  <c r="G3326" i="2"/>
  <c r="P2549" i="2"/>
  <c r="J2549" i="2"/>
  <c r="G2549" i="2"/>
  <c r="P3345" i="2"/>
  <c r="J3345" i="2"/>
  <c r="G3345" i="2"/>
  <c r="P3203" i="2"/>
  <c r="J3203" i="2"/>
  <c r="G3203" i="2"/>
  <c r="P3182" i="2"/>
  <c r="J3182" i="2"/>
  <c r="G3182" i="2"/>
  <c r="P3374" i="2"/>
  <c r="J3374" i="2"/>
  <c r="G3374" i="2"/>
  <c r="P875" i="2"/>
  <c r="J875" i="2"/>
  <c r="G875" i="2"/>
  <c r="P2615" i="2"/>
  <c r="J2615" i="2"/>
  <c r="G2615" i="2"/>
  <c r="P3145" i="2"/>
  <c r="J3145" i="2"/>
  <c r="G3145" i="2"/>
  <c r="P3339" i="2"/>
  <c r="J3339" i="2"/>
  <c r="G3339" i="2"/>
  <c r="P2958" i="2"/>
  <c r="J2958" i="2"/>
  <c r="G2958" i="2"/>
  <c r="P3134" i="2"/>
  <c r="J3134" i="2"/>
  <c r="G3134" i="2"/>
  <c r="P3498" i="2"/>
  <c r="J3498" i="2"/>
  <c r="G3498" i="2"/>
  <c r="P3139" i="2"/>
  <c r="J3139" i="2"/>
  <c r="G3139" i="2"/>
  <c r="P3079" i="2"/>
  <c r="J3079" i="2"/>
  <c r="G3079" i="2"/>
  <c r="P50" i="2"/>
  <c r="J50" i="2"/>
  <c r="G50" i="2"/>
  <c r="J2748" i="2"/>
  <c r="G2748" i="2"/>
  <c r="P3512" i="2"/>
  <c r="J3512" i="2"/>
  <c r="G3512" i="2"/>
  <c r="P3377" i="2"/>
  <c r="J3377" i="2"/>
  <c r="G3377" i="2"/>
  <c r="P2968" i="2"/>
  <c r="J2968" i="2"/>
  <c r="G2968" i="2"/>
  <c r="P1049" i="2"/>
  <c r="J1049" i="2"/>
  <c r="G1049" i="2"/>
  <c r="P3194" i="2"/>
  <c r="J3194" i="2"/>
  <c r="G3194" i="2"/>
  <c r="P2325" i="2"/>
  <c r="J2325" i="2"/>
  <c r="G2325" i="2"/>
  <c r="P2828" i="2"/>
  <c r="J2828" i="2"/>
  <c r="G2828" i="2"/>
  <c r="P3469" i="2"/>
  <c r="J3469" i="2"/>
  <c r="G3469" i="2"/>
  <c r="P3329" i="2"/>
  <c r="J3329" i="2"/>
  <c r="G3329" i="2"/>
  <c r="P3119" i="2"/>
  <c r="J3119" i="2"/>
  <c r="G3119" i="2"/>
  <c r="P2680" i="2"/>
  <c r="J2680" i="2"/>
  <c r="G2680" i="2"/>
  <c r="P1627" i="2"/>
  <c r="J1627" i="2"/>
  <c r="G1627" i="2"/>
  <c r="P3511" i="2"/>
  <c r="J3511" i="2"/>
  <c r="G3511" i="2"/>
  <c r="P3304" i="2"/>
  <c r="J3304" i="2"/>
  <c r="G3304" i="2"/>
  <c r="P3154" i="2"/>
  <c r="J3154" i="2"/>
  <c r="G3154" i="2"/>
  <c r="P837" i="2"/>
  <c r="J837" i="2"/>
  <c r="G837" i="2"/>
  <c r="P3166" i="2"/>
  <c r="J3166" i="2"/>
  <c r="G3166" i="2"/>
  <c r="P3082" i="2"/>
  <c r="J3082" i="2"/>
  <c r="G3082" i="2"/>
  <c r="P206" i="2"/>
  <c r="J206" i="2"/>
  <c r="G206" i="2"/>
  <c r="P3421" i="2"/>
  <c r="J3421" i="2"/>
  <c r="G3421" i="2"/>
  <c r="P3126" i="2"/>
  <c r="J3126" i="2"/>
  <c r="G3126" i="2"/>
  <c r="P1944" i="2"/>
  <c r="J1944" i="2"/>
  <c r="G1944" i="2"/>
  <c r="P3070" i="2"/>
  <c r="J3070" i="2"/>
  <c r="G3070" i="2"/>
  <c r="P2567" i="2"/>
  <c r="J2567" i="2"/>
  <c r="G2567" i="2"/>
  <c r="P3159" i="2"/>
  <c r="J3159" i="2"/>
  <c r="G3159" i="2"/>
  <c r="P3073" i="2"/>
  <c r="J3073" i="2"/>
  <c r="G3073" i="2"/>
  <c r="P3400" i="2"/>
  <c r="J3400" i="2"/>
  <c r="G3400" i="2"/>
  <c r="P2713" i="2"/>
  <c r="J2713" i="2"/>
  <c r="G2713" i="2"/>
  <c r="P449" i="2"/>
  <c r="J449" i="2"/>
  <c r="G449" i="2"/>
  <c r="P2572" i="2"/>
  <c r="J2572" i="2"/>
  <c r="G2572" i="2"/>
  <c r="P3296" i="2"/>
  <c r="J3296" i="2"/>
  <c r="G3296" i="2"/>
  <c r="P3473" i="2"/>
  <c r="J3473" i="2"/>
  <c r="G3473" i="2"/>
  <c r="P3075" i="2"/>
  <c r="J3075" i="2"/>
  <c r="G3075" i="2"/>
  <c r="P3323" i="2"/>
  <c r="J3323" i="2"/>
  <c r="G3323" i="2"/>
  <c r="P3365" i="2"/>
  <c r="J3365" i="2"/>
  <c r="G3365" i="2"/>
  <c r="P3430" i="2"/>
  <c r="J3430" i="2"/>
  <c r="G3430" i="2"/>
  <c r="P2032" i="2"/>
  <c r="J2032" i="2"/>
  <c r="G2032" i="2"/>
  <c r="P842" i="2"/>
  <c r="J842" i="2"/>
  <c r="G842" i="2"/>
  <c r="J3042" i="2"/>
  <c r="G3042" i="2"/>
  <c r="P3491" i="2"/>
  <c r="J3491" i="2"/>
  <c r="G3491" i="2"/>
  <c r="P3423" i="2"/>
  <c r="J3423" i="2"/>
  <c r="G3423" i="2"/>
  <c r="P3418" i="2"/>
  <c r="J3418" i="2"/>
  <c r="G3418" i="2"/>
  <c r="P2209" i="2"/>
  <c r="J2209" i="2"/>
  <c r="G2209" i="2"/>
  <c r="J3047" i="2"/>
  <c r="G3047" i="2"/>
  <c r="P3536" i="2"/>
  <c r="J3536" i="2"/>
  <c r="G3536" i="2"/>
  <c r="P2797" i="2"/>
  <c r="J2797" i="2"/>
  <c r="G2797" i="2"/>
  <c r="P2583" i="2"/>
  <c r="J2583" i="2"/>
  <c r="G2583" i="2"/>
  <c r="P2285" i="2"/>
  <c r="J2285" i="2"/>
  <c r="G2285" i="2"/>
  <c r="P3097" i="2"/>
  <c r="J3097" i="2"/>
  <c r="G3097" i="2"/>
  <c r="P2782" i="2"/>
  <c r="J2782" i="2"/>
  <c r="G2782" i="2"/>
  <c r="P2566" i="2"/>
  <c r="J2566" i="2"/>
  <c r="G2566" i="2"/>
  <c r="P3190" i="2"/>
  <c r="J3190" i="2"/>
  <c r="G3190" i="2"/>
  <c r="J2984" i="2"/>
  <c r="G2984" i="2"/>
  <c r="P3169" i="2"/>
  <c r="J3169" i="2"/>
  <c r="G3169" i="2"/>
  <c r="P3175" i="2"/>
  <c r="J3175" i="2"/>
  <c r="G3175" i="2"/>
  <c r="P2803" i="2"/>
  <c r="J2803" i="2"/>
  <c r="G2803" i="2"/>
  <c r="P1377" i="2"/>
  <c r="J1377" i="2"/>
  <c r="G1377" i="2"/>
  <c r="P2575" i="2"/>
  <c r="J2575" i="2"/>
  <c r="G2575" i="2"/>
  <c r="P2327" i="2"/>
  <c r="J2327" i="2"/>
  <c r="G2327" i="2"/>
  <c r="P3275" i="2"/>
  <c r="J3275" i="2"/>
  <c r="G3275" i="2"/>
  <c r="P2607" i="2"/>
  <c r="J2607" i="2"/>
  <c r="G2607" i="2"/>
  <c r="P2843" i="2"/>
  <c r="J2843" i="2"/>
  <c r="G2843" i="2"/>
  <c r="P3444" i="2"/>
  <c r="J3444" i="2"/>
  <c r="G3444" i="2"/>
  <c r="P1746" i="2"/>
  <c r="J1746" i="2"/>
  <c r="G1746" i="2"/>
  <c r="P1090" i="2"/>
  <c r="J1090" i="2"/>
  <c r="G1090" i="2"/>
  <c r="P3452" i="2"/>
  <c r="J3452" i="2"/>
  <c r="G3452" i="2"/>
  <c r="P3068" i="2"/>
  <c r="J3068" i="2"/>
  <c r="G3068" i="2"/>
  <c r="P2263" i="2"/>
  <c r="J2263" i="2"/>
  <c r="G2263" i="2"/>
  <c r="P2192" i="2"/>
  <c r="J2192" i="2"/>
  <c r="G2192" i="2"/>
  <c r="P3457" i="2"/>
  <c r="J3457" i="2"/>
  <c r="G3457" i="2"/>
  <c r="P2584" i="2"/>
  <c r="J2584" i="2"/>
  <c r="G2584" i="2"/>
  <c r="P3267" i="2"/>
  <c r="J3267" i="2"/>
  <c r="G3267" i="2"/>
  <c r="P2801" i="2"/>
  <c r="J2801" i="2"/>
  <c r="G2801" i="2"/>
  <c r="P3183" i="2"/>
  <c r="J3183" i="2"/>
  <c r="G3183" i="2"/>
  <c r="P889" i="2"/>
  <c r="J889" i="2"/>
  <c r="G889" i="2"/>
  <c r="P890" i="2"/>
  <c r="J890" i="2"/>
  <c r="G890" i="2"/>
  <c r="P3395" i="2"/>
  <c r="J3395" i="2"/>
  <c r="G3395" i="2"/>
  <c r="P3355" i="2"/>
  <c r="J3355" i="2"/>
  <c r="G3355" i="2"/>
  <c r="P1554" i="2"/>
  <c r="J1554" i="2"/>
  <c r="G1554" i="2"/>
  <c r="P2929" i="2"/>
  <c r="J2929" i="2"/>
  <c r="G2929" i="2"/>
  <c r="P3342" i="2"/>
  <c r="J3342" i="2"/>
  <c r="G3342" i="2"/>
  <c r="P2955" i="2"/>
  <c r="J2955" i="2"/>
  <c r="G2955" i="2"/>
  <c r="P606" i="2"/>
  <c r="J606" i="2"/>
  <c r="G606" i="2"/>
  <c r="P179" i="2"/>
  <c r="J179" i="2"/>
  <c r="G179" i="2"/>
  <c r="P2837" i="2"/>
  <c r="J2837" i="2"/>
  <c r="G2837" i="2"/>
  <c r="P1018" i="2"/>
  <c r="J1018" i="2"/>
  <c r="G1018" i="2"/>
  <c r="P3088" i="2"/>
  <c r="J3088" i="2"/>
  <c r="G3088" i="2"/>
  <c r="P1445" i="2"/>
  <c r="J1445" i="2"/>
  <c r="G1445" i="2"/>
  <c r="P2382" i="2"/>
  <c r="J2382" i="2"/>
  <c r="G2382" i="2"/>
  <c r="P3414" i="2"/>
  <c r="J3414" i="2"/>
  <c r="G3414" i="2"/>
  <c r="P2203" i="2"/>
  <c r="J2203" i="2"/>
  <c r="G2203" i="2"/>
  <c r="P2970" i="2"/>
  <c r="J2970" i="2"/>
  <c r="G2970" i="2"/>
  <c r="P3409" i="2"/>
  <c r="J3409" i="2"/>
  <c r="G3409" i="2"/>
  <c r="P844" i="2"/>
  <c r="J844" i="2"/>
  <c r="G844" i="2"/>
  <c r="P2576" i="2"/>
  <c r="J2576" i="2"/>
  <c r="G2576" i="2"/>
  <c r="P136" i="2"/>
  <c r="J136" i="2"/>
  <c r="G136" i="2"/>
  <c r="P3509" i="2"/>
  <c r="J3509" i="2"/>
  <c r="G3509" i="2"/>
  <c r="P2206" i="2"/>
  <c r="J2206" i="2"/>
  <c r="G2206" i="2"/>
  <c r="P3348" i="2"/>
  <c r="J3348" i="2"/>
  <c r="G3348" i="2"/>
  <c r="P2205" i="2"/>
  <c r="J2205" i="2"/>
  <c r="G2205" i="2"/>
  <c r="P1350" i="2"/>
  <c r="J1350" i="2"/>
  <c r="G1350" i="2"/>
  <c r="P3262" i="2"/>
  <c r="J3262" i="2"/>
  <c r="G3262" i="2"/>
  <c r="P2585" i="2"/>
  <c r="J2585" i="2"/>
  <c r="G2585" i="2"/>
  <c r="P3519" i="2"/>
  <c r="J3519" i="2"/>
  <c r="G3519" i="2"/>
  <c r="P3107" i="2"/>
  <c r="J3107" i="2"/>
  <c r="G3107" i="2"/>
  <c r="P2573" i="2"/>
  <c r="J2573" i="2"/>
  <c r="G2573" i="2"/>
  <c r="P3470" i="2"/>
  <c r="J3470" i="2"/>
  <c r="G3470" i="2"/>
  <c r="P2571" i="2"/>
  <c r="J2571" i="2"/>
  <c r="G2571" i="2"/>
  <c r="P2586" i="2"/>
  <c r="J2586" i="2"/>
  <c r="G2586" i="2"/>
  <c r="P3419" i="2"/>
  <c r="J3419" i="2"/>
  <c r="G3419" i="2"/>
  <c r="P3172" i="2"/>
  <c r="J3172" i="2"/>
  <c r="G3172" i="2"/>
  <c r="P3124" i="2"/>
  <c r="J3124" i="2"/>
  <c r="G3124" i="2"/>
  <c r="P3460" i="2"/>
  <c r="J3460" i="2"/>
  <c r="G3460" i="2"/>
  <c r="P3515" i="2"/>
  <c r="J3515" i="2"/>
  <c r="G3515" i="2"/>
  <c r="P2313" i="2"/>
  <c r="J2313" i="2"/>
  <c r="G2313" i="2"/>
  <c r="P2312" i="2"/>
  <c r="J2312" i="2"/>
  <c r="G2312" i="2"/>
  <c r="P2323" i="2"/>
  <c r="J2323" i="2"/>
  <c r="G2323" i="2"/>
  <c r="P645" i="2"/>
  <c r="J645" i="2"/>
  <c r="G645" i="2"/>
  <c r="P610" i="2"/>
  <c r="J610" i="2"/>
  <c r="G610" i="2"/>
  <c r="P611" i="2"/>
  <c r="J611" i="2"/>
  <c r="G611" i="2"/>
  <c r="P3161" i="2"/>
  <c r="J3161" i="2"/>
  <c r="G3161" i="2"/>
  <c r="P646" i="2"/>
  <c r="J646" i="2"/>
  <c r="G646" i="2"/>
  <c r="P3174" i="2"/>
  <c r="J3174" i="2"/>
  <c r="G3174" i="2"/>
  <c r="P3108" i="2"/>
  <c r="J3108" i="2"/>
  <c r="G3108" i="2"/>
  <c r="P607" i="2"/>
  <c r="J607" i="2"/>
  <c r="G607" i="2"/>
  <c r="P1283" i="2"/>
  <c r="J1283" i="2"/>
  <c r="G1283" i="2"/>
  <c r="P1894" i="2"/>
  <c r="J1894" i="2"/>
  <c r="G1894" i="2"/>
  <c r="P644" i="2"/>
  <c r="J644" i="2"/>
  <c r="G644" i="2"/>
  <c r="P612" i="2"/>
  <c r="J612" i="2"/>
  <c r="G612" i="2"/>
  <c r="P3360" i="2"/>
  <c r="J3360" i="2"/>
  <c r="G3360" i="2"/>
  <c r="P3506" i="2"/>
  <c r="J3506" i="2"/>
  <c r="G3506" i="2"/>
  <c r="P2379" i="2"/>
  <c r="J2379" i="2"/>
  <c r="G2379" i="2"/>
  <c r="P2380" i="2"/>
  <c r="J2380" i="2"/>
  <c r="G2380" i="2"/>
  <c r="P3436" i="2"/>
  <c r="J3436" i="2"/>
  <c r="G3436" i="2"/>
  <c r="P3223" i="2"/>
  <c r="J3223" i="2"/>
  <c r="G3223" i="2"/>
  <c r="P2324" i="2"/>
  <c r="J2324" i="2"/>
  <c r="G2324" i="2"/>
  <c r="P3253" i="2"/>
  <c r="J3253" i="2"/>
  <c r="G3253" i="2"/>
  <c r="P763" i="2"/>
  <c r="J763" i="2"/>
  <c r="G763" i="2"/>
  <c r="P3202" i="2"/>
  <c r="J3202" i="2"/>
  <c r="G3202" i="2"/>
  <c r="P3143" i="2"/>
  <c r="J3143" i="2"/>
  <c r="G3143" i="2"/>
  <c r="P3522" i="2"/>
  <c r="J3522" i="2"/>
  <c r="G3522" i="2"/>
  <c r="P3271" i="2"/>
  <c r="J3271" i="2"/>
  <c r="G3271" i="2"/>
  <c r="J2972" i="2"/>
  <c r="G2972" i="2"/>
  <c r="P3504" i="2"/>
  <c r="J3504" i="2"/>
  <c r="G3504" i="2"/>
  <c r="P3067" i="2"/>
  <c r="J3067" i="2"/>
  <c r="G3067" i="2"/>
  <c r="P3508" i="2"/>
  <c r="J3508" i="2"/>
  <c r="G3508" i="2"/>
  <c r="P2297" i="2"/>
  <c r="J2297" i="2"/>
  <c r="G2297" i="2"/>
  <c r="P3102" i="2"/>
  <c r="J3102" i="2"/>
  <c r="G3102" i="2"/>
  <c r="P3250" i="2"/>
  <c r="J3250" i="2"/>
  <c r="G3250" i="2"/>
  <c r="P3152" i="2"/>
  <c r="J3152" i="2"/>
  <c r="G3152" i="2"/>
  <c r="P3502" i="2"/>
  <c r="J3502" i="2"/>
  <c r="G3502" i="2"/>
  <c r="P2125" i="2"/>
  <c r="J2125" i="2"/>
  <c r="G2125" i="2"/>
  <c r="J2875" i="2"/>
  <c r="G2875" i="2"/>
  <c r="P1089" i="2"/>
  <c r="J1089" i="2"/>
  <c r="G1089" i="2"/>
  <c r="P942" i="2"/>
  <c r="J942" i="2"/>
  <c r="G942" i="2"/>
  <c r="P3398" i="2"/>
  <c r="J3398" i="2"/>
  <c r="G3398" i="2"/>
  <c r="J2975" i="2"/>
  <c r="G2975" i="2"/>
  <c r="P3402" i="2"/>
  <c r="J3402" i="2"/>
  <c r="G3402" i="2"/>
  <c r="P2563" i="2"/>
  <c r="J2563" i="2"/>
  <c r="G2563" i="2"/>
  <c r="P3543" i="2"/>
  <c r="J3543" i="2"/>
  <c r="G3543" i="2"/>
  <c r="P2950" i="2"/>
  <c r="J2950" i="2"/>
  <c r="G2950" i="2"/>
  <c r="P2577" i="2"/>
  <c r="J2577" i="2"/>
  <c r="G2577" i="2"/>
  <c r="P1199" i="2"/>
  <c r="J1199" i="2"/>
  <c r="G1199" i="2"/>
  <c r="P1522" i="2"/>
  <c r="J1522" i="2"/>
  <c r="G1522" i="2"/>
  <c r="P1521" i="2"/>
  <c r="J1521" i="2"/>
  <c r="G1521" i="2"/>
  <c r="P1884" i="2"/>
  <c r="J1884" i="2"/>
  <c r="G1884" i="2"/>
  <c r="P3408" i="2"/>
  <c r="J3408" i="2"/>
  <c r="G3408" i="2"/>
  <c r="P2863" i="2"/>
  <c r="J2863" i="2"/>
  <c r="G2863" i="2"/>
  <c r="P3184" i="2"/>
  <c r="J3184" i="2"/>
  <c r="G3184" i="2"/>
  <c r="P1580" i="2"/>
  <c r="J1580" i="2"/>
  <c r="G1580" i="2"/>
  <c r="P3335" i="2"/>
  <c r="J3335" i="2"/>
  <c r="G3335" i="2"/>
  <c r="P2651" i="2"/>
  <c r="J2651" i="2"/>
  <c r="G2651" i="2"/>
  <c r="P1230" i="2"/>
  <c r="J1230" i="2"/>
  <c r="G1230" i="2"/>
  <c r="P1229" i="2"/>
  <c r="J1229" i="2"/>
  <c r="G1229" i="2"/>
  <c r="P3258" i="2"/>
  <c r="J3258" i="2"/>
  <c r="G3258" i="2"/>
  <c r="P3471" i="2"/>
  <c r="J3471" i="2"/>
  <c r="G3471" i="2"/>
  <c r="P3445" i="2"/>
  <c r="J3445" i="2"/>
  <c r="G3445" i="2"/>
  <c r="P2953" i="2"/>
  <c r="J2953" i="2"/>
  <c r="G2953" i="2"/>
  <c r="P2854" i="2"/>
  <c r="J2854" i="2"/>
  <c r="G2854" i="2"/>
  <c r="P2502" i="2"/>
  <c r="J2502" i="2"/>
  <c r="G2502" i="2"/>
  <c r="P1030" i="2"/>
  <c r="J1030" i="2"/>
  <c r="G1030" i="2"/>
  <c r="P2829" i="2"/>
  <c r="J2829" i="2"/>
  <c r="G2829" i="2"/>
  <c r="P1946" i="2"/>
  <c r="J1946" i="2"/>
  <c r="G1946" i="2"/>
  <c r="P2516" i="2"/>
  <c r="J2516" i="2"/>
  <c r="G2516" i="2"/>
  <c r="P2246" i="2"/>
  <c r="J2246" i="2"/>
  <c r="G2246" i="2"/>
  <c r="P1994" i="2"/>
  <c r="J1994" i="2"/>
  <c r="G1994" i="2"/>
  <c r="P3546" i="2"/>
  <c r="J3546" i="2"/>
  <c r="G3546" i="2"/>
  <c r="P2864" i="2"/>
  <c r="J2864" i="2"/>
  <c r="G2864" i="2"/>
  <c r="P3425" i="2"/>
  <c r="J3425" i="2"/>
  <c r="G3425" i="2"/>
  <c r="P2819" i="2"/>
  <c r="J2819" i="2"/>
  <c r="G2819" i="2"/>
  <c r="P2825" i="2"/>
  <c r="J2825" i="2"/>
  <c r="G2825" i="2"/>
  <c r="P3281" i="2"/>
  <c r="J3281" i="2"/>
  <c r="G3281" i="2"/>
  <c r="P3153" i="2"/>
  <c r="J3153" i="2"/>
  <c r="G3153" i="2"/>
  <c r="P3448" i="2"/>
  <c r="J3448" i="2"/>
  <c r="G3448" i="2"/>
  <c r="P2169" i="2"/>
  <c r="J2169" i="2"/>
  <c r="G2169" i="2"/>
  <c r="P653" i="2"/>
  <c r="J653" i="2"/>
  <c r="G653" i="2"/>
  <c r="P2546" i="2"/>
  <c r="J2546" i="2"/>
  <c r="G2546" i="2"/>
  <c r="P3277" i="2"/>
  <c r="J3277" i="2"/>
  <c r="G3277" i="2"/>
  <c r="P2489" i="2"/>
  <c r="J2489" i="2"/>
  <c r="G2489" i="2"/>
  <c r="P3406" i="2"/>
  <c r="J3406" i="2"/>
  <c r="G3406" i="2"/>
  <c r="P3520" i="2"/>
  <c r="J3520" i="2"/>
  <c r="G3520" i="2"/>
  <c r="P3116" i="2"/>
  <c r="J3116" i="2"/>
  <c r="G3116" i="2"/>
  <c r="P3516" i="2"/>
  <c r="J3516" i="2"/>
  <c r="G3516" i="2"/>
  <c r="P3178" i="2"/>
  <c r="J3178" i="2"/>
  <c r="G3178" i="2"/>
  <c r="P3135" i="2"/>
  <c r="J3135" i="2"/>
  <c r="G3135" i="2"/>
  <c r="P3555" i="2"/>
  <c r="J3555" i="2"/>
  <c r="G3555" i="2"/>
  <c r="P1940" i="2"/>
  <c r="J1940" i="2"/>
  <c r="G1940" i="2"/>
  <c r="P3083" i="2"/>
  <c r="J3083" i="2"/>
  <c r="G3083" i="2"/>
  <c r="P3106" i="2"/>
  <c r="J3106" i="2"/>
  <c r="G3106" i="2"/>
  <c r="P3420" i="2"/>
  <c r="J3420" i="2"/>
  <c r="G3420" i="2"/>
  <c r="P3188" i="2"/>
  <c r="J3188" i="2"/>
  <c r="G3188" i="2"/>
  <c r="P3282" i="2"/>
  <c r="J3282" i="2"/>
  <c r="G3282" i="2"/>
  <c r="P3220" i="2"/>
  <c r="J3220" i="2"/>
  <c r="G3220" i="2"/>
  <c r="J3013" i="2"/>
  <c r="G3013" i="2"/>
  <c r="P3371" i="2"/>
  <c r="J3371" i="2"/>
  <c r="G3371" i="2"/>
  <c r="P3493" i="2"/>
  <c r="J3493" i="2"/>
  <c r="G3493" i="2"/>
  <c r="P172" i="2"/>
  <c r="J172" i="2"/>
  <c r="G172" i="2"/>
  <c r="P3427" i="2"/>
  <c r="J3427" i="2"/>
  <c r="G3427" i="2"/>
  <c r="P3200" i="2"/>
  <c r="J3200" i="2"/>
  <c r="G3200" i="2"/>
  <c r="P3103" i="2"/>
  <c r="J3103" i="2"/>
  <c r="G3103" i="2"/>
  <c r="P3308" i="2"/>
  <c r="J3308" i="2"/>
  <c r="G3308" i="2"/>
  <c r="P3431" i="2"/>
  <c r="J3431" i="2"/>
  <c r="G3431" i="2"/>
  <c r="P582" i="2"/>
  <c r="J582" i="2"/>
  <c r="G582" i="2"/>
  <c r="P3352" i="2"/>
  <c r="J3352" i="2"/>
  <c r="G3352" i="2"/>
  <c r="P2376" i="2"/>
  <c r="J2376" i="2"/>
  <c r="G2376" i="2"/>
  <c r="P1939" i="2"/>
  <c r="J1939" i="2"/>
  <c r="G1939" i="2"/>
  <c r="P3451" i="2"/>
  <c r="J3451" i="2"/>
  <c r="G3451" i="2"/>
  <c r="P3393" i="2"/>
  <c r="J3393" i="2"/>
  <c r="G3393" i="2"/>
  <c r="P3376" i="2"/>
  <c r="J3376" i="2"/>
  <c r="G3376" i="2"/>
  <c r="P2372" i="2"/>
  <c r="J2372" i="2"/>
  <c r="G2372" i="2"/>
  <c r="P3278" i="2"/>
  <c r="J3278" i="2"/>
  <c r="G3278" i="2"/>
  <c r="P2676" i="2"/>
  <c r="J2676" i="2"/>
  <c r="G2676" i="2"/>
  <c r="P3252" i="2"/>
  <c r="J3252" i="2"/>
  <c r="G3252" i="2"/>
  <c r="P1019" i="2"/>
  <c r="J1019" i="2"/>
  <c r="G1019" i="2"/>
  <c r="P3076" i="2"/>
  <c r="J3076" i="2"/>
  <c r="G3076" i="2"/>
  <c r="P2632" i="2"/>
  <c r="J2632" i="2"/>
  <c r="G2632" i="2"/>
  <c r="P3283" i="2"/>
  <c r="J3283" i="2"/>
  <c r="G3283" i="2"/>
  <c r="P725" i="2"/>
  <c r="J725" i="2"/>
  <c r="G725" i="2"/>
  <c r="P3295" i="2"/>
  <c r="J3295" i="2"/>
  <c r="G3295" i="2"/>
  <c r="P3226" i="2"/>
  <c r="J3226" i="2"/>
  <c r="G3226" i="2"/>
  <c r="P3084" i="2"/>
  <c r="J3084" i="2"/>
  <c r="G3084" i="2"/>
  <c r="P3336" i="2"/>
  <c r="J3336" i="2"/>
  <c r="G3336" i="2"/>
  <c r="P3228" i="2"/>
  <c r="J3228" i="2"/>
  <c r="G3228" i="2"/>
  <c r="P1599" i="2"/>
  <c r="J1599" i="2"/>
  <c r="G1599" i="2"/>
  <c r="P490" i="2"/>
  <c r="J490" i="2"/>
  <c r="G490" i="2"/>
  <c r="P3276" i="2"/>
  <c r="J3276" i="2"/>
  <c r="G3276" i="2"/>
  <c r="P3157" i="2"/>
  <c r="J3157" i="2"/>
  <c r="G3157" i="2"/>
  <c r="P2830" i="2"/>
  <c r="J2830" i="2"/>
  <c r="G2830" i="2"/>
  <c r="P3392" i="2"/>
  <c r="J3392" i="2"/>
  <c r="G3392" i="2"/>
  <c r="P3413" i="2"/>
  <c r="J3413" i="2"/>
  <c r="G3413" i="2"/>
  <c r="P3474" i="2"/>
  <c r="J3474" i="2"/>
  <c r="G3474" i="2"/>
  <c r="P3338" i="2"/>
  <c r="J3338" i="2"/>
  <c r="G3338" i="2"/>
  <c r="P3245" i="2"/>
  <c r="J3245" i="2"/>
  <c r="G3245" i="2"/>
  <c r="P3337" i="2"/>
  <c r="J3337" i="2"/>
  <c r="G3337" i="2"/>
  <c r="P3090" i="2"/>
  <c r="J3090" i="2"/>
  <c r="G3090" i="2"/>
  <c r="P1970" i="2"/>
  <c r="J1970" i="2"/>
  <c r="G1970" i="2"/>
  <c r="P3091" i="2"/>
  <c r="J3091" i="2"/>
  <c r="G3091" i="2"/>
  <c r="P3372" i="2"/>
  <c r="J3372" i="2"/>
  <c r="G3372" i="2"/>
  <c r="P2342" i="2"/>
  <c r="J2342" i="2"/>
  <c r="G2342" i="2"/>
  <c r="P3246" i="2"/>
  <c r="J3246" i="2"/>
  <c r="G3246" i="2"/>
  <c r="P3440" i="2"/>
  <c r="J3440" i="2"/>
  <c r="G3440" i="2"/>
  <c r="P3094" i="2"/>
  <c r="J3094" i="2"/>
  <c r="G3094" i="2"/>
  <c r="P3386" i="2"/>
  <c r="J3386" i="2"/>
  <c r="G3386" i="2"/>
  <c r="P3343" i="2"/>
  <c r="J3343" i="2"/>
  <c r="G3343" i="2"/>
  <c r="P3269" i="2"/>
  <c r="J3269" i="2"/>
  <c r="G3269" i="2"/>
  <c r="P3158" i="2"/>
  <c r="J3158" i="2"/>
  <c r="G3158" i="2"/>
  <c r="P3426" i="2"/>
  <c r="J3426" i="2"/>
  <c r="G3426" i="2"/>
  <c r="P3266" i="2"/>
  <c r="J3266" i="2"/>
  <c r="G3266" i="2"/>
  <c r="P3358" i="2"/>
  <c r="J3358" i="2"/>
  <c r="G3358" i="2"/>
  <c r="P3217" i="2"/>
  <c r="J3217" i="2"/>
  <c r="G3217" i="2"/>
  <c r="P3129" i="2"/>
  <c r="J3129" i="2"/>
  <c r="G3129" i="2"/>
  <c r="P2813" i="2"/>
  <c r="J2813" i="2"/>
  <c r="G2813" i="2"/>
  <c r="P3375" i="2"/>
  <c r="J3375" i="2"/>
  <c r="G3375" i="2"/>
  <c r="P3303" i="2"/>
  <c r="J3303" i="2"/>
  <c r="G3303" i="2"/>
  <c r="P3173" i="2"/>
  <c r="J3173" i="2"/>
  <c r="G3173" i="2"/>
  <c r="P3096" i="2"/>
  <c r="J3096" i="2"/>
  <c r="G3096" i="2"/>
  <c r="P3285" i="2"/>
  <c r="J3285" i="2"/>
  <c r="G3285" i="2"/>
  <c r="P3268" i="2"/>
  <c r="J3268" i="2"/>
  <c r="G3268" i="2"/>
  <c r="P2821" i="2"/>
  <c r="J2821" i="2"/>
  <c r="G2821" i="2"/>
  <c r="P3155" i="2"/>
  <c r="J3155" i="2"/>
  <c r="G3155" i="2"/>
  <c r="P2316" i="2"/>
  <c r="J2316" i="2"/>
  <c r="G2316" i="2"/>
  <c r="P2315" i="2"/>
  <c r="J2315" i="2"/>
  <c r="G2315" i="2"/>
  <c r="P1822" i="2"/>
  <c r="J1822" i="2"/>
  <c r="G1822" i="2"/>
  <c r="P3357" i="2"/>
  <c r="J3357" i="2"/>
  <c r="G3357" i="2"/>
  <c r="P3351" i="2"/>
  <c r="J3351" i="2"/>
  <c r="G3351" i="2"/>
  <c r="P3454" i="2"/>
  <c r="J3454" i="2"/>
  <c r="G3454" i="2"/>
  <c r="P3382" i="2"/>
  <c r="J3382" i="2"/>
  <c r="G3382" i="2"/>
  <c r="P3475" i="2"/>
  <c r="J3475" i="2"/>
  <c r="G3475" i="2"/>
  <c r="P3156" i="2"/>
  <c r="J3156" i="2"/>
  <c r="G3156" i="2"/>
  <c r="P3186" i="2"/>
  <c r="J3186" i="2"/>
  <c r="G3186" i="2"/>
  <c r="P3247" i="2"/>
  <c r="J3247" i="2"/>
  <c r="G3247" i="2"/>
  <c r="P365" i="2"/>
  <c r="J365" i="2"/>
  <c r="G365" i="2"/>
  <c r="P3105" i="2"/>
  <c r="J3105" i="2"/>
  <c r="G3105" i="2"/>
  <c r="P3086" i="2"/>
  <c r="J3086" i="2"/>
  <c r="G3086" i="2"/>
  <c r="P3330" i="2"/>
  <c r="J3330" i="2"/>
  <c r="G3330" i="2"/>
  <c r="P3354" i="2"/>
  <c r="J3354" i="2"/>
  <c r="G3354" i="2"/>
  <c r="P3201" i="2"/>
  <c r="J3201" i="2"/>
  <c r="G3201" i="2"/>
  <c r="P3081" i="2"/>
  <c r="J3081" i="2"/>
  <c r="G3081" i="2"/>
  <c r="P3322" i="2"/>
  <c r="J3322" i="2"/>
  <c r="G3322" i="2"/>
  <c r="P3312" i="2"/>
  <c r="J3312" i="2"/>
  <c r="G3312" i="2"/>
  <c r="P3128" i="2"/>
  <c r="J3128" i="2"/>
  <c r="G3128" i="2"/>
  <c r="P3144" i="2"/>
  <c r="J3144" i="2"/>
  <c r="G3144" i="2"/>
  <c r="P3356" i="2"/>
  <c r="J3356" i="2"/>
  <c r="G3356" i="2"/>
  <c r="P2314" i="2"/>
  <c r="J2314" i="2"/>
  <c r="G2314" i="2"/>
  <c r="P1917" i="2"/>
  <c r="J1917" i="2"/>
  <c r="G1917" i="2"/>
  <c r="P3404" i="2"/>
  <c r="J3404" i="2"/>
  <c r="G3404" i="2"/>
  <c r="P3495" i="2"/>
  <c r="J3495" i="2"/>
  <c r="G3495" i="2"/>
  <c r="P3197" i="2"/>
  <c r="J3197" i="2"/>
  <c r="G3197" i="2"/>
  <c r="P1918" i="2"/>
  <c r="J1918" i="2"/>
  <c r="G1918" i="2"/>
  <c r="P3218" i="2"/>
  <c r="J3218" i="2"/>
  <c r="G3218" i="2"/>
  <c r="P3286" i="2"/>
  <c r="J3286" i="2"/>
  <c r="G3286" i="2"/>
  <c r="P2491" i="2"/>
  <c r="J2491" i="2"/>
  <c r="G2491" i="2"/>
  <c r="P3069" i="2"/>
  <c r="J3069" i="2"/>
  <c r="G3069" i="2"/>
  <c r="P3391" i="2"/>
  <c r="J3391" i="2"/>
  <c r="G3391" i="2"/>
  <c r="P3221" i="2"/>
  <c r="J3221" i="2"/>
  <c r="G3221" i="2"/>
  <c r="P3458" i="2"/>
  <c r="J3458" i="2"/>
  <c r="G3458" i="2"/>
  <c r="P3080" i="2"/>
  <c r="J3080" i="2"/>
  <c r="G3080" i="2"/>
  <c r="P3259" i="2"/>
  <c r="J3259" i="2"/>
  <c r="G3259" i="2"/>
  <c r="P3219" i="2"/>
  <c r="J3219" i="2"/>
  <c r="G3219" i="2"/>
  <c r="P3405" i="2"/>
  <c r="J3405" i="2"/>
  <c r="G3405" i="2"/>
  <c r="P3215" i="2"/>
  <c r="J3215" i="2"/>
  <c r="G3215" i="2"/>
  <c r="P3461" i="2"/>
  <c r="J3461" i="2"/>
  <c r="G3461" i="2"/>
  <c r="P3227" i="2"/>
  <c r="J3227" i="2"/>
  <c r="G3227" i="2"/>
  <c r="P3148" i="2"/>
  <c r="J3148" i="2"/>
  <c r="G3148" i="2"/>
  <c r="P500" i="2"/>
  <c r="J500" i="2"/>
  <c r="G500" i="2"/>
  <c r="J2759" i="2"/>
  <c r="G2759" i="2"/>
  <c r="P3450" i="2"/>
  <c r="J3450" i="2"/>
  <c r="G3450" i="2"/>
  <c r="P3229" i="2"/>
  <c r="J3229" i="2"/>
  <c r="G3229" i="2"/>
  <c r="P2773" i="2"/>
  <c r="J2773" i="2"/>
  <c r="G2773" i="2"/>
  <c r="P2808" i="2"/>
  <c r="J2808" i="2"/>
  <c r="G2808" i="2"/>
  <c r="P1186" i="2"/>
  <c r="J1186" i="2"/>
  <c r="G1186" i="2"/>
  <c r="P1205" i="2"/>
  <c r="J1205" i="2"/>
  <c r="G1205" i="2"/>
  <c r="P3327" i="2"/>
  <c r="J3327" i="2"/>
  <c r="G3327" i="2"/>
  <c r="P3439" i="2"/>
  <c r="J3439" i="2"/>
  <c r="G3439" i="2"/>
  <c r="P3142" i="2"/>
  <c r="J3142" i="2"/>
  <c r="G3142" i="2"/>
  <c r="P1915" i="2"/>
  <c r="J1915" i="2"/>
  <c r="G1915" i="2"/>
  <c r="P2460" i="2"/>
  <c r="J2460" i="2"/>
  <c r="G2460" i="2"/>
  <c r="P2915" i="2"/>
  <c r="J2915" i="2"/>
  <c r="G2915" i="2"/>
  <c r="P1188" i="2"/>
  <c r="J1188" i="2"/>
  <c r="G1188" i="2"/>
  <c r="P2851" i="2"/>
  <c r="J2851" i="2"/>
  <c r="G2851" i="2"/>
  <c r="P3146" i="2"/>
  <c r="J3146" i="2"/>
  <c r="G3146" i="2"/>
  <c r="P3311" i="2"/>
  <c r="J3311" i="2"/>
  <c r="G3311" i="2"/>
  <c r="P3478" i="2"/>
  <c r="J3478" i="2"/>
  <c r="G3478" i="2"/>
  <c r="P3468" i="2"/>
  <c r="J3468" i="2"/>
  <c r="G3468" i="2"/>
  <c r="P3140" i="2"/>
  <c r="J3140" i="2"/>
  <c r="G3140" i="2"/>
  <c r="P1916" i="2"/>
  <c r="J1916" i="2"/>
  <c r="G1916" i="2"/>
  <c r="P3385" i="2"/>
  <c r="J3385" i="2"/>
  <c r="G3385" i="2"/>
  <c r="P1241" i="2"/>
  <c r="J1241" i="2"/>
  <c r="G1241" i="2"/>
  <c r="P3137" i="2"/>
  <c r="J3137" i="2"/>
  <c r="G3137" i="2"/>
  <c r="P3435" i="2"/>
  <c r="J3435" i="2"/>
  <c r="G3435" i="2"/>
  <c r="P2322" i="2"/>
  <c r="J2322" i="2"/>
  <c r="G2322" i="2"/>
  <c r="P2321" i="2"/>
  <c r="J2321" i="2"/>
  <c r="G2321" i="2"/>
  <c r="P2320" i="2"/>
  <c r="J2320" i="2"/>
  <c r="G2320" i="2"/>
  <c r="P2554" i="2"/>
  <c r="J2554" i="2"/>
  <c r="G2554" i="2"/>
  <c r="P2319" i="2"/>
  <c r="J2319" i="2"/>
  <c r="G2319" i="2"/>
  <c r="P2318" i="2"/>
  <c r="J2318" i="2"/>
  <c r="G2318" i="2"/>
  <c r="P716" i="2"/>
  <c r="J716" i="2"/>
  <c r="G716" i="2"/>
  <c r="P1017" i="2"/>
  <c r="J1017" i="2"/>
  <c r="G1017" i="2"/>
  <c r="P2815" i="2"/>
  <c r="J2815" i="2"/>
  <c r="G2815" i="2"/>
  <c r="P1187" i="2"/>
  <c r="J1187" i="2"/>
  <c r="G1187" i="2"/>
  <c r="P1999" i="2"/>
  <c r="J1999" i="2"/>
  <c r="G1999" i="2"/>
  <c r="P3503" i="2"/>
  <c r="J3503" i="2"/>
  <c r="G3503" i="2"/>
  <c r="P3415" i="2"/>
  <c r="J3415" i="2"/>
  <c r="G3415" i="2"/>
  <c r="P2416" i="2"/>
  <c r="J2416" i="2"/>
  <c r="G2416" i="2"/>
  <c r="P2439" i="2"/>
  <c r="J2439" i="2"/>
  <c r="G2439" i="2"/>
  <c r="P2311" i="2"/>
  <c r="J2311" i="2"/>
  <c r="G2311" i="2"/>
  <c r="P2459" i="2"/>
  <c r="J2459" i="2"/>
  <c r="G2459" i="2"/>
  <c r="P3133" i="2"/>
  <c r="J3133" i="2"/>
  <c r="G3133" i="2"/>
  <c r="P3424" i="2"/>
  <c r="J3424" i="2"/>
  <c r="G3424" i="2"/>
  <c r="P2317" i="2"/>
  <c r="J2317" i="2"/>
  <c r="G2317" i="2"/>
  <c r="P216" i="2"/>
  <c r="J216" i="2"/>
  <c r="G216" i="2"/>
  <c r="P3462" i="2"/>
  <c r="J3462" i="2"/>
  <c r="G3462" i="2"/>
  <c r="P2438" i="2"/>
  <c r="J2438" i="2"/>
  <c r="G2438" i="2"/>
  <c r="P3214" i="2"/>
  <c r="J3214" i="2"/>
  <c r="G3214" i="2"/>
  <c r="P3309" i="2"/>
  <c r="J3309" i="2"/>
  <c r="G3309" i="2"/>
  <c r="P3379" i="2"/>
  <c r="J3379" i="2"/>
  <c r="G3379" i="2"/>
  <c r="P2310" i="2"/>
  <c r="J2310" i="2"/>
  <c r="G2310" i="2"/>
  <c r="P3383" i="2"/>
  <c r="J3383" i="2"/>
  <c r="G3383" i="2"/>
  <c r="P3074" i="2"/>
  <c r="J3074" i="2"/>
  <c r="G3074" i="2"/>
  <c r="P3467" i="2"/>
  <c r="J3467" i="2"/>
  <c r="G3467" i="2"/>
  <c r="P2809" i="2"/>
  <c r="J2809" i="2"/>
  <c r="G2809" i="2"/>
  <c r="P3254" i="2"/>
  <c r="J3254" i="2"/>
  <c r="G3254" i="2"/>
  <c r="P512" i="2"/>
  <c r="J512" i="2"/>
  <c r="G512" i="2"/>
  <c r="P3199" i="2"/>
  <c r="J3199" i="2"/>
  <c r="G3199" i="2"/>
  <c r="P2418" i="2"/>
  <c r="J2418" i="2"/>
  <c r="G2418" i="2"/>
  <c r="P3122" i="2"/>
  <c r="J3122" i="2"/>
  <c r="G3122" i="2"/>
  <c r="P2557" i="2"/>
  <c r="J2557" i="2"/>
  <c r="G2557" i="2"/>
  <c r="P3162" i="2"/>
  <c r="J3162" i="2"/>
  <c r="G3162" i="2"/>
  <c r="P3453" i="2"/>
  <c r="J3453" i="2"/>
  <c r="G3453" i="2"/>
  <c r="P3381" i="2"/>
  <c r="J3381" i="2"/>
  <c r="G3381" i="2"/>
  <c r="P3489" i="2"/>
  <c r="J3489" i="2"/>
  <c r="G3489" i="2"/>
  <c r="P3149" i="2"/>
  <c r="J3149" i="2"/>
  <c r="G3149" i="2"/>
  <c r="P3310" i="2"/>
  <c r="J3310" i="2"/>
  <c r="G3310" i="2"/>
  <c r="P2529" i="2"/>
  <c r="J2529" i="2"/>
  <c r="G2529" i="2"/>
  <c r="P3131" i="2"/>
  <c r="J3131" i="2"/>
  <c r="G3131" i="2"/>
  <c r="P3222" i="2"/>
  <c r="J3222" i="2"/>
  <c r="G3222" i="2"/>
  <c r="P3521" i="2"/>
  <c r="J3521" i="2"/>
  <c r="G3521" i="2"/>
  <c r="P3100" i="2"/>
  <c r="J3100" i="2"/>
  <c r="G3100" i="2"/>
  <c r="P2425" i="2"/>
  <c r="J2425" i="2"/>
  <c r="G2425" i="2"/>
  <c r="P1943" i="2"/>
  <c r="J1943" i="2"/>
  <c r="G1943" i="2"/>
  <c r="P261" i="2"/>
  <c r="J261" i="2"/>
  <c r="G261" i="2"/>
  <c r="J2983" i="2"/>
  <c r="G2983" i="2"/>
  <c r="P3225" i="2"/>
  <c r="J3225" i="2"/>
  <c r="G3225" i="2"/>
  <c r="P3492" i="2"/>
  <c r="J3492" i="2"/>
  <c r="G3492" i="2"/>
  <c r="P3455" i="2"/>
  <c r="J3455" i="2"/>
  <c r="G3455" i="2"/>
  <c r="P2818" i="2"/>
  <c r="J2818" i="2"/>
  <c r="G2818" i="2"/>
  <c r="P3224" i="2"/>
  <c r="J3224" i="2"/>
  <c r="G3224" i="2"/>
  <c r="P3163" i="2"/>
  <c r="J3163" i="2"/>
  <c r="G3163" i="2"/>
  <c r="P3305" i="2"/>
  <c r="J3305" i="2"/>
  <c r="G3305" i="2"/>
  <c r="P2860" i="2"/>
  <c r="J2860" i="2"/>
  <c r="G2860" i="2"/>
  <c r="P3412" i="2"/>
  <c r="J3412" i="2"/>
  <c r="G3412" i="2"/>
  <c r="P3369" i="2"/>
  <c r="J3369" i="2"/>
  <c r="G3369" i="2"/>
  <c r="P3255" i="2"/>
  <c r="J3255" i="2"/>
  <c r="G3255" i="2"/>
  <c r="P513" i="2"/>
  <c r="J513" i="2"/>
  <c r="G513" i="2"/>
  <c r="P3387" i="2"/>
  <c r="J3387" i="2"/>
  <c r="G3387" i="2"/>
  <c r="P2452" i="2"/>
  <c r="J2452" i="2"/>
  <c r="G2452" i="2"/>
  <c r="P3370" i="2"/>
  <c r="J3370" i="2"/>
  <c r="G3370" i="2"/>
  <c r="P2447" i="2"/>
  <c r="J2447" i="2"/>
  <c r="G2447" i="2"/>
  <c r="J3050" i="2"/>
  <c r="G3050" i="2"/>
  <c r="P3320" i="2"/>
  <c r="J3320" i="2"/>
  <c r="G3320" i="2"/>
  <c r="P3256" i="2"/>
  <c r="J3256" i="2"/>
  <c r="G3256" i="2"/>
  <c r="P3257" i="2"/>
  <c r="J3257" i="2"/>
  <c r="G3257" i="2"/>
  <c r="P3147" i="2"/>
  <c r="J3147" i="2"/>
  <c r="G3147" i="2"/>
  <c r="P3466" i="2"/>
  <c r="J3466" i="2"/>
  <c r="G3466" i="2"/>
  <c r="P3429" i="2"/>
  <c r="J3429" i="2"/>
  <c r="G3429" i="2"/>
  <c r="P3559" i="2"/>
  <c r="J3559" i="2"/>
  <c r="G3559" i="2"/>
  <c r="P3306" i="2"/>
  <c r="J3306" i="2"/>
  <c r="G3306" i="2"/>
  <c r="P3447" i="2"/>
  <c r="J3447" i="2"/>
  <c r="G3447" i="2"/>
  <c r="P287" i="2"/>
  <c r="J287" i="2"/>
  <c r="G287" i="2"/>
  <c r="P3138" i="2"/>
  <c r="J3138" i="2"/>
  <c r="G3138" i="2"/>
  <c r="P707" i="2"/>
  <c r="J707" i="2"/>
  <c r="G707" i="2"/>
  <c r="P3260" i="2"/>
  <c r="J3260" i="2"/>
  <c r="G3260" i="2"/>
  <c r="P1576" i="2"/>
  <c r="J1576" i="2"/>
  <c r="G1576" i="2"/>
  <c r="P3514" i="2"/>
  <c r="J3514" i="2"/>
  <c r="G3514" i="2"/>
  <c r="P356" i="2"/>
  <c r="J356" i="2"/>
  <c r="G356" i="2"/>
  <c r="P708" i="2"/>
  <c r="J708" i="2"/>
  <c r="G708" i="2"/>
  <c r="P478" i="2"/>
  <c r="J478" i="2"/>
  <c r="G478" i="2"/>
  <c r="P1744" i="2"/>
  <c r="J1744" i="2"/>
  <c r="G1744" i="2"/>
  <c r="P3294" i="2"/>
  <c r="J3294" i="2"/>
  <c r="G3294" i="2"/>
  <c r="P1603" i="2"/>
  <c r="J1603" i="2"/>
  <c r="G1603" i="2"/>
  <c r="P3349" i="2"/>
  <c r="J3349" i="2"/>
  <c r="G3349" i="2"/>
  <c r="P355" i="2"/>
  <c r="J355" i="2"/>
  <c r="G355" i="2"/>
  <c r="P2726" i="2"/>
  <c r="J2726" i="2"/>
  <c r="G2726" i="2"/>
  <c r="P3437" i="2"/>
  <c r="J3437" i="2"/>
  <c r="G3437" i="2"/>
  <c r="P2457" i="2"/>
  <c r="J2457" i="2"/>
  <c r="G2457" i="2"/>
  <c r="P706" i="2"/>
  <c r="J706" i="2"/>
  <c r="G706" i="2"/>
  <c r="P354" i="2"/>
  <c r="J354" i="2"/>
  <c r="G354" i="2"/>
  <c r="P705" i="2"/>
  <c r="J705" i="2"/>
  <c r="G705" i="2"/>
  <c r="P2458" i="2"/>
  <c r="J2458" i="2"/>
  <c r="G2458" i="2"/>
  <c r="P2328" i="2"/>
  <c r="J2328" i="2"/>
  <c r="G2328" i="2"/>
  <c r="P353" i="2"/>
  <c r="J353" i="2"/>
  <c r="G353" i="2"/>
  <c r="P1419" i="2"/>
  <c r="J1419" i="2"/>
  <c r="G1419" i="2"/>
  <c r="P3089" i="2"/>
  <c r="J3089" i="2"/>
  <c r="G3089" i="2"/>
  <c r="P2248" i="2"/>
  <c r="J2248" i="2"/>
  <c r="G2248" i="2"/>
  <c r="P3208" i="2"/>
  <c r="J3208" i="2"/>
  <c r="G3208" i="2"/>
  <c r="P3307" i="2"/>
  <c r="J3307" i="2"/>
  <c r="G3307" i="2"/>
  <c r="P609" i="2"/>
  <c r="J609" i="2"/>
  <c r="G609" i="2"/>
  <c r="P3344" i="2"/>
  <c r="J3344" i="2"/>
  <c r="G3344" i="2"/>
  <c r="P2817" i="2"/>
  <c r="J2817" i="2"/>
  <c r="G2817" i="2"/>
  <c r="P3180" i="2"/>
  <c r="J3180" i="2"/>
  <c r="G3180" i="2"/>
  <c r="P2490" i="2"/>
  <c r="J2490" i="2"/>
  <c r="G2490" i="2"/>
  <c r="P3364" i="2"/>
  <c r="J3364" i="2"/>
  <c r="G3364" i="2"/>
  <c r="P2349" i="2"/>
  <c r="J2349" i="2"/>
  <c r="G2349" i="2"/>
  <c r="J3044" i="2"/>
  <c r="G3044" i="2"/>
  <c r="P2852" i="2"/>
  <c r="J2852" i="2"/>
  <c r="G2852" i="2"/>
  <c r="P2375" i="2"/>
  <c r="J2375" i="2"/>
  <c r="G2375" i="2"/>
  <c r="P2845" i="2"/>
  <c r="J2845" i="2"/>
  <c r="G2845" i="2"/>
  <c r="P1686" i="2"/>
  <c r="J1686" i="2"/>
  <c r="G1686" i="2"/>
  <c r="P3195" i="2"/>
  <c r="J3195" i="2"/>
  <c r="G3195" i="2"/>
  <c r="P3361" i="2"/>
  <c r="J3361" i="2"/>
  <c r="G3361" i="2"/>
  <c r="P3212" i="2"/>
  <c r="J3212" i="2"/>
  <c r="G3212" i="2"/>
  <c r="P3181" i="2"/>
  <c r="J3181" i="2"/>
  <c r="G3181" i="2"/>
  <c r="P2196" i="2"/>
  <c r="J2196" i="2"/>
  <c r="G2196" i="2"/>
  <c r="J3034" i="2"/>
  <c r="G3034" i="2"/>
  <c r="P1564" i="2"/>
  <c r="J1564" i="2"/>
  <c r="G1564" i="2"/>
  <c r="P3459" i="2"/>
  <c r="J3459" i="2"/>
  <c r="G3459" i="2"/>
  <c r="P662" i="2"/>
  <c r="J662" i="2"/>
  <c r="G662" i="2"/>
  <c r="P3130" i="2"/>
  <c r="J3130" i="2"/>
  <c r="G3130" i="2"/>
  <c r="P2816" i="2"/>
  <c r="J2816" i="2"/>
  <c r="G2816" i="2"/>
  <c r="P726" i="2"/>
  <c r="J726" i="2"/>
  <c r="G726" i="2"/>
  <c r="P3321" i="2"/>
  <c r="J3321" i="2"/>
  <c r="G3321" i="2"/>
  <c r="P3136" i="2"/>
  <c r="J3136" i="2"/>
  <c r="G3136" i="2"/>
  <c r="P3101" i="2"/>
  <c r="J3101" i="2"/>
  <c r="G3101" i="2"/>
  <c r="P3422" i="2"/>
  <c r="J3422" i="2"/>
  <c r="G3422" i="2"/>
  <c r="P3213" i="2"/>
  <c r="J3213" i="2"/>
  <c r="G3213" i="2"/>
  <c r="P2842" i="2"/>
  <c r="J2842" i="2"/>
  <c r="G2842" i="2"/>
  <c r="P859" i="2"/>
  <c r="J859" i="2"/>
  <c r="G859" i="2"/>
  <c r="P615" i="2"/>
  <c r="J615" i="2"/>
  <c r="G615" i="2"/>
  <c r="P3293" i="2"/>
  <c r="J3293" i="2"/>
  <c r="G3293" i="2"/>
  <c r="P3362" i="2"/>
  <c r="J3362" i="2"/>
  <c r="G3362" i="2"/>
  <c r="P2846" i="2"/>
  <c r="J2846" i="2"/>
  <c r="G2846" i="2"/>
  <c r="P676" i="2"/>
  <c r="J676" i="2"/>
  <c r="G676" i="2"/>
  <c r="P3104" i="2"/>
  <c r="J3104" i="2"/>
  <c r="G3104" i="2"/>
  <c r="P3099" i="2"/>
  <c r="J3099" i="2"/>
  <c r="G3099" i="2"/>
  <c r="P3112" i="2"/>
  <c r="J3112" i="2"/>
  <c r="G3112" i="2"/>
  <c r="P3428" i="2"/>
  <c r="J3428" i="2"/>
  <c r="G3428" i="2"/>
  <c r="J3049" i="2"/>
  <c r="G3049" i="2"/>
  <c r="P269" i="2"/>
  <c r="J269" i="2"/>
  <c r="G269" i="2"/>
  <c r="P3111" i="2"/>
  <c r="J3111" i="2"/>
  <c r="G3111" i="2"/>
  <c r="P3110" i="2"/>
  <c r="J3110" i="2"/>
  <c r="G3110" i="2"/>
  <c r="P3490" i="2"/>
  <c r="J3490" i="2"/>
  <c r="G3490" i="2"/>
  <c r="P3109" i="2"/>
  <c r="J3109" i="2"/>
  <c r="G3109" i="2"/>
  <c r="P3394" i="2"/>
  <c r="J3394" i="2"/>
  <c r="G3394" i="2"/>
  <c r="J3048" i="2"/>
  <c r="G3048" i="2"/>
  <c r="P3193" i="2"/>
  <c r="J3193" i="2"/>
  <c r="G3193" i="2"/>
  <c r="P3373" i="2"/>
  <c r="J3373" i="2"/>
  <c r="G3373" i="2"/>
  <c r="P3407" i="2"/>
  <c r="J3407" i="2"/>
  <c r="G3407" i="2"/>
  <c r="P3446" i="2"/>
  <c r="J3446" i="2"/>
  <c r="G3446" i="2"/>
  <c r="P1529" i="2"/>
  <c r="J1529" i="2"/>
  <c r="G1529" i="2"/>
  <c r="P3438" i="2"/>
  <c r="J3438" i="2"/>
  <c r="G3438" i="2"/>
  <c r="P3279" i="2"/>
  <c r="J3279" i="2"/>
  <c r="G3279" i="2"/>
  <c r="P3187" i="2"/>
  <c r="J3187" i="2"/>
  <c r="G3187" i="2"/>
  <c r="P1961" i="2"/>
  <c r="J1961" i="2"/>
  <c r="G1961" i="2"/>
  <c r="P2287" i="2"/>
  <c r="J2287" i="2"/>
  <c r="G2287" i="2"/>
  <c r="P3179" i="2"/>
  <c r="J3179" i="2"/>
  <c r="G3179" i="2"/>
  <c r="P3328" i="2"/>
  <c r="J3328" i="2"/>
  <c r="G3328" i="2"/>
  <c r="P1859" i="2"/>
  <c r="J1859" i="2"/>
  <c r="G1859" i="2"/>
  <c r="P3095" i="2"/>
  <c r="J3095" i="2"/>
  <c r="G3095" i="2"/>
  <c r="P1052" i="2"/>
  <c r="J1052" i="2"/>
  <c r="G1052" i="2"/>
  <c r="J2997" i="2"/>
  <c r="G2997" i="2"/>
  <c r="P3432" i="2"/>
  <c r="J3432" i="2"/>
  <c r="G3432" i="2"/>
  <c r="P2665" i="2"/>
  <c r="J2665" i="2"/>
  <c r="G2665" i="2"/>
  <c r="P1091" i="2"/>
  <c r="J1091" i="2"/>
  <c r="G1091" i="2"/>
  <c r="P3359" i="2"/>
  <c r="J3359" i="2"/>
  <c r="G3359" i="2"/>
  <c r="P3340" i="2"/>
  <c r="J3340" i="2"/>
  <c r="G3340" i="2"/>
  <c r="P2664" i="2"/>
  <c r="J2664" i="2"/>
  <c r="G2664" i="2"/>
  <c r="P3497" i="2"/>
  <c r="J3497" i="2"/>
  <c r="G3497" i="2"/>
  <c r="P2238" i="2"/>
  <c r="J2238" i="2"/>
  <c r="G2238" i="2"/>
  <c r="P588" i="2"/>
  <c r="J588" i="2"/>
  <c r="G588" i="2"/>
  <c r="P2663" i="2"/>
  <c r="J2663" i="2"/>
  <c r="G2663" i="2"/>
  <c r="P2667" i="2"/>
  <c r="J2667" i="2"/>
  <c r="G2667" i="2"/>
  <c r="P2832" i="2"/>
  <c r="J2832" i="2"/>
  <c r="G2832" i="2"/>
  <c r="P2662" i="2"/>
  <c r="J2662" i="2"/>
  <c r="G2662" i="2"/>
  <c r="P2660" i="2"/>
  <c r="J2660" i="2"/>
  <c r="G2660" i="2"/>
  <c r="P1215" i="2"/>
  <c r="J1215" i="2"/>
  <c r="G1215" i="2"/>
  <c r="P32" i="2"/>
  <c r="J32" i="2"/>
  <c r="G32" i="2"/>
  <c r="P2666" i="2"/>
  <c r="J2666" i="2"/>
  <c r="G2666" i="2"/>
  <c r="P2661" i="2"/>
  <c r="J2661" i="2"/>
  <c r="G2661" i="2"/>
  <c r="P2730" i="2"/>
  <c r="J2730" i="2"/>
  <c r="G2730" i="2"/>
  <c r="P1264" i="2"/>
  <c r="J1264" i="2"/>
  <c r="G1264" i="2"/>
  <c r="P2656" i="2"/>
  <c r="J2656" i="2"/>
  <c r="G2656" i="2"/>
  <c r="P2670" i="2"/>
  <c r="J2670" i="2"/>
  <c r="G2670" i="2"/>
  <c r="P1020" i="2"/>
  <c r="J1020" i="2"/>
  <c r="G1020" i="2"/>
  <c r="P1105" i="2"/>
  <c r="J1105" i="2"/>
  <c r="G1105" i="2"/>
  <c r="P1165" i="2"/>
  <c r="J1165" i="2"/>
  <c r="G1165" i="2"/>
  <c r="P2245" i="2"/>
  <c r="J2245" i="2"/>
  <c r="G2245" i="2"/>
  <c r="P643" i="2"/>
  <c r="J643" i="2"/>
  <c r="G643" i="2"/>
  <c r="J3008" i="2"/>
  <c r="G3008" i="2"/>
  <c r="P2969" i="2"/>
  <c r="J2969" i="2"/>
  <c r="G2969" i="2"/>
  <c r="P1109" i="2"/>
  <c r="J1109" i="2"/>
  <c r="G1109" i="2"/>
  <c r="P1743" i="2"/>
  <c r="J1743" i="2"/>
  <c r="G1743" i="2"/>
  <c r="P1110" i="2"/>
  <c r="J1110" i="2"/>
  <c r="G1110" i="2"/>
  <c r="P3297" i="2"/>
  <c r="J3297" i="2"/>
  <c r="G3297" i="2"/>
  <c r="P2949" i="2"/>
  <c r="J2949" i="2"/>
  <c r="G2949" i="2"/>
  <c r="P2906" i="2"/>
  <c r="J2906" i="2"/>
  <c r="G2906" i="2"/>
  <c r="P1214" i="2"/>
  <c r="J1214" i="2"/>
  <c r="G1214" i="2"/>
  <c r="P2957" i="2"/>
  <c r="J2957" i="2"/>
  <c r="G2957" i="2"/>
  <c r="P2294" i="2"/>
  <c r="J2294" i="2"/>
  <c r="G2294" i="2"/>
  <c r="P1155" i="2"/>
  <c r="J1155" i="2"/>
  <c r="G1155" i="2"/>
  <c r="P307" i="2"/>
  <c r="J307" i="2"/>
  <c r="G307" i="2"/>
  <c r="P2657" i="2"/>
  <c r="J2657" i="2"/>
  <c r="G2657" i="2"/>
  <c r="P2701" i="2"/>
  <c r="J2701" i="2"/>
  <c r="G2701" i="2"/>
  <c r="J3010" i="2"/>
  <c r="G3010" i="2"/>
  <c r="P2928" i="2"/>
  <c r="J2928" i="2"/>
  <c r="G2928" i="2"/>
  <c r="P1235" i="2"/>
  <c r="J1235" i="2"/>
  <c r="G1235" i="2"/>
  <c r="P2658" i="2"/>
  <c r="J2658" i="2"/>
  <c r="G2658" i="2"/>
  <c r="P399" i="2"/>
  <c r="J399" i="2"/>
  <c r="G399" i="2"/>
  <c r="P2650" i="2"/>
  <c r="J2650" i="2"/>
  <c r="G2650" i="2"/>
  <c r="P2353" i="2"/>
  <c r="J2353" i="2"/>
  <c r="G2353" i="2"/>
  <c r="P2711" i="2"/>
  <c r="J2711" i="2"/>
  <c r="G2711" i="2"/>
  <c r="P31" i="2"/>
  <c r="J31" i="2"/>
  <c r="G31" i="2"/>
  <c r="P2712" i="2"/>
  <c r="J2712" i="2"/>
  <c r="G2712" i="2"/>
  <c r="P1530" i="2"/>
  <c r="J1530" i="2"/>
  <c r="G1530" i="2"/>
  <c r="P525" i="2"/>
  <c r="J525" i="2"/>
  <c r="G525" i="2"/>
  <c r="P1989" i="2"/>
  <c r="J1989" i="2"/>
  <c r="G1989" i="2"/>
  <c r="P2919" i="2"/>
  <c r="J2919" i="2"/>
  <c r="G2919" i="2"/>
  <c r="P2882" i="2"/>
  <c r="J2882" i="2"/>
  <c r="G2882" i="2"/>
  <c r="P1685" i="2"/>
  <c r="J1685" i="2"/>
  <c r="G1685" i="2"/>
  <c r="P1715" i="2"/>
  <c r="J1715" i="2"/>
  <c r="G1715" i="2"/>
  <c r="P1117" i="2"/>
  <c r="J1117" i="2"/>
  <c r="G1117" i="2"/>
  <c r="P2273" i="2"/>
  <c r="J2273" i="2"/>
  <c r="G2273" i="2"/>
  <c r="P2033" i="2"/>
  <c r="J2033" i="2"/>
  <c r="G2033" i="2"/>
  <c r="P2250" i="2"/>
  <c r="J2250" i="2"/>
  <c r="G2250" i="2"/>
  <c r="P1164" i="2"/>
  <c r="J1164" i="2"/>
  <c r="G1164" i="2"/>
  <c r="P154" i="2"/>
  <c r="J154" i="2"/>
  <c r="G154" i="2"/>
  <c r="P2154" i="2"/>
  <c r="J2154" i="2"/>
  <c r="G2154" i="2"/>
  <c r="P422" i="2"/>
  <c r="J422" i="2"/>
  <c r="G422" i="2"/>
  <c r="P755" i="2"/>
  <c r="J755" i="2"/>
  <c r="G755" i="2"/>
  <c r="P2153" i="2"/>
  <c r="J2153" i="2"/>
  <c r="G2153" i="2"/>
  <c r="P529" i="2"/>
  <c r="J529" i="2"/>
  <c r="G529" i="2"/>
  <c r="P530" i="2"/>
  <c r="J530" i="2"/>
  <c r="G530" i="2"/>
  <c r="P1640" i="2"/>
  <c r="J1640" i="2"/>
  <c r="G1640" i="2"/>
  <c r="P1753" i="2"/>
  <c r="J1753" i="2"/>
  <c r="G1753" i="2"/>
  <c r="P756" i="2"/>
  <c r="J756" i="2"/>
  <c r="G756" i="2"/>
  <c r="P1435" i="2"/>
  <c r="J1435" i="2"/>
  <c r="G1435" i="2"/>
  <c r="P798" i="2"/>
  <c r="J798" i="2"/>
  <c r="G798" i="2"/>
  <c r="P1024" i="2"/>
  <c r="J1024" i="2"/>
  <c r="G1024" i="2"/>
  <c r="P263" i="2"/>
  <c r="J263" i="2"/>
  <c r="G263" i="2"/>
  <c r="P2182" i="2"/>
  <c r="J2182" i="2"/>
  <c r="G2182" i="2"/>
  <c r="P1438" i="2"/>
  <c r="J1438" i="2"/>
  <c r="G1438" i="2"/>
  <c r="P927" i="2"/>
  <c r="J927" i="2"/>
  <c r="G927" i="2"/>
  <c r="P2796" i="2"/>
  <c r="J2796" i="2"/>
  <c r="G2796" i="2"/>
  <c r="P91" i="2"/>
  <c r="J91" i="2"/>
  <c r="G91" i="2"/>
  <c r="P627" i="2"/>
  <c r="J627" i="2"/>
  <c r="G627" i="2"/>
  <c r="P1444" i="2"/>
  <c r="J1444" i="2"/>
  <c r="G1444" i="2"/>
  <c r="P3077" i="2"/>
  <c r="J3077" i="2"/>
  <c r="G3077" i="2"/>
  <c r="P1099" i="2"/>
  <c r="J1099" i="2"/>
  <c r="G1099" i="2"/>
  <c r="P2026" i="2"/>
  <c r="J2026" i="2"/>
  <c r="G2026" i="2"/>
  <c r="P807" i="2"/>
  <c r="J807" i="2"/>
  <c r="G807" i="2"/>
  <c r="P753" i="2"/>
  <c r="J753" i="2"/>
  <c r="G753" i="2"/>
  <c r="P852" i="2"/>
  <c r="J852" i="2"/>
  <c r="G852" i="2"/>
  <c r="P2336" i="2"/>
  <c r="J2336" i="2"/>
  <c r="G2336" i="2"/>
  <c r="P1288" i="2"/>
  <c r="J1288" i="2"/>
  <c r="G1288" i="2"/>
  <c r="P341" i="2"/>
  <c r="J341" i="2"/>
  <c r="G341" i="2"/>
  <c r="P1106" i="2"/>
  <c r="J1106" i="2"/>
  <c r="G1106" i="2"/>
  <c r="P1242" i="2"/>
  <c r="J1242" i="2"/>
  <c r="G1242" i="2"/>
  <c r="P1684" i="2"/>
  <c r="J1684" i="2"/>
  <c r="G1684" i="2"/>
  <c r="P348" i="2"/>
  <c r="J348" i="2"/>
  <c r="G348" i="2"/>
  <c r="P2659" i="2"/>
  <c r="J2659" i="2"/>
  <c r="G2659" i="2"/>
  <c r="P2387" i="2"/>
  <c r="J2387" i="2"/>
  <c r="G2387" i="2"/>
  <c r="P390" i="2"/>
  <c r="J390" i="2"/>
  <c r="G390" i="2"/>
  <c r="P1713" i="2"/>
  <c r="J1713" i="2"/>
  <c r="G1713" i="2"/>
  <c r="P1629" i="2"/>
  <c r="J1629" i="2"/>
  <c r="G1629" i="2"/>
  <c r="P171" i="2"/>
  <c r="J171" i="2"/>
  <c r="G171" i="2"/>
  <c r="P2698" i="2"/>
  <c r="J2698" i="2"/>
  <c r="G2698" i="2"/>
  <c r="P2103" i="2"/>
  <c r="J2103" i="2"/>
  <c r="G2103" i="2"/>
  <c r="P2649" i="2"/>
  <c r="J2649" i="2"/>
  <c r="G2649" i="2"/>
  <c r="P2165" i="2"/>
  <c r="J2165" i="2"/>
  <c r="G2165" i="2"/>
  <c r="P2166" i="2"/>
  <c r="J2166" i="2"/>
  <c r="G2166" i="2"/>
  <c r="P1542" i="2"/>
  <c r="J1542" i="2"/>
  <c r="G1542" i="2"/>
  <c r="P22" i="2"/>
  <c r="J22" i="2"/>
  <c r="G22" i="2"/>
  <c r="P155" i="2"/>
  <c r="J155" i="2"/>
  <c r="G155" i="2"/>
  <c r="P358" i="2"/>
  <c r="J358" i="2"/>
  <c r="G358" i="2"/>
  <c r="P2714" i="2"/>
  <c r="J2714" i="2"/>
  <c r="G2714" i="2"/>
  <c r="P2271" i="2"/>
  <c r="J2271" i="2"/>
  <c r="G2271" i="2"/>
  <c r="P424" i="2"/>
  <c r="J424" i="2"/>
  <c r="G424" i="2"/>
  <c r="P2449" i="2"/>
  <c r="J2449" i="2"/>
  <c r="G2449" i="2"/>
  <c r="P2669" i="2"/>
  <c r="J2669" i="2"/>
  <c r="G2669" i="2"/>
  <c r="P147" i="2"/>
  <c r="J147" i="2"/>
  <c r="G147" i="2"/>
  <c r="P23" i="2"/>
  <c r="J23" i="2"/>
  <c r="G23" i="2"/>
  <c r="P2595" i="2"/>
  <c r="J2595" i="2"/>
  <c r="G2595" i="2"/>
  <c r="P961" i="2"/>
  <c r="J961" i="2"/>
  <c r="G961" i="2"/>
  <c r="P2202" i="2"/>
  <c r="J2202" i="2"/>
  <c r="G2202" i="2"/>
  <c r="P345" i="2"/>
  <c r="J345" i="2"/>
  <c r="G345" i="2"/>
  <c r="P1414" i="2"/>
  <c r="J1414" i="2"/>
  <c r="G1414" i="2"/>
  <c r="P754" i="2"/>
  <c r="J754" i="2"/>
  <c r="G754" i="2"/>
  <c r="P613" i="2"/>
  <c r="J613" i="2"/>
  <c r="G613" i="2"/>
  <c r="P3270" i="2"/>
  <c r="J3270" i="2"/>
  <c r="G3270" i="2"/>
  <c r="P3273" i="2"/>
  <c r="J3273" i="2"/>
  <c r="G3273" i="2"/>
  <c r="P2042" i="2"/>
  <c r="J2042" i="2"/>
  <c r="G2042" i="2"/>
  <c r="P3551" i="2"/>
  <c r="J3551" i="2"/>
  <c r="G3551" i="2"/>
  <c r="P2731" i="2"/>
  <c r="J2731" i="2"/>
  <c r="G2731" i="2"/>
  <c r="P2558" i="2"/>
  <c r="J2558" i="2"/>
  <c r="G2558" i="2"/>
  <c r="P310" i="2"/>
  <c r="J310" i="2"/>
  <c r="G310" i="2"/>
  <c r="P2668" i="2"/>
  <c r="J2668" i="2"/>
  <c r="G2668" i="2"/>
  <c r="P2487" i="2"/>
  <c r="J2487" i="2"/>
  <c r="G2487" i="2"/>
  <c r="P2971" i="2"/>
  <c r="J2971" i="2"/>
  <c r="G2971" i="2"/>
  <c r="P268" i="2"/>
  <c r="J268" i="2"/>
  <c r="G268" i="2"/>
  <c r="P2885" i="2"/>
  <c r="J2885" i="2"/>
  <c r="G2885" i="2"/>
  <c r="J3017" i="2"/>
  <c r="G3017" i="2"/>
  <c r="J3016" i="2"/>
  <c r="G3016" i="2"/>
  <c r="P2074" i="2"/>
  <c r="J2074" i="2"/>
  <c r="G2074" i="2"/>
  <c r="P2251" i="2"/>
  <c r="J2251" i="2"/>
  <c r="G2251" i="2"/>
  <c r="P3123" i="2"/>
  <c r="J3123" i="2"/>
  <c r="G3123" i="2"/>
  <c r="J3024" i="2"/>
  <c r="G3024" i="2"/>
  <c r="P724" i="2"/>
  <c r="J724" i="2"/>
  <c r="G724" i="2"/>
  <c r="P1507" i="2"/>
  <c r="J1507" i="2"/>
  <c r="G1507" i="2"/>
  <c r="P2887" i="2"/>
  <c r="J2887" i="2"/>
  <c r="G2887" i="2"/>
  <c r="P773" i="2"/>
  <c r="J773" i="2"/>
  <c r="G773" i="2"/>
  <c r="P2596" i="2"/>
  <c r="J2596" i="2"/>
  <c r="G2596" i="2"/>
  <c r="P1662" i="2"/>
  <c r="J1662" i="2"/>
  <c r="G1662" i="2"/>
  <c r="P722" i="2"/>
  <c r="J722" i="2"/>
  <c r="G722" i="2"/>
  <c r="P33" i="2"/>
  <c r="J33" i="2"/>
  <c r="G33" i="2"/>
  <c r="P2260" i="2"/>
  <c r="J2260" i="2"/>
  <c r="G2260" i="2"/>
  <c r="P2253" i="2"/>
  <c r="J2253" i="2"/>
  <c r="G2253" i="2"/>
  <c r="P723" i="2"/>
  <c r="J723" i="2"/>
  <c r="G723" i="2"/>
  <c r="P836" i="2"/>
  <c r="J836" i="2"/>
  <c r="G836" i="2"/>
  <c r="P78" i="2"/>
  <c r="J78" i="2"/>
  <c r="G78" i="2"/>
  <c r="P1880" i="2"/>
  <c r="J1880" i="2"/>
  <c r="G1880" i="2"/>
  <c r="P718" i="2"/>
  <c r="J718" i="2"/>
  <c r="G718" i="2"/>
  <c r="P1883" i="2"/>
  <c r="J1883" i="2"/>
  <c r="G1883" i="2"/>
  <c r="J3020" i="2"/>
  <c r="G3020" i="2"/>
  <c r="P2184" i="2"/>
  <c r="J2184" i="2"/>
  <c r="G2184" i="2"/>
  <c r="P719" i="2"/>
  <c r="J719" i="2"/>
  <c r="G719" i="2"/>
  <c r="P1549" i="2"/>
  <c r="J1549" i="2"/>
  <c r="G1549" i="2"/>
  <c r="P721" i="2"/>
  <c r="J721" i="2"/>
  <c r="G721" i="2"/>
  <c r="P2883" i="2"/>
  <c r="J2883" i="2"/>
  <c r="G2883" i="2"/>
  <c r="P3550" i="2"/>
  <c r="J3550" i="2"/>
  <c r="G3550" i="2"/>
  <c r="P495" i="2"/>
  <c r="J495" i="2"/>
  <c r="G495" i="2"/>
  <c r="J3023" i="2"/>
  <c r="G3023" i="2"/>
  <c r="P891" i="2"/>
  <c r="J891" i="2"/>
  <c r="G891" i="2"/>
  <c r="J3037" i="2"/>
  <c r="G3037" i="2"/>
  <c r="P2155" i="2"/>
  <c r="J2155" i="2"/>
  <c r="G2155" i="2"/>
  <c r="P2054" i="2"/>
  <c r="J2054" i="2"/>
  <c r="G2054" i="2"/>
  <c r="J3041" i="2"/>
  <c r="G3041" i="2"/>
  <c r="P1984" i="2"/>
  <c r="J1984" i="2"/>
  <c r="G1984" i="2"/>
  <c r="P2059" i="2"/>
  <c r="J2059" i="2"/>
  <c r="G2059" i="2"/>
  <c r="P2121" i="2"/>
  <c r="J2121" i="2"/>
  <c r="G2121" i="2"/>
  <c r="P1985" i="2"/>
  <c r="J1985" i="2"/>
  <c r="G1985" i="2"/>
  <c r="P2060" i="2"/>
  <c r="J2060" i="2"/>
  <c r="G2060" i="2"/>
  <c r="P1983" i="2"/>
  <c r="J1983" i="2"/>
  <c r="G1983" i="2"/>
  <c r="P1035" i="2"/>
  <c r="J1035" i="2"/>
  <c r="G1035" i="2"/>
  <c r="J3001" i="2"/>
  <c r="G3001" i="2"/>
  <c r="P2064" i="2"/>
  <c r="J2064" i="2"/>
  <c r="G2064" i="2"/>
  <c r="P1038" i="2"/>
  <c r="J1038" i="2"/>
  <c r="G1038" i="2"/>
  <c r="P2046" i="2"/>
  <c r="J2046" i="2"/>
  <c r="G2046" i="2"/>
  <c r="P229" i="2"/>
  <c r="J229" i="2"/>
  <c r="G229" i="2"/>
  <c r="P1635" i="2"/>
  <c r="J1635" i="2"/>
  <c r="G1635" i="2"/>
  <c r="P2067" i="2"/>
  <c r="J2067" i="2"/>
  <c r="G2067" i="2"/>
  <c r="P152" i="2"/>
  <c r="J152" i="2"/>
  <c r="G152" i="2"/>
  <c r="P2066" i="2"/>
  <c r="J2066" i="2"/>
  <c r="G2066" i="2"/>
  <c r="P1037" i="2"/>
  <c r="J1037" i="2"/>
  <c r="G1037" i="2"/>
  <c r="P2191" i="2"/>
  <c r="J2191" i="2"/>
  <c r="G2191" i="2"/>
  <c r="P153" i="2"/>
  <c r="J153" i="2"/>
  <c r="G153" i="2"/>
  <c r="P1036" i="2"/>
  <c r="J1036" i="2"/>
  <c r="G1036" i="2"/>
  <c r="P2172" i="2"/>
  <c r="J2172" i="2"/>
  <c r="G2172" i="2"/>
  <c r="P2047" i="2"/>
  <c r="J2047" i="2"/>
  <c r="G2047" i="2"/>
  <c r="P2056" i="2"/>
  <c r="J2056" i="2"/>
  <c r="G2056" i="2"/>
  <c r="P30" i="2"/>
  <c r="J30" i="2"/>
  <c r="G30" i="2"/>
  <c r="P315" i="2"/>
  <c r="J315" i="2"/>
  <c r="G315" i="2"/>
  <c r="P2220" i="2"/>
  <c r="J2220" i="2"/>
  <c r="G2220" i="2"/>
  <c r="P2045" i="2"/>
  <c r="J2045" i="2"/>
  <c r="G2045" i="2"/>
  <c r="P316" i="2"/>
  <c r="J316" i="2"/>
  <c r="G316" i="2"/>
  <c r="P2057" i="2"/>
  <c r="J2057" i="2"/>
  <c r="G2057" i="2"/>
  <c r="P2049" i="2"/>
  <c r="J2049" i="2"/>
  <c r="G2049" i="2"/>
  <c r="P2221" i="2"/>
  <c r="J2221" i="2"/>
  <c r="G2221" i="2"/>
  <c r="P2190" i="2"/>
  <c r="J2190" i="2"/>
  <c r="G2190" i="2"/>
  <c r="J3026" i="2"/>
  <c r="G3026" i="2"/>
  <c r="P312" i="2"/>
  <c r="J312" i="2"/>
  <c r="G312" i="2"/>
  <c r="P2053" i="2"/>
  <c r="J2053" i="2"/>
  <c r="G2053" i="2"/>
  <c r="P309" i="2"/>
  <c r="J309" i="2"/>
  <c r="G309" i="2"/>
  <c r="P2063" i="2"/>
  <c r="J2063" i="2"/>
  <c r="G2063" i="2"/>
  <c r="P1505" i="2"/>
  <c r="J1505" i="2"/>
  <c r="G1505" i="2"/>
  <c r="P787" i="2"/>
  <c r="J787" i="2"/>
  <c r="G787" i="2"/>
  <c r="P308" i="2"/>
  <c r="J308" i="2"/>
  <c r="G308" i="2"/>
  <c r="P2055" i="2"/>
  <c r="J2055" i="2"/>
  <c r="G2055" i="2"/>
  <c r="P2386" i="2"/>
  <c r="J2386" i="2"/>
  <c r="G2386" i="2"/>
  <c r="P1562" i="2"/>
  <c r="J1562" i="2"/>
  <c r="G1562" i="2"/>
  <c r="P2244" i="2"/>
  <c r="J2244" i="2"/>
  <c r="G2244" i="2"/>
  <c r="P2048" i="2"/>
  <c r="J2048" i="2"/>
  <c r="G2048" i="2"/>
  <c r="P788" i="2"/>
  <c r="J788" i="2"/>
  <c r="G788" i="2"/>
  <c r="P509" i="2"/>
  <c r="J509" i="2"/>
  <c r="G509" i="2"/>
  <c r="P782" i="2"/>
  <c r="J782" i="2"/>
  <c r="G782" i="2"/>
  <c r="P2051" i="2"/>
  <c r="J2051" i="2"/>
  <c r="G2051" i="2"/>
  <c r="P510" i="2"/>
  <c r="J510" i="2"/>
  <c r="G510" i="2"/>
  <c r="P511" i="2"/>
  <c r="J511" i="2"/>
  <c r="G511" i="2"/>
  <c r="P1376" i="2"/>
  <c r="J1376" i="2"/>
  <c r="G1376" i="2"/>
  <c r="P783" i="2"/>
  <c r="J783" i="2"/>
  <c r="G783" i="2"/>
  <c r="P786" i="2"/>
  <c r="J786" i="2"/>
  <c r="G786" i="2"/>
  <c r="P2058" i="2"/>
  <c r="J2058" i="2"/>
  <c r="G2058" i="2"/>
  <c r="P654" i="2"/>
  <c r="J654" i="2"/>
  <c r="G654" i="2"/>
  <c r="P1411" i="2"/>
  <c r="J1411" i="2"/>
  <c r="G1411" i="2"/>
  <c r="J3021" i="2"/>
  <c r="G3021" i="2"/>
  <c r="J2974" i="2"/>
  <c r="G2974" i="2"/>
  <c r="P1409" i="2"/>
  <c r="J1409" i="2"/>
  <c r="G1409" i="2"/>
  <c r="P1410" i="2"/>
  <c r="J1410" i="2"/>
  <c r="G1410" i="2"/>
  <c r="P3510" i="2"/>
  <c r="J3510" i="2"/>
  <c r="G3510" i="2"/>
  <c r="P1548" i="2"/>
  <c r="J1548" i="2"/>
  <c r="G1548" i="2"/>
  <c r="P1334" i="2"/>
  <c r="J1334" i="2"/>
  <c r="G1334" i="2"/>
  <c r="P2653" i="2"/>
  <c r="J2653" i="2"/>
  <c r="G2653" i="2"/>
  <c r="P2675" i="2"/>
  <c r="J2675" i="2"/>
  <c r="G2675" i="2"/>
  <c r="P1430" i="2"/>
  <c r="J1430" i="2"/>
  <c r="G1430" i="2"/>
  <c r="P2337" i="2"/>
  <c r="J2337" i="2"/>
  <c r="G2337" i="2"/>
  <c r="P29" i="2"/>
  <c r="J29" i="2"/>
  <c r="G29" i="2"/>
  <c r="J3046" i="2"/>
  <c r="G3046" i="2"/>
  <c r="P3" i="2"/>
  <c r="J3" i="2"/>
  <c r="G3" i="2"/>
  <c r="P3291" i="2"/>
  <c r="J3291" i="2"/>
  <c r="G3291" i="2"/>
  <c r="P284" i="2"/>
  <c r="J284" i="2"/>
  <c r="G284" i="2"/>
  <c r="P3192" i="2"/>
  <c r="J3192" i="2"/>
  <c r="G3192" i="2"/>
  <c r="P3442" i="2"/>
  <c r="J3442" i="2"/>
  <c r="G3442" i="2"/>
  <c r="J2752" i="2"/>
  <c r="G2752" i="2"/>
  <c r="P3443" i="2"/>
  <c r="J3443" i="2"/>
  <c r="G3443" i="2"/>
  <c r="P3411" i="2"/>
  <c r="J3411" i="2"/>
  <c r="G3411" i="2"/>
  <c r="P3487" i="2"/>
  <c r="J3487" i="2"/>
  <c r="G3487" i="2"/>
  <c r="J3018" i="2"/>
  <c r="G3018" i="2"/>
  <c r="P3388" i="2"/>
  <c r="J3388" i="2"/>
  <c r="G3388" i="2"/>
  <c r="P2496" i="2"/>
  <c r="J2496" i="2"/>
  <c r="G2496" i="2"/>
  <c r="P906" i="2"/>
  <c r="J906" i="2"/>
  <c r="G906" i="2"/>
  <c r="P2682" i="2"/>
  <c r="J2682" i="2"/>
  <c r="G2682" i="2"/>
  <c r="P3542" i="2"/>
  <c r="J3542" i="2"/>
  <c r="G3542" i="2"/>
  <c r="J3005" i="2"/>
  <c r="G3005" i="2"/>
  <c r="P1870" i="2"/>
  <c r="J1870" i="2"/>
  <c r="G1870" i="2"/>
  <c r="P18" i="2"/>
  <c r="J18" i="2"/>
  <c r="G18" i="2"/>
  <c r="P2050" i="2"/>
  <c r="J2050" i="2"/>
  <c r="G2050" i="2"/>
  <c r="P7" i="2"/>
  <c r="J7" i="2"/>
  <c r="G7" i="2"/>
  <c r="P2889" i="2"/>
  <c r="J2889" i="2"/>
  <c r="G2889" i="2"/>
  <c r="P2902" i="2"/>
  <c r="J2902" i="2"/>
  <c r="G2902" i="2"/>
  <c r="P2901" i="2"/>
  <c r="J2901" i="2"/>
  <c r="G2901" i="2"/>
  <c r="P2900" i="2"/>
  <c r="J2900" i="2"/>
  <c r="G2900" i="2"/>
  <c r="P2899" i="2"/>
  <c r="J2899" i="2"/>
  <c r="G2899" i="2"/>
  <c r="P2898" i="2"/>
  <c r="J2898" i="2"/>
  <c r="G2898" i="2"/>
  <c r="P2897" i="2"/>
  <c r="J2897" i="2"/>
  <c r="G2897" i="2"/>
  <c r="P2896" i="2"/>
  <c r="J2896" i="2"/>
  <c r="G2896" i="2"/>
  <c r="P2895" i="2"/>
  <c r="J2895" i="2"/>
  <c r="G2895" i="2"/>
  <c r="P3265" i="2"/>
  <c r="J3265" i="2"/>
  <c r="G3265" i="2"/>
  <c r="P2647" i="2"/>
  <c r="J2647" i="2"/>
  <c r="G2647" i="2"/>
  <c r="P2795" i="2"/>
  <c r="J2795" i="2"/>
  <c r="G2795" i="2"/>
  <c r="J2985" i="2"/>
  <c r="G2985" i="2"/>
  <c r="P396" i="2"/>
  <c r="J396" i="2"/>
  <c r="G396" i="2"/>
  <c r="P397" i="2"/>
  <c r="J397" i="2"/>
  <c r="G397" i="2"/>
  <c r="J2986" i="2"/>
  <c r="G2986" i="2"/>
  <c r="P2341" i="2"/>
  <c r="J2341" i="2"/>
  <c r="G2341" i="2"/>
  <c r="P3249" i="2"/>
  <c r="J3249" i="2"/>
  <c r="G3249" i="2"/>
  <c r="P3248" i="2"/>
  <c r="J3248" i="2"/>
  <c r="G3248" i="2"/>
  <c r="P2267" i="2"/>
  <c r="J2267" i="2"/>
  <c r="G2267" i="2"/>
  <c r="P784" i="2"/>
  <c r="J784" i="2"/>
  <c r="G784" i="2"/>
  <c r="P2945" i="2"/>
  <c r="J2945" i="2"/>
  <c r="G2945" i="2"/>
  <c r="P1869" i="2"/>
  <c r="J1869" i="2"/>
  <c r="G1869" i="2"/>
  <c r="P3289" i="2"/>
  <c r="J3289" i="2"/>
  <c r="G3289" i="2"/>
  <c r="P594" i="2"/>
  <c r="J594" i="2"/>
  <c r="G594" i="2"/>
  <c r="P61" i="2"/>
  <c r="J61" i="2"/>
  <c r="G61" i="2"/>
  <c r="P838" i="2"/>
  <c r="J838" i="2"/>
  <c r="G838" i="2"/>
  <c r="P2268" i="2"/>
  <c r="J2268" i="2"/>
  <c r="G2268" i="2"/>
  <c r="P3560" i="2"/>
  <c r="J3560" i="2"/>
  <c r="G3560" i="2"/>
  <c r="P1581" i="2"/>
  <c r="J1581" i="2"/>
  <c r="G1581" i="2"/>
  <c r="P109" i="2"/>
  <c r="J109" i="2"/>
  <c r="G109" i="2"/>
  <c r="P2159" i="2"/>
  <c r="J2159" i="2"/>
  <c r="G2159" i="2"/>
  <c r="P2126" i="2"/>
  <c r="J2126" i="2"/>
  <c r="G2126" i="2"/>
  <c r="P1168" i="2"/>
  <c r="J1168" i="2"/>
  <c r="G1168" i="2"/>
  <c r="P279" i="2"/>
  <c r="J279" i="2"/>
  <c r="G279" i="2"/>
  <c r="P1520" i="2"/>
  <c r="J1520" i="2"/>
  <c r="G1520" i="2"/>
  <c r="P2540" i="2"/>
  <c r="J2540" i="2"/>
  <c r="G2540" i="2"/>
  <c r="P2539" i="2"/>
  <c r="J2539" i="2"/>
  <c r="G2539" i="2"/>
  <c r="P1626" i="2"/>
  <c r="J1626" i="2"/>
  <c r="G1626" i="2"/>
  <c r="P2477" i="2"/>
  <c r="J2477" i="2"/>
  <c r="G2477" i="2"/>
  <c r="P1021" i="2"/>
  <c r="J1021" i="2"/>
  <c r="G1021" i="2"/>
  <c r="P209" i="2"/>
  <c r="J209" i="2"/>
  <c r="G209" i="2"/>
  <c r="P253" i="2"/>
  <c r="J253" i="2"/>
  <c r="G253" i="2"/>
  <c r="P2652" i="2"/>
  <c r="J2652" i="2"/>
  <c r="G2652" i="2"/>
  <c r="P1531" i="2"/>
  <c r="J1531" i="2"/>
  <c r="G1531" i="2"/>
  <c r="P785" i="2"/>
  <c r="J785" i="2"/>
  <c r="G785" i="2"/>
  <c r="P2041" i="2"/>
  <c r="J2041" i="2"/>
  <c r="G2041" i="2"/>
  <c r="P1633" i="2"/>
  <c r="J1633" i="2"/>
  <c r="G1633" i="2"/>
  <c r="P847" i="2"/>
  <c r="J847" i="2"/>
  <c r="G847" i="2"/>
  <c r="P2115" i="2"/>
  <c r="J2115" i="2"/>
  <c r="G2115" i="2"/>
  <c r="P1641" i="2"/>
  <c r="J1641" i="2"/>
  <c r="G1641" i="2"/>
  <c r="P1271" i="2"/>
  <c r="J1271" i="2"/>
  <c r="G1271" i="2"/>
  <c r="P528" i="2"/>
  <c r="J528" i="2"/>
  <c r="G528" i="2"/>
  <c r="P1974" i="2"/>
  <c r="J1974" i="2"/>
  <c r="G1974" i="2"/>
  <c r="P867" i="2"/>
  <c r="J867" i="2"/>
  <c r="G867" i="2"/>
  <c r="P933" i="2"/>
  <c r="J933" i="2"/>
  <c r="G933" i="2"/>
  <c r="P934" i="2"/>
  <c r="J934" i="2"/>
  <c r="G934" i="2"/>
  <c r="P1971" i="2"/>
  <c r="J1971" i="2"/>
  <c r="G1971" i="2"/>
  <c r="P1436" i="2"/>
  <c r="J1436" i="2"/>
  <c r="G1436" i="2"/>
  <c r="P1290" i="2"/>
  <c r="J1290" i="2"/>
  <c r="G1290" i="2"/>
  <c r="P2326" i="2"/>
  <c r="J2326" i="2"/>
  <c r="G2326" i="2"/>
  <c r="P826" i="2"/>
  <c r="J826" i="2"/>
  <c r="G826" i="2"/>
  <c r="P1415" i="2"/>
  <c r="J1415" i="2"/>
  <c r="G1415" i="2"/>
  <c r="P651" i="2"/>
  <c r="J651" i="2"/>
  <c r="G651" i="2"/>
  <c r="P683" i="2"/>
  <c r="J683" i="2"/>
  <c r="G683" i="2"/>
  <c r="P2078" i="2"/>
  <c r="J2078" i="2"/>
  <c r="G2078" i="2"/>
  <c r="P1557" i="2"/>
  <c r="J1557" i="2"/>
  <c r="G1557" i="2"/>
  <c r="P825" i="2"/>
  <c r="J825" i="2"/>
  <c r="G825" i="2"/>
  <c r="P1792" i="2"/>
  <c r="J1792" i="2"/>
  <c r="G1792" i="2"/>
  <c r="P1442" i="2"/>
  <c r="J1442" i="2"/>
  <c r="G1442" i="2"/>
  <c r="P1556" i="2"/>
  <c r="J1556" i="2"/>
  <c r="G1556" i="2"/>
  <c r="P1228" i="2"/>
  <c r="J1228" i="2"/>
  <c r="G1228" i="2"/>
  <c r="P1425" i="2"/>
  <c r="J1425" i="2"/>
  <c r="G1425" i="2"/>
  <c r="P1677" i="2"/>
  <c r="J1677" i="2"/>
  <c r="G1677" i="2"/>
  <c r="P1147" i="2"/>
  <c r="J1147" i="2"/>
  <c r="G1147" i="2"/>
  <c r="P684" i="2"/>
  <c r="J684" i="2"/>
  <c r="G684" i="2"/>
  <c r="P1434" i="2"/>
  <c r="J1434" i="2"/>
  <c r="G1434" i="2"/>
  <c r="P1227" i="2"/>
  <c r="J1227" i="2"/>
  <c r="G1227" i="2"/>
  <c r="P437" i="2"/>
  <c r="J437" i="2"/>
  <c r="G437" i="2"/>
  <c r="P1616" i="2"/>
  <c r="J1616" i="2"/>
  <c r="G1616" i="2"/>
  <c r="P1823" i="2"/>
  <c r="J1823" i="2"/>
  <c r="G1823" i="2"/>
  <c r="P710" i="2"/>
  <c r="J710" i="2"/>
  <c r="G710" i="2"/>
  <c r="P1873" i="2"/>
  <c r="J1873" i="2"/>
  <c r="G1873" i="2"/>
  <c r="P814" i="2"/>
  <c r="J814" i="2"/>
  <c r="G814" i="2"/>
  <c r="P931" i="2"/>
  <c r="J931" i="2"/>
  <c r="G931" i="2"/>
  <c r="P1980" i="2"/>
  <c r="J1980" i="2"/>
  <c r="G1980" i="2"/>
  <c r="P1678" i="2"/>
  <c r="J1678" i="2"/>
  <c r="G1678" i="2"/>
  <c r="P870" i="2"/>
  <c r="J870" i="2"/>
  <c r="G870" i="2"/>
  <c r="P1153" i="2"/>
  <c r="J1153" i="2"/>
  <c r="G1153" i="2"/>
  <c r="P1300" i="2"/>
  <c r="J1300" i="2"/>
  <c r="G1300" i="2"/>
  <c r="P1736" i="2"/>
  <c r="J1736" i="2"/>
  <c r="G1736" i="2"/>
  <c r="P2124" i="2"/>
  <c r="J2124" i="2"/>
  <c r="G2124" i="2"/>
  <c r="P696" i="2"/>
  <c r="J696" i="2"/>
  <c r="G696" i="2"/>
  <c r="P468" i="2"/>
  <c r="J468" i="2"/>
  <c r="G468" i="2"/>
  <c r="P1416" i="2"/>
  <c r="J1416" i="2"/>
  <c r="G1416" i="2"/>
  <c r="P932" i="2"/>
  <c r="J932" i="2"/>
  <c r="G932" i="2"/>
  <c r="P1975" i="2"/>
  <c r="J1975" i="2"/>
  <c r="G1975" i="2"/>
  <c r="P951" i="2"/>
  <c r="J951" i="2"/>
  <c r="G951" i="2"/>
  <c r="P1811" i="2"/>
  <c r="J1811" i="2"/>
  <c r="G1811" i="2"/>
  <c r="P967" i="2"/>
  <c r="J967" i="2"/>
  <c r="G967" i="2"/>
  <c r="P742" i="2"/>
  <c r="J742" i="2"/>
  <c r="G742" i="2"/>
  <c r="P1661" i="2"/>
  <c r="J1661" i="2"/>
  <c r="G1661" i="2"/>
  <c r="P1676" i="2"/>
  <c r="J1676" i="2"/>
  <c r="G1676" i="2"/>
  <c r="P1618" i="2"/>
  <c r="J1618" i="2"/>
  <c r="G1618" i="2"/>
  <c r="P1270" i="2"/>
  <c r="J1270" i="2"/>
  <c r="G1270" i="2"/>
  <c r="P395" i="2"/>
  <c r="J395" i="2"/>
  <c r="G395" i="2"/>
  <c r="P1978" i="2"/>
  <c r="J1978" i="2"/>
  <c r="G1978" i="2"/>
  <c r="P1977" i="2"/>
  <c r="J1977" i="2"/>
  <c r="G1977" i="2"/>
  <c r="P1262" i="2"/>
  <c r="J1262" i="2"/>
  <c r="G1262" i="2"/>
  <c r="P283" i="2"/>
  <c r="J283" i="2"/>
  <c r="G283" i="2"/>
  <c r="P1728" i="2"/>
  <c r="J1728" i="2"/>
  <c r="G1728" i="2"/>
  <c r="P968" i="2"/>
  <c r="J968" i="2"/>
  <c r="G968" i="2"/>
  <c r="P2096" i="2"/>
  <c r="J2096" i="2"/>
  <c r="G2096" i="2"/>
  <c r="P492" i="2"/>
  <c r="J492" i="2"/>
  <c r="G492" i="2"/>
  <c r="P1990" i="2"/>
  <c r="J1990" i="2"/>
  <c r="G1990" i="2"/>
  <c r="P2079" i="2"/>
  <c r="J2079" i="2"/>
  <c r="G2079" i="2"/>
  <c r="P759" i="2"/>
  <c r="J759" i="2"/>
  <c r="G759" i="2"/>
  <c r="P564" i="2"/>
  <c r="J564" i="2"/>
  <c r="G564" i="2"/>
  <c r="P1795" i="2"/>
  <c r="J1795" i="2"/>
  <c r="G1795" i="2"/>
  <c r="P1902" i="2"/>
  <c r="J1902" i="2"/>
  <c r="G1902" i="2"/>
  <c r="P453" i="2"/>
  <c r="J453" i="2"/>
  <c r="G453" i="2"/>
  <c r="P1328" i="2"/>
  <c r="J1328" i="2"/>
  <c r="G1328" i="2"/>
  <c r="P2147" i="2"/>
  <c r="J2147" i="2"/>
  <c r="G2147" i="2"/>
  <c r="P1342" i="2"/>
  <c r="J1342" i="2"/>
  <c r="G1342" i="2"/>
  <c r="P494" i="2"/>
  <c r="J494" i="2"/>
  <c r="G494" i="2"/>
  <c r="P1976" i="2"/>
  <c r="J1976" i="2"/>
  <c r="G1976" i="2"/>
  <c r="P1526" i="2"/>
  <c r="J1526" i="2"/>
  <c r="G1526" i="2"/>
  <c r="P519" i="2"/>
  <c r="J519" i="2"/>
  <c r="G519" i="2"/>
  <c r="P776" i="2"/>
  <c r="J776" i="2"/>
  <c r="G776" i="2"/>
  <c r="P1551" i="2"/>
  <c r="J1551" i="2"/>
  <c r="G1551" i="2"/>
  <c r="P1813" i="2"/>
  <c r="J1813" i="2"/>
  <c r="G1813" i="2"/>
  <c r="P1953" i="2"/>
  <c r="J1953" i="2"/>
  <c r="G1953" i="2"/>
  <c r="P1725" i="2"/>
  <c r="J1725" i="2"/>
  <c r="G1725" i="2"/>
  <c r="P2128" i="2"/>
  <c r="J2128" i="2"/>
  <c r="G2128" i="2"/>
  <c r="P1525" i="2"/>
  <c r="J1525" i="2"/>
  <c r="G1525" i="2"/>
  <c r="P1767" i="2"/>
  <c r="J1767" i="2"/>
  <c r="G1767" i="2"/>
  <c r="P1440" i="2"/>
  <c r="J1440" i="2"/>
  <c r="G1440" i="2"/>
  <c r="P769" i="2"/>
  <c r="J769" i="2"/>
  <c r="G769" i="2"/>
  <c r="P1794" i="2"/>
  <c r="J1794" i="2"/>
  <c r="G1794" i="2"/>
  <c r="P2019" i="2"/>
  <c r="J2019" i="2"/>
  <c r="G2019" i="2"/>
  <c r="P2089" i="2"/>
  <c r="J2089" i="2"/>
  <c r="G2089" i="2"/>
  <c r="P2013" i="2"/>
  <c r="J2013" i="2"/>
  <c r="G2013" i="2"/>
  <c r="P1594" i="2"/>
  <c r="J1594" i="2"/>
  <c r="G1594" i="2"/>
  <c r="P1483" i="2"/>
  <c r="J1483" i="2"/>
  <c r="G1483" i="2"/>
  <c r="P2081" i="2"/>
  <c r="J2081" i="2"/>
  <c r="G2081" i="2"/>
  <c r="P637" i="2"/>
  <c r="J637" i="2"/>
  <c r="G637" i="2"/>
  <c r="P1304" i="2"/>
  <c r="J1304" i="2"/>
  <c r="G1304" i="2"/>
  <c r="P1393" i="2"/>
  <c r="J1393" i="2"/>
  <c r="G1393" i="2"/>
  <c r="P749" i="2"/>
  <c r="J749" i="2"/>
  <c r="G749" i="2"/>
  <c r="P1263" i="2"/>
  <c r="J1263" i="2"/>
  <c r="G1263" i="2"/>
  <c r="P1407" i="2"/>
  <c r="J1407" i="2"/>
  <c r="G1407" i="2"/>
  <c r="P125" i="2"/>
  <c r="J125" i="2"/>
  <c r="G125" i="2"/>
  <c r="P1624" i="2"/>
  <c r="J1624" i="2"/>
  <c r="G1624" i="2"/>
  <c r="P820" i="2"/>
  <c r="J820" i="2"/>
  <c r="G820" i="2"/>
  <c r="P1103" i="2"/>
  <c r="J1103" i="2"/>
  <c r="G1103" i="2"/>
  <c r="P971" i="2"/>
  <c r="J971" i="2"/>
  <c r="G971" i="2"/>
  <c r="P203" i="2"/>
  <c r="J203" i="2"/>
  <c r="G203" i="2"/>
  <c r="P123" i="2"/>
  <c r="J123" i="2"/>
  <c r="G123" i="2"/>
  <c r="P303" i="2"/>
  <c r="J303" i="2"/>
  <c r="G303" i="2"/>
  <c r="P620" i="2"/>
  <c r="J620" i="2"/>
  <c r="G620" i="2"/>
  <c r="P394" i="2"/>
  <c r="J394" i="2"/>
  <c r="G394" i="2"/>
  <c r="P1485" i="2"/>
  <c r="J1485" i="2"/>
  <c r="G1485" i="2"/>
  <c r="P89" i="2"/>
  <c r="J89" i="2"/>
  <c r="G89" i="2"/>
  <c r="P1015" i="2"/>
  <c r="J1015" i="2"/>
  <c r="G1015" i="2"/>
  <c r="P1388" i="2"/>
  <c r="J1388" i="2"/>
  <c r="G1388" i="2"/>
  <c r="P325" i="2"/>
  <c r="J325" i="2"/>
  <c r="G325" i="2"/>
  <c r="P110" i="2"/>
  <c r="J110" i="2"/>
  <c r="G110" i="2"/>
  <c r="P1400" i="2"/>
  <c r="J1400" i="2"/>
  <c r="G1400" i="2"/>
  <c r="P1952" i="2"/>
  <c r="J1952" i="2"/>
  <c r="G1952" i="2"/>
  <c r="P2141" i="2"/>
  <c r="J2141" i="2"/>
  <c r="G2141" i="2"/>
  <c r="P1739" i="2"/>
  <c r="J1739" i="2"/>
  <c r="G1739" i="2"/>
  <c r="P849" i="2"/>
  <c r="J849" i="2"/>
  <c r="G849" i="2"/>
  <c r="P1348" i="2"/>
  <c r="J1348" i="2"/>
  <c r="G1348" i="2"/>
  <c r="P1294" i="2"/>
  <c r="J1294" i="2"/>
  <c r="G1294" i="2"/>
  <c r="J2987" i="2"/>
  <c r="G2987" i="2"/>
  <c r="P1480" i="2"/>
  <c r="J1480" i="2"/>
  <c r="G1480" i="2"/>
  <c r="P398" i="2"/>
  <c r="J398" i="2"/>
  <c r="G398" i="2"/>
  <c r="P1308" i="2"/>
  <c r="J1308" i="2"/>
  <c r="G1308" i="2"/>
  <c r="P294" i="2"/>
  <c r="J294" i="2"/>
  <c r="G294" i="2"/>
  <c r="P1937" i="2"/>
  <c r="J1937" i="2"/>
  <c r="G1937" i="2"/>
  <c r="P2080" i="2"/>
  <c r="J2080" i="2"/>
  <c r="G2080" i="2"/>
  <c r="P2371" i="2"/>
  <c r="J2371" i="2"/>
  <c r="G2371" i="2"/>
  <c r="P813" i="2"/>
  <c r="J813" i="2"/>
  <c r="G813" i="2"/>
  <c r="P1602" i="2"/>
  <c r="J1602" i="2"/>
  <c r="G1602" i="2"/>
  <c r="P1524" i="2"/>
  <c r="J1524" i="2"/>
  <c r="G1524" i="2"/>
  <c r="P2007" i="2"/>
  <c r="J2007" i="2"/>
  <c r="G2007" i="2"/>
  <c r="P2139" i="2"/>
  <c r="J2139" i="2"/>
  <c r="G2139" i="2"/>
  <c r="P1451" i="2"/>
  <c r="J1451" i="2"/>
  <c r="G1451" i="2"/>
  <c r="P1601" i="2"/>
  <c r="J1601" i="2"/>
  <c r="G1601" i="2"/>
  <c r="P648" i="2"/>
  <c r="J648" i="2"/>
  <c r="G648" i="2"/>
  <c r="P647" i="2"/>
  <c r="J647" i="2"/>
  <c r="G647" i="2"/>
  <c r="P741" i="2"/>
  <c r="J741" i="2"/>
  <c r="G741" i="2"/>
  <c r="P2006" i="2"/>
  <c r="J2006" i="2"/>
  <c r="G2006" i="2"/>
  <c r="P111" i="2"/>
  <c r="J111" i="2"/>
  <c r="G111" i="2"/>
  <c r="P1450" i="2"/>
  <c r="J1450" i="2"/>
  <c r="G1450" i="2"/>
  <c r="P1293" i="2"/>
  <c r="J1293" i="2"/>
  <c r="G1293" i="2"/>
  <c r="P223" i="2"/>
  <c r="J223" i="2"/>
  <c r="G223" i="2"/>
  <c r="P1923" i="2"/>
  <c r="J1923" i="2"/>
  <c r="G1923" i="2"/>
  <c r="P1996" i="2"/>
  <c r="J1996" i="2"/>
  <c r="G1996" i="2"/>
  <c r="P2137" i="2"/>
  <c r="J2137" i="2"/>
  <c r="G2137" i="2"/>
  <c r="P580" i="2"/>
  <c r="J580" i="2"/>
  <c r="G580" i="2"/>
  <c r="P2282" i="2"/>
  <c r="J2282" i="2"/>
  <c r="G2282" i="2"/>
  <c r="P1312" i="2"/>
  <c r="J1312" i="2"/>
  <c r="G1312" i="2"/>
  <c r="P2948" i="2"/>
  <c r="J2948" i="2"/>
  <c r="G2948" i="2"/>
  <c r="P1104" i="2"/>
  <c r="J1104" i="2"/>
  <c r="G1104" i="2"/>
  <c r="P2138" i="2"/>
  <c r="J2138" i="2"/>
  <c r="G2138" i="2"/>
  <c r="P1240" i="2"/>
  <c r="J1240" i="2"/>
  <c r="G1240" i="2"/>
  <c r="P1313" i="2"/>
  <c r="J1313" i="2"/>
  <c r="G1313" i="2"/>
  <c r="P392" i="2"/>
  <c r="J392" i="2"/>
  <c r="G392" i="2"/>
  <c r="P2005" i="2"/>
  <c r="J2005" i="2"/>
  <c r="G2005" i="2"/>
  <c r="P2004" i="2"/>
  <c r="J2004" i="2"/>
  <c r="G2004" i="2"/>
  <c r="P1979" i="2"/>
  <c r="J1979" i="2"/>
  <c r="G1979" i="2"/>
  <c r="P393" i="2"/>
  <c r="J393" i="2"/>
  <c r="G393" i="2"/>
  <c r="P2947" i="2"/>
  <c r="J2947" i="2"/>
  <c r="G2947" i="2"/>
  <c r="P1503" i="2"/>
  <c r="J1503" i="2"/>
  <c r="G1503" i="2"/>
  <c r="P221" i="2"/>
  <c r="J221" i="2"/>
  <c r="G221" i="2"/>
  <c r="P150" i="2"/>
  <c r="J150" i="2"/>
  <c r="G150" i="2"/>
  <c r="P1301" i="2"/>
  <c r="J1301" i="2"/>
  <c r="G1301" i="2"/>
  <c r="P1278" i="2"/>
  <c r="J1278" i="2"/>
  <c r="G1278" i="2"/>
  <c r="P1443" i="2"/>
  <c r="J1443" i="2"/>
  <c r="G1443" i="2"/>
  <c r="P2003" i="2"/>
  <c r="J2003" i="2"/>
  <c r="G2003" i="2"/>
  <c r="P407" i="2"/>
  <c r="J407" i="2"/>
  <c r="G407" i="2"/>
  <c r="P1144" i="2"/>
  <c r="J1144" i="2"/>
  <c r="G1144" i="2"/>
  <c r="P727" i="2"/>
  <c r="J727" i="2"/>
  <c r="G727" i="2"/>
  <c r="P1094" i="2"/>
  <c r="J1094" i="2"/>
  <c r="G1094" i="2"/>
  <c r="P2146" i="2"/>
  <c r="J2146" i="2"/>
  <c r="G2146" i="2"/>
  <c r="P1310" i="2"/>
  <c r="J1310" i="2"/>
  <c r="G1310" i="2"/>
  <c r="P1279" i="2"/>
  <c r="J1279" i="2"/>
  <c r="G1279" i="2"/>
  <c r="P1647" i="2"/>
  <c r="J1647" i="2"/>
  <c r="G1647" i="2"/>
  <c r="P1477" i="2"/>
  <c r="J1477" i="2"/>
  <c r="G1477" i="2"/>
  <c r="P597" i="2"/>
  <c r="J597" i="2"/>
  <c r="G597" i="2"/>
  <c r="P2692" i="2"/>
  <c r="J2692" i="2"/>
  <c r="G2692" i="2"/>
  <c r="P1009" i="2"/>
  <c r="J1009" i="2"/>
  <c r="G1009" i="2"/>
  <c r="P1302" i="2"/>
  <c r="J1302" i="2"/>
  <c r="G1302" i="2"/>
  <c r="P426" i="2"/>
  <c r="J426" i="2"/>
  <c r="G426" i="2"/>
  <c r="P1993" i="2"/>
  <c r="J1993" i="2"/>
  <c r="G1993" i="2"/>
  <c r="P1060" i="2"/>
  <c r="J1060" i="2"/>
  <c r="G1060" i="2"/>
  <c r="P1325" i="2"/>
  <c r="J1325" i="2"/>
  <c r="G1325" i="2"/>
  <c r="P1114" i="2"/>
  <c r="J1114" i="2"/>
  <c r="G1114" i="2"/>
  <c r="P1344" i="2"/>
  <c r="J1344" i="2"/>
  <c r="G1344" i="2"/>
  <c r="P1922" i="2"/>
  <c r="J1922" i="2"/>
  <c r="G1922" i="2"/>
  <c r="P848" i="2"/>
  <c r="J848" i="2"/>
  <c r="G848" i="2"/>
  <c r="P2140" i="2"/>
  <c r="J2140" i="2"/>
  <c r="G2140" i="2"/>
  <c r="P1062" i="2"/>
  <c r="J1062" i="2"/>
  <c r="G1062" i="2"/>
  <c r="P1307" i="2"/>
  <c r="J1307" i="2"/>
  <c r="G1307" i="2"/>
  <c r="P1326" i="2"/>
  <c r="J1326" i="2"/>
  <c r="G1326" i="2"/>
  <c r="P72" i="2"/>
  <c r="J72" i="2"/>
  <c r="G72" i="2"/>
  <c r="P649" i="2"/>
  <c r="J649" i="2"/>
  <c r="G649" i="2"/>
  <c r="P1314" i="2"/>
  <c r="J1314" i="2"/>
  <c r="G1314" i="2"/>
  <c r="P1920" i="2"/>
  <c r="J1920" i="2"/>
  <c r="G1920" i="2"/>
  <c r="P1659" i="2"/>
  <c r="J1659" i="2"/>
  <c r="G1659" i="2"/>
  <c r="P313" i="2"/>
  <c r="J313" i="2"/>
  <c r="G313" i="2"/>
  <c r="P1658" i="2"/>
  <c r="J1658" i="2"/>
  <c r="G1658" i="2"/>
  <c r="P1657" i="2"/>
  <c r="J1657" i="2"/>
  <c r="G1657" i="2"/>
  <c r="P1656" i="2"/>
  <c r="J1656" i="2"/>
  <c r="G1656" i="2"/>
  <c r="P1655" i="2"/>
  <c r="J1655" i="2"/>
  <c r="G1655" i="2"/>
  <c r="P1654" i="2"/>
  <c r="J1654" i="2"/>
  <c r="G1654" i="2"/>
  <c r="P1093" i="2"/>
  <c r="J1093" i="2"/>
  <c r="G1093" i="2"/>
  <c r="P1653" i="2"/>
  <c r="J1653" i="2"/>
  <c r="G1653" i="2"/>
  <c r="P1652" i="2"/>
  <c r="J1652" i="2"/>
  <c r="G1652" i="2"/>
  <c r="P1790" i="2"/>
  <c r="J1790" i="2"/>
  <c r="G1790" i="2"/>
  <c r="P1651" i="2"/>
  <c r="J1651" i="2"/>
  <c r="G1651" i="2"/>
  <c r="P1650" i="2"/>
  <c r="J1650" i="2"/>
  <c r="G1650" i="2"/>
  <c r="P1649" i="2"/>
  <c r="J1649" i="2"/>
  <c r="G1649" i="2"/>
  <c r="P1059" i="2"/>
  <c r="J1059" i="2"/>
  <c r="G1059" i="2"/>
  <c r="P1478" i="2"/>
  <c r="J1478" i="2"/>
  <c r="G1478" i="2"/>
  <c r="P2093" i="2"/>
  <c r="J2093" i="2"/>
  <c r="G2093" i="2"/>
  <c r="P1390" i="2"/>
  <c r="J1390" i="2"/>
  <c r="G1390" i="2"/>
  <c r="P1660" i="2"/>
  <c r="J1660" i="2"/>
  <c r="G1660" i="2"/>
  <c r="P1389" i="2"/>
  <c r="J1389" i="2"/>
  <c r="G1389" i="2"/>
  <c r="P2143" i="2"/>
  <c r="J2143" i="2"/>
  <c r="G2143" i="2"/>
  <c r="P1323" i="2"/>
  <c r="J1323" i="2"/>
  <c r="G1323" i="2"/>
  <c r="P566" i="2"/>
  <c r="J566" i="2"/>
  <c r="G566" i="2"/>
  <c r="P1111" i="2"/>
  <c r="J1111" i="2"/>
  <c r="G1111" i="2"/>
  <c r="P1646" i="2"/>
  <c r="J1646" i="2"/>
  <c r="G1646" i="2"/>
  <c r="P1617" i="2"/>
  <c r="J1617" i="2"/>
  <c r="G1617" i="2"/>
  <c r="P1732" i="2"/>
  <c r="J1732" i="2"/>
  <c r="G1732" i="2"/>
  <c r="P1645" i="2"/>
  <c r="J1645" i="2"/>
  <c r="G1645" i="2"/>
  <c r="P1399" i="2"/>
  <c r="J1399" i="2"/>
  <c r="G1399" i="2"/>
  <c r="P1789" i="2"/>
  <c r="J1789" i="2"/>
  <c r="G1789" i="2"/>
  <c r="P1879" i="2"/>
  <c r="J1879" i="2"/>
  <c r="G1879" i="2"/>
  <c r="P1820" i="2"/>
  <c r="J1820" i="2"/>
  <c r="G1820" i="2"/>
  <c r="P2142" i="2"/>
  <c r="J2142" i="2"/>
  <c r="G2142" i="2"/>
  <c r="P1840" i="2"/>
  <c r="J1840" i="2"/>
  <c r="G1840" i="2"/>
  <c r="P1504" i="2"/>
  <c r="J1504" i="2"/>
  <c r="G1504" i="2"/>
  <c r="P227" i="2"/>
  <c r="J227" i="2"/>
  <c r="G227" i="2"/>
  <c r="P2012" i="2"/>
  <c r="J2012" i="2"/>
  <c r="G2012" i="2"/>
  <c r="P1397" i="2"/>
  <c r="J1397" i="2"/>
  <c r="G1397" i="2"/>
  <c r="P140" i="2"/>
  <c r="J140" i="2"/>
  <c r="G140" i="2"/>
  <c r="P1590" i="2"/>
  <c r="J1590" i="2"/>
  <c r="G1590" i="2"/>
  <c r="P1417" i="2"/>
  <c r="J1417" i="2"/>
  <c r="G1417" i="2"/>
  <c r="P761" i="2"/>
  <c r="J761" i="2"/>
  <c r="G761" i="2"/>
  <c r="P292" i="2"/>
  <c r="J292" i="2"/>
  <c r="G292" i="2"/>
  <c r="P278" i="2"/>
  <c r="J278" i="2"/>
  <c r="G278" i="2"/>
  <c r="P1798" i="2"/>
  <c r="J1798" i="2"/>
  <c r="G1798" i="2"/>
  <c r="P925" i="2"/>
  <c r="J925" i="2"/>
  <c r="G925" i="2"/>
  <c r="P505" i="2"/>
  <c r="J505" i="2"/>
  <c r="G505" i="2"/>
  <c r="P1189" i="2"/>
  <c r="J1189" i="2"/>
  <c r="G1189" i="2"/>
  <c r="P1591" i="2"/>
  <c r="J1591" i="2"/>
  <c r="G1591" i="2"/>
  <c r="P108" i="2"/>
  <c r="J108" i="2"/>
  <c r="G108" i="2"/>
  <c r="P1803" i="2"/>
  <c r="J1803" i="2"/>
  <c r="G1803" i="2"/>
  <c r="P2145" i="2"/>
  <c r="J2145" i="2"/>
  <c r="G2145" i="2"/>
  <c r="P1289" i="2"/>
  <c r="J1289" i="2"/>
  <c r="G1289" i="2"/>
  <c r="P1322" i="2"/>
  <c r="J1322" i="2"/>
  <c r="G1322" i="2"/>
  <c r="P516" i="2"/>
  <c r="J516" i="2"/>
  <c r="G516" i="2"/>
  <c r="P1412" i="2"/>
  <c r="J1412" i="2"/>
  <c r="G1412" i="2"/>
  <c r="P2098" i="2"/>
  <c r="J2098" i="2"/>
  <c r="G2098" i="2"/>
  <c r="P51" i="2"/>
  <c r="J51" i="2"/>
  <c r="G51" i="2"/>
  <c r="P1462" i="2"/>
  <c r="J1462" i="2"/>
  <c r="G1462" i="2"/>
  <c r="P1461" i="2"/>
  <c r="J1461" i="2"/>
  <c r="G1461" i="2"/>
  <c r="P621" i="2"/>
  <c r="J621" i="2"/>
  <c r="G621" i="2"/>
  <c r="P1373" i="2"/>
  <c r="J1373" i="2"/>
  <c r="G1373" i="2"/>
  <c r="P1762" i="2"/>
  <c r="J1762" i="2"/>
  <c r="G1762" i="2"/>
  <c r="P1785" i="2"/>
  <c r="J1785" i="2"/>
  <c r="G1785" i="2"/>
  <c r="P2044" i="2"/>
  <c r="J2044" i="2"/>
  <c r="G2044" i="2"/>
  <c r="P2009" i="2"/>
  <c r="J2009" i="2"/>
  <c r="G2009" i="2"/>
  <c r="P1802" i="2"/>
  <c r="J1802" i="2"/>
  <c r="G1802" i="2"/>
  <c r="P1321" i="2"/>
  <c r="J1321" i="2"/>
  <c r="G1321" i="2"/>
  <c r="P1207" i="2"/>
  <c r="J1207" i="2"/>
  <c r="G1207" i="2"/>
  <c r="P1146" i="2"/>
  <c r="J1146" i="2"/>
  <c r="G1146" i="2"/>
  <c r="P323" i="2"/>
  <c r="J323" i="2"/>
  <c r="G323" i="2"/>
  <c r="P775" i="2"/>
  <c r="J775" i="2"/>
  <c r="G775" i="2"/>
  <c r="P570" i="2"/>
  <c r="J570" i="2"/>
  <c r="G570" i="2"/>
  <c r="P569" i="2"/>
  <c r="J569" i="2"/>
  <c r="G569" i="2"/>
  <c r="P1309" i="2"/>
  <c r="J1309" i="2"/>
  <c r="G1309" i="2"/>
  <c r="P1077" i="2"/>
  <c r="J1077" i="2"/>
  <c r="G1077" i="2"/>
  <c r="P974" i="2"/>
  <c r="J974" i="2"/>
  <c r="G974" i="2"/>
  <c r="P137" i="2"/>
  <c r="J137" i="2"/>
  <c r="G137" i="2"/>
  <c r="P1034" i="2"/>
  <c r="J1034" i="2"/>
  <c r="G1034" i="2"/>
  <c r="P406" i="2"/>
  <c r="J406" i="2"/>
  <c r="G406" i="2"/>
  <c r="P1439" i="2"/>
  <c r="J1439" i="2"/>
  <c r="G1439" i="2"/>
  <c r="P1791" i="2"/>
  <c r="J1791" i="2"/>
  <c r="G1791" i="2"/>
  <c r="P1493" i="2"/>
  <c r="J1493" i="2"/>
  <c r="G1493" i="2"/>
  <c r="P1547" i="2"/>
  <c r="J1547" i="2"/>
  <c r="G1547" i="2"/>
  <c r="P1763" i="2"/>
  <c r="J1763" i="2"/>
  <c r="G1763" i="2"/>
  <c r="P1592" i="2"/>
  <c r="J1592" i="2"/>
  <c r="G1592" i="2"/>
  <c r="P1311" i="2"/>
  <c r="J1311" i="2"/>
  <c r="G1311" i="2"/>
  <c r="P1324" i="2"/>
  <c r="J1324" i="2"/>
  <c r="G1324" i="2"/>
  <c r="P563" i="2"/>
  <c r="J563" i="2"/>
  <c r="G563" i="2"/>
  <c r="P1759" i="2"/>
  <c r="J1759" i="2"/>
  <c r="G1759" i="2"/>
  <c r="P198" i="2"/>
  <c r="J198" i="2"/>
  <c r="G198" i="2"/>
  <c r="P1793" i="2"/>
  <c r="J1793" i="2"/>
  <c r="G1793" i="2"/>
  <c r="P2110" i="2"/>
  <c r="J2110" i="2"/>
  <c r="G2110" i="2"/>
  <c r="P1764" i="2"/>
  <c r="J1764" i="2"/>
  <c r="G1764" i="2"/>
  <c r="P562" i="2"/>
  <c r="J562" i="2"/>
  <c r="G562" i="2"/>
  <c r="P1495" i="2"/>
  <c r="J1495" i="2"/>
  <c r="G1495" i="2"/>
  <c r="P1303" i="2"/>
  <c r="J1303" i="2"/>
  <c r="G1303" i="2"/>
  <c r="P801" i="2"/>
  <c r="J801" i="2"/>
  <c r="G801" i="2"/>
  <c r="P1143" i="2"/>
  <c r="J1143" i="2"/>
  <c r="G1143" i="2"/>
  <c r="P803" i="2"/>
  <c r="J803" i="2"/>
  <c r="G803" i="2"/>
  <c r="P1723" i="2"/>
  <c r="J1723" i="2"/>
  <c r="G1723" i="2"/>
  <c r="P781" i="2"/>
  <c r="J781" i="2"/>
  <c r="G781" i="2"/>
  <c r="P1758" i="2"/>
  <c r="J1758" i="2"/>
  <c r="G1758" i="2"/>
  <c r="P271" i="2"/>
  <c r="J271" i="2"/>
  <c r="G271" i="2"/>
  <c r="P2008" i="2"/>
  <c r="J2008" i="2"/>
  <c r="G2008" i="2"/>
  <c r="P118" i="2"/>
  <c r="J118" i="2"/>
  <c r="G118" i="2"/>
  <c r="P1765" i="2"/>
  <c r="J1765" i="2"/>
  <c r="G1765" i="2"/>
  <c r="P560" i="2"/>
  <c r="J560" i="2"/>
  <c r="G560" i="2"/>
  <c r="P270" i="2"/>
  <c r="J270" i="2"/>
  <c r="G270" i="2"/>
  <c r="P843" i="2"/>
  <c r="J843" i="2"/>
  <c r="G843" i="2"/>
  <c r="P703" i="2"/>
  <c r="J703" i="2"/>
  <c r="G703" i="2"/>
  <c r="P1494" i="2"/>
  <c r="J1494" i="2"/>
  <c r="G1494" i="2"/>
  <c r="P2040" i="2"/>
  <c r="J2040" i="2"/>
  <c r="G2040" i="2"/>
  <c r="P2100" i="2"/>
  <c r="J2100" i="2"/>
  <c r="G2100" i="2"/>
  <c r="P561" i="2"/>
  <c r="J561" i="2"/>
  <c r="G561" i="2"/>
  <c r="P1008" i="2"/>
  <c r="J1008" i="2"/>
  <c r="G1008" i="2"/>
  <c r="P1501" i="2"/>
  <c r="J1501" i="2"/>
  <c r="G1501" i="2"/>
  <c r="P1848" i="2"/>
  <c r="J1848" i="2"/>
  <c r="G1848" i="2"/>
  <c r="P633" i="2"/>
  <c r="J633" i="2"/>
  <c r="G633" i="2"/>
  <c r="P1761" i="2"/>
  <c r="J1761" i="2"/>
  <c r="G1761" i="2"/>
  <c r="P1022" i="2"/>
  <c r="J1022" i="2"/>
  <c r="G1022" i="2"/>
  <c r="P456" i="2"/>
  <c r="J456" i="2"/>
  <c r="G456" i="2"/>
  <c r="P1491" i="2"/>
  <c r="J1491" i="2"/>
  <c r="G1491" i="2"/>
  <c r="P1209" i="2"/>
  <c r="J1209" i="2"/>
  <c r="G1209" i="2"/>
  <c r="P194" i="2"/>
  <c r="J194" i="2"/>
  <c r="G194" i="2"/>
  <c r="P1502" i="2"/>
  <c r="J1502" i="2"/>
  <c r="G1502" i="2"/>
  <c r="P2645" i="2"/>
  <c r="J2645" i="2"/>
  <c r="G2645" i="2"/>
  <c r="P1490" i="2"/>
  <c r="J1490" i="2"/>
  <c r="G1490" i="2"/>
  <c r="P1766" i="2"/>
  <c r="J1766" i="2"/>
  <c r="G1766" i="2"/>
  <c r="P1907" i="2"/>
  <c r="J1907" i="2"/>
  <c r="G1907" i="2"/>
  <c r="P1379" i="2"/>
  <c r="J1379" i="2"/>
  <c r="G1379" i="2"/>
  <c r="P1500" i="2"/>
  <c r="J1500" i="2"/>
  <c r="G1500" i="2"/>
  <c r="P191" i="2"/>
  <c r="J191" i="2"/>
  <c r="G191" i="2"/>
  <c r="P1327" i="2"/>
  <c r="J1327" i="2"/>
  <c r="G1327" i="2"/>
  <c r="P272" i="2"/>
  <c r="J272" i="2"/>
  <c r="G272" i="2"/>
  <c r="P682" i="2"/>
  <c r="J682" i="2"/>
  <c r="G682" i="2"/>
  <c r="P469" i="2"/>
  <c r="J469" i="2"/>
  <c r="G469" i="2"/>
  <c r="P1904" i="2"/>
  <c r="J1904" i="2"/>
  <c r="G1904" i="2"/>
  <c r="P1642" i="2"/>
  <c r="J1642" i="2"/>
  <c r="G1642" i="2"/>
  <c r="P291" i="2"/>
  <c r="J291" i="2"/>
  <c r="G291" i="2"/>
  <c r="P1572" i="2"/>
  <c r="J1572" i="2"/>
  <c r="G1572" i="2"/>
  <c r="P713" i="2"/>
  <c r="J713" i="2"/>
  <c r="G713" i="2"/>
  <c r="P121" i="2"/>
  <c r="J121" i="2"/>
  <c r="G121" i="2"/>
  <c r="P2269" i="2"/>
  <c r="J2269" i="2"/>
  <c r="G2269" i="2"/>
  <c r="P2352" i="2"/>
  <c r="J2352" i="2"/>
  <c r="G2352" i="2"/>
  <c r="P1092" i="2"/>
  <c r="J1092" i="2"/>
  <c r="G1092" i="2"/>
  <c r="P119" i="2"/>
  <c r="J119" i="2"/>
  <c r="G119" i="2"/>
  <c r="P595" i="2"/>
  <c r="J595" i="2"/>
  <c r="G595" i="2"/>
  <c r="P760" i="2"/>
  <c r="J760" i="2"/>
  <c r="G760" i="2"/>
  <c r="P799" i="2"/>
  <c r="J799" i="2"/>
  <c r="G799" i="2"/>
  <c r="P117" i="2"/>
  <c r="J117" i="2"/>
  <c r="G117" i="2"/>
  <c r="P1402" i="2"/>
  <c r="J1402" i="2"/>
  <c r="G1402" i="2"/>
  <c r="P1804" i="2"/>
  <c r="J1804" i="2"/>
  <c r="G1804" i="2"/>
  <c r="P2129" i="2"/>
  <c r="J2129" i="2"/>
  <c r="G2129" i="2"/>
  <c r="P1498" i="2"/>
  <c r="J1498" i="2"/>
  <c r="G1498" i="2"/>
  <c r="P415" i="2"/>
  <c r="J415" i="2"/>
  <c r="G415" i="2"/>
  <c r="P87" i="2"/>
  <c r="J87" i="2"/>
  <c r="G87" i="2"/>
  <c r="P937" i="2"/>
  <c r="J937" i="2"/>
  <c r="G937" i="2"/>
  <c r="P113" i="2"/>
  <c r="J113" i="2"/>
  <c r="G113" i="2"/>
  <c r="P1306" i="2"/>
  <c r="J1306" i="2"/>
  <c r="G1306" i="2"/>
  <c r="P1492" i="2"/>
  <c r="J1492" i="2"/>
  <c r="G1492" i="2"/>
  <c r="P1734" i="2"/>
  <c r="J1734" i="2"/>
  <c r="G1734" i="2"/>
  <c r="P1401" i="2"/>
  <c r="J1401" i="2"/>
  <c r="G1401" i="2"/>
  <c r="P1340" i="2"/>
  <c r="J1340" i="2"/>
  <c r="G1340" i="2"/>
  <c r="P196" i="2"/>
  <c r="J196" i="2"/>
  <c r="G196" i="2"/>
  <c r="P120" i="2"/>
  <c r="J120" i="2"/>
  <c r="G120" i="2"/>
  <c r="P1489" i="2"/>
  <c r="J1489" i="2"/>
  <c r="G1489" i="2"/>
  <c r="P1296" i="2"/>
  <c r="J1296" i="2"/>
  <c r="G1296" i="2"/>
  <c r="P197" i="2"/>
  <c r="J197" i="2"/>
  <c r="G197" i="2"/>
  <c r="P1299" i="2"/>
  <c r="J1299" i="2"/>
  <c r="G1299" i="2"/>
  <c r="P907" i="2"/>
  <c r="J907" i="2"/>
  <c r="G907" i="2"/>
  <c r="P938" i="2"/>
  <c r="J938" i="2"/>
  <c r="G938" i="2"/>
  <c r="P1550" i="2"/>
  <c r="J1550" i="2"/>
  <c r="G1550" i="2"/>
  <c r="P1338" i="2"/>
  <c r="J1338" i="2"/>
  <c r="G1338" i="2"/>
  <c r="P808" i="2"/>
  <c r="J808" i="2"/>
  <c r="G808" i="2"/>
  <c r="P2338" i="2"/>
  <c r="J2338" i="2"/>
  <c r="G2338" i="2"/>
  <c r="P666" i="2"/>
  <c r="J666" i="2"/>
  <c r="G666" i="2"/>
  <c r="P802" i="2"/>
  <c r="J802" i="2"/>
  <c r="G802" i="2"/>
  <c r="P954" i="2"/>
  <c r="J954" i="2"/>
  <c r="G954" i="2"/>
  <c r="P190" i="2"/>
  <c r="J190" i="2"/>
  <c r="G190" i="2"/>
  <c r="P1497" i="2"/>
  <c r="J1497" i="2"/>
  <c r="G1497" i="2"/>
  <c r="P970" i="2"/>
  <c r="J970" i="2"/>
  <c r="G970" i="2"/>
  <c r="P487" i="2"/>
  <c r="J487" i="2"/>
  <c r="G487" i="2"/>
  <c r="P1966" i="2"/>
  <c r="J1966" i="2"/>
  <c r="G1966" i="2"/>
  <c r="P195" i="2"/>
  <c r="J195" i="2"/>
  <c r="G195" i="2"/>
  <c r="P1956" i="2"/>
  <c r="J1956" i="2"/>
  <c r="G1956" i="2"/>
  <c r="P1339" i="2"/>
  <c r="J1339" i="2"/>
  <c r="G1339" i="2"/>
  <c r="P663" i="2"/>
  <c r="J663" i="2"/>
  <c r="G663" i="2"/>
  <c r="P2130" i="2"/>
  <c r="J2130" i="2"/>
  <c r="G2130" i="2"/>
  <c r="P800" i="2"/>
  <c r="J800" i="2"/>
  <c r="G800" i="2"/>
  <c r="P1080" i="2"/>
  <c r="J1080" i="2"/>
  <c r="G1080" i="2"/>
  <c r="P86" i="2"/>
  <c r="J86" i="2"/>
  <c r="G86" i="2"/>
  <c r="P2553" i="2"/>
  <c r="J2553" i="2"/>
  <c r="G2553" i="2"/>
  <c r="P1499" i="2"/>
  <c r="J1499" i="2"/>
  <c r="G1499" i="2"/>
  <c r="P1116" i="2"/>
  <c r="J1116" i="2"/>
  <c r="G1116" i="2"/>
  <c r="P1479" i="2"/>
  <c r="J1479" i="2"/>
  <c r="G1479" i="2"/>
  <c r="P1346" i="2"/>
  <c r="J1346" i="2"/>
  <c r="G1346" i="2"/>
  <c r="P1921" i="2"/>
  <c r="J1921" i="2"/>
  <c r="G1921" i="2"/>
  <c r="P83" i="2"/>
  <c r="J83" i="2"/>
  <c r="G83" i="2"/>
  <c r="P1420" i="2"/>
  <c r="J1420" i="2"/>
  <c r="G1420" i="2"/>
  <c r="P1208" i="2"/>
  <c r="J1208" i="2"/>
  <c r="G1208" i="2"/>
  <c r="P192" i="2"/>
  <c r="J192" i="2"/>
  <c r="G192" i="2"/>
  <c r="P1107" i="2"/>
  <c r="J1107" i="2"/>
  <c r="G1107" i="2"/>
  <c r="P349" i="2"/>
  <c r="J349" i="2"/>
  <c r="G349" i="2"/>
  <c r="P691" i="2"/>
  <c r="J691" i="2"/>
  <c r="G691" i="2"/>
  <c r="P1546" i="2"/>
  <c r="J1546" i="2"/>
  <c r="G1546" i="2"/>
  <c r="P1571" i="2"/>
  <c r="J1571" i="2"/>
  <c r="G1571" i="2"/>
  <c r="P1079" i="2"/>
  <c r="J1079" i="2"/>
  <c r="G1079" i="2"/>
  <c r="P3117" i="2"/>
  <c r="J3117" i="2"/>
  <c r="G3117" i="2"/>
  <c r="P688" i="2"/>
  <c r="J688" i="2"/>
  <c r="G688" i="2"/>
  <c r="P1517" i="2"/>
  <c r="J1517" i="2"/>
  <c r="G1517" i="2"/>
  <c r="P170" i="2"/>
  <c r="J170" i="2"/>
  <c r="G170" i="2"/>
  <c r="P1778" i="2"/>
  <c r="J1778" i="2"/>
  <c r="G1778" i="2"/>
  <c r="P1516" i="2"/>
  <c r="J1516" i="2"/>
  <c r="G1516" i="2"/>
  <c r="P1515" i="2"/>
  <c r="J1515" i="2"/>
  <c r="G1515" i="2"/>
  <c r="P1514" i="2"/>
  <c r="J1514" i="2"/>
  <c r="G1514" i="2"/>
  <c r="P1513" i="2"/>
  <c r="J1513" i="2"/>
  <c r="G1513" i="2"/>
  <c r="P1596" i="2"/>
  <c r="J1596" i="2"/>
  <c r="G1596" i="2"/>
  <c r="P1774" i="2"/>
  <c r="J1774" i="2"/>
  <c r="G1774" i="2"/>
  <c r="P1512" i="2"/>
  <c r="J1512" i="2"/>
  <c r="G1512" i="2"/>
  <c r="P1773" i="2"/>
  <c r="J1773" i="2"/>
  <c r="G1773" i="2"/>
  <c r="P322" i="2"/>
  <c r="J322" i="2"/>
  <c r="G322" i="2"/>
  <c r="P690" i="2"/>
  <c r="J690" i="2"/>
  <c r="G690" i="2"/>
  <c r="P689" i="2"/>
  <c r="J689" i="2"/>
  <c r="G689" i="2"/>
  <c r="P1010" i="2"/>
  <c r="J1010" i="2"/>
  <c r="G1010" i="2"/>
  <c r="P1566" i="2"/>
  <c r="J1566" i="2"/>
  <c r="G1566" i="2"/>
  <c r="P1846" i="2"/>
  <c r="J1846" i="2"/>
  <c r="G1846" i="2"/>
  <c r="P1779" i="2"/>
  <c r="J1779" i="2"/>
  <c r="G1779" i="2"/>
  <c r="P687" i="2"/>
  <c r="J687" i="2"/>
  <c r="G687" i="2"/>
  <c r="P2541" i="2"/>
  <c r="J2541" i="2"/>
  <c r="G2541" i="2"/>
  <c r="P1668" i="2"/>
  <c r="J1668" i="2"/>
  <c r="G1668" i="2"/>
  <c r="P2339" i="2"/>
  <c r="J2339" i="2"/>
  <c r="G2339" i="2"/>
  <c r="P131" i="2"/>
  <c r="J131" i="2"/>
  <c r="G131" i="2"/>
  <c r="P1518" i="2"/>
  <c r="J1518" i="2"/>
  <c r="G1518" i="2"/>
  <c r="P1776" i="2"/>
  <c r="J1776" i="2"/>
  <c r="G1776" i="2"/>
  <c r="P1731" i="2"/>
  <c r="J1731" i="2"/>
  <c r="G1731" i="2"/>
  <c r="P608" i="2"/>
  <c r="J608" i="2"/>
  <c r="G608" i="2"/>
  <c r="P593" i="2"/>
  <c r="J593" i="2"/>
  <c r="G593" i="2"/>
  <c r="P1777" i="2"/>
  <c r="J1777" i="2"/>
  <c r="G1777" i="2"/>
  <c r="P1781" i="2"/>
  <c r="J1781" i="2"/>
  <c r="G1781" i="2"/>
  <c r="P1446" i="2"/>
  <c r="J1446" i="2"/>
  <c r="G1446" i="2"/>
  <c r="P1095" i="2"/>
  <c r="J1095" i="2"/>
  <c r="G1095" i="2"/>
  <c r="P145" i="2"/>
  <c r="J145" i="2"/>
  <c r="G145" i="2"/>
  <c r="P522" i="2"/>
  <c r="J522" i="2"/>
  <c r="G522" i="2"/>
  <c r="P417" i="2"/>
  <c r="J417" i="2"/>
  <c r="G417" i="2"/>
  <c r="J3051" i="2"/>
  <c r="G3051" i="2"/>
  <c r="P1780" i="2"/>
  <c r="J1780" i="2"/>
  <c r="G1780" i="2"/>
  <c r="P523" i="2"/>
  <c r="J523" i="2"/>
  <c r="G523" i="2"/>
  <c r="P2734" i="2"/>
  <c r="J2734" i="2"/>
  <c r="G2734" i="2"/>
  <c r="P364" i="2"/>
  <c r="J364" i="2"/>
  <c r="G364" i="2"/>
  <c r="P2084" i="2"/>
  <c r="J2084" i="2"/>
  <c r="G2084" i="2"/>
  <c r="P1782" i="2"/>
  <c r="J1782" i="2"/>
  <c r="G1782" i="2"/>
  <c r="P3540" i="2"/>
  <c r="J3540" i="2"/>
  <c r="G3540" i="2"/>
  <c r="P2644" i="2"/>
  <c r="J2644" i="2"/>
  <c r="G2644" i="2"/>
  <c r="P960" i="2"/>
  <c r="J960" i="2"/>
  <c r="G960" i="2"/>
  <c r="P2579" i="2"/>
  <c r="J2579" i="2"/>
  <c r="G2579" i="2"/>
  <c r="P135" i="2"/>
  <c r="J135" i="2"/>
  <c r="G135" i="2"/>
  <c r="P1771" i="2"/>
  <c r="J1771" i="2"/>
  <c r="G1771" i="2"/>
  <c r="P2" i="2"/>
  <c r="J2" i="2"/>
  <c r="G2" i="2"/>
  <c r="P694" i="2"/>
  <c r="J694" i="2"/>
  <c r="G694" i="2"/>
  <c r="P239" i="2"/>
  <c r="J239" i="2"/>
  <c r="G239" i="2"/>
  <c r="P2200" i="2"/>
  <c r="J2200" i="2"/>
  <c r="G2200" i="2"/>
  <c r="P1064" i="2"/>
  <c r="J1064" i="2"/>
  <c r="G1064" i="2"/>
  <c r="P2201" i="2"/>
  <c r="J2201" i="2"/>
  <c r="G2201" i="2"/>
  <c r="P1770" i="2"/>
  <c r="J1770" i="2"/>
  <c r="G1770" i="2"/>
  <c r="P693" i="2"/>
  <c r="J693" i="2"/>
  <c r="G693" i="2"/>
  <c r="P2560" i="2"/>
  <c r="J2560" i="2"/>
  <c r="G2560" i="2"/>
  <c r="P411" i="2"/>
  <c r="J411" i="2"/>
  <c r="G411" i="2"/>
  <c r="P969" i="2"/>
  <c r="J969" i="2"/>
  <c r="G969" i="2"/>
  <c r="P1496" i="2"/>
  <c r="J1496" i="2"/>
  <c r="G1496" i="2"/>
  <c r="P1405" i="2"/>
  <c r="J1405" i="2"/>
  <c r="G1405" i="2"/>
  <c r="P1772" i="2"/>
  <c r="J1772" i="2"/>
  <c r="G1772" i="2"/>
  <c r="P1960" i="2"/>
  <c r="J1960" i="2"/>
  <c r="G1960" i="2"/>
  <c r="P692" i="2"/>
  <c r="J692" i="2"/>
  <c r="G692" i="2"/>
  <c r="P521" i="2"/>
  <c r="J521" i="2"/>
  <c r="G521" i="2"/>
  <c r="P1664" i="2"/>
  <c r="J1664" i="2"/>
  <c r="G1664" i="2"/>
  <c r="P1558" i="2"/>
  <c r="J1558" i="2"/>
  <c r="G1558" i="2"/>
  <c r="P2921" i="2"/>
  <c r="J2921" i="2"/>
  <c r="G2921" i="2"/>
  <c r="P739" i="2"/>
  <c r="J739" i="2"/>
  <c r="G739" i="2"/>
  <c r="P740" i="2"/>
  <c r="J740" i="2"/>
  <c r="G740" i="2"/>
  <c r="P1403" i="2"/>
  <c r="J1403" i="2"/>
  <c r="G1403" i="2"/>
  <c r="P2189" i="2"/>
  <c r="J2189" i="2"/>
  <c r="G2189" i="2"/>
  <c r="P2082" i="2"/>
  <c r="J2082" i="2"/>
  <c r="G2082" i="2"/>
  <c r="P2156" i="2"/>
  <c r="J2156" i="2"/>
  <c r="G2156" i="2"/>
  <c r="P1145" i="2"/>
  <c r="J1145" i="2"/>
  <c r="G1145" i="2"/>
  <c r="P1068" i="2"/>
  <c r="J1068" i="2"/>
  <c r="G1068" i="2"/>
  <c r="P1042" i="2"/>
  <c r="J1042" i="2"/>
  <c r="G1042" i="2"/>
  <c r="P1041" i="2"/>
  <c r="J1041" i="2"/>
  <c r="G1041" i="2"/>
  <c r="P142" i="2"/>
  <c r="J142" i="2"/>
  <c r="G142" i="2"/>
  <c r="P768" i="2"/>
  <c r="J768" i="2"/>
  <c r="G768" i="2"/>
  <c r="P3366" i="2"/>
  <c r="J3366" i="2"/>
  <c r="G3366" i="2"/>
  <c r="P1069" i="2"/>
  <c r="J1069" i="2"/>
  <c r="G1069" i="2"/>
  <c r="P1070" i="2"/>
  <c r="J1070" i="2"/>
  <c r="G1070" i="2"/>
  <c r="P1858" i="2"/>
  <c r="J1858" i="2"/>
  <c r="G1858" i="2"/>
  <c r="P28" i="2"/>
  <c r="J28" i="2"/>
  <c r="G28" i="2"/>
  <c r="P6" i="2"/>
  <c r="J6" i="2"/>
  <c r="G6" i="2"/>
  <c r="P39" i="2"/>
  <c r="J39" i="2"/>
  <c r="G39" i="2"/>
  <c r="P472" i="2"/>
  <c r="J472" i="2"/>
  <c r="G472" i="2"/>
  <c r="P1619" i="2"/>
  <c r="J1619" i="2"/>
  <c r="G1619" i="2"/>
  <c r="P343" i="2"/>
  <c r="J343" i="2"/>
  <c r="G343" i="2"/>
  <c r="P37" i="2"/>
  <c r="J37" i="2"/>
  <c r="G37" i="2"/>
  <c r="P2551" i="2"/>
  <c r="J2551" i="2"/>
  <c r="G2551" i="2"/>
  <c r="P425" i="2"/>
  <c r="J425" i="2"/>
  <c r="G425" i="2"/>
  <c r="P1620" i="2"/>
  <c r="J1620" i="2"/>
  <c r="G1620" i="2"/>
  <c r="P252" i="2"/>
  <c r="J252" i="2"/>
  <c r="G252" i="2"/>
  <c r="P3363" i="2"/>
  <c r="J3363" i="2"/>
  <c r="G3363" i="2"/>
  <c r="P2388" i="2"/>
  <c r="J2388" i="2"/>
  <c r="G2388" i="2"/>
  <c r="P4" i="2"/>
  <c r="J4" i="2"/>
  <c r="G4" i="2"/>
  <c r="P1406" i="2"/>
  <c r="J1406" i="2"/>
  <c r="G1406" i="2"/>
  <c r="P635" i="2"/>
  <c r="J635" i="2"/>
  <c r="G635" i="2"/>
  <c r="P2931" i="2"/>
  <c r="J2931" i="2"/>
  <c r="G2931" i="2"/>
  <c r="P3525" i="2"/>
  <c r="J3525" i="2"/>
  <c r="G3525" i="2"/>
  <c r="P2702" i="2"/>
  <c r="J2702" i="2"/>
  <c r="G2702" i="2"/>
  <c r="P2568" i="2"/>
  <c r="J2568" i="2"/>
  <c r="G2568" i="2"/>
  <c r="P1621" i="2"/>
  <c r="J1621" i="2"/>
  <c r="G1621" i="2"/>
  <c r="P2884" i="2"/>
  <c r="J2884" i="2"/>
  <c r="G2884" i="2"/>
  <c r="P80" i="2"/>
  <c r="J80" i="2"/>
  <c r="G80" i="2"/>
  <c r="P427" i="2"/>
  <c r="J427" i="2"/>
  <c r="G427" i="2"/>
  <c r="P1669" i="2"/>
  <c r="J1669" i="2"/>
  <c r="G1669" i="2"/>
  <c r="P474" i="2"/>
  <c r="J474" i="2"/>
  <c r="G474" i="2"/>
  <c r="P475" i="2"/>
  <c r="J475" i="2"/>
  <c r="G475" i="2"/>
  <c r="P1670" i="2"/>
  <c r="J1670" i="2"/>
  <c r="G1670" i="2"/>
  <c r="P73" i="2"/>
  <c r="J73" i="2"/>
  <c r="G73" i="2"/>
  <c r="P2930" i="2"/>
  <c r="J2930" i="2"/>
  <c r="G2930" i="2"/>
  <c r="P126" i="2"/>
  <c r="J126" i="2"/>
  <c r="G126" i="2"/>
  <c r="P1174" i="2"/>
  <c r="J1174" i="2"/>
  <c r="G1174" i="2"/>
  <c r="P3171" i="2"/>
  <c r="J3171" i="2"/>
  <c r="G3171" i="2"/>
  <c r="P515" i="2"/>
  <c r="J515" i="2"/>
  <c r="G515" i="2"/>
  <c r="P709" i="2"/>
  <c r="J709" i="2"/>
  <c r="G709" i="2"/>
  <c r="P2740" i="2"/>
  <c r="J2740" i="2"/>
  <c r="G2740" i="2"/>
  <c r="P2559" i="2"/>
  <c r="J2559" i="2"/>
  <c r="G2559" i="2"/>
  <c r="P69" i="2"/>
  <c r="J69" i="2"/>
  <c r="G69" i="2"/>
  <c r="P777" i="2"/>
  <c r="J777" i="2"/>
  <c r="G777" i="2"/>
  <c r="P2967" i="2"/>
  <c r="J2967" i="2"/>
  <c r="G2967" i="2"/>
  <c r="P596" i="2"/>
  <c r="J596" i="2"/>
  <c r="G596" i="2"/>
  <c r="P1523" i="2"/>
  <c r="J1523" i="2"/>
  <c r="G1523" i="2"/>
  <c r="P624" i="2"/>
  <c r="J624" i="2"/>
  <c r="G624" i="2"/>
  <c r="P508" i="2"/>
  <c r="J508" i="2"/>
  <c r="G508" i="2"/>
  <c r="P2844" i="2"/>
  <c r="J2844" i="2"/>
  <c r="G2844" i="2"/>
  <c r="P598" i="2"/>
  <c r="J598" i="2"/>
  <c r="G598" i="2"/>
  <c r="P898" i="2"/>
  <c r="J898" i="2"/>
  <c r="G898" i="2"/>
  <c r="P899" i="2"/>
  <c r="J899" i="2"/>
  <c r="G899" i="2"/>
  <c r="P70" i="2"/>
  <c r="J70" i="2"/>
  <c r="G70" i="2"/>
  <c r="P902" i="2"/>
  <c r="J902" i="2"/>
  <c r="G902" i="2"/>
  <c r="P88" i="2"/>
  <c r="J88" i="2"/>
  <c r="G88" i="2"/>
  <c r="P903" i="2"/>
  <c r="J903" i="2"/>
  <c r="G903" i="2"/>
  <c r="P900" i="2"/>
  <c r="J900" i="2"/>
  <c r="G900" i="2"/>
  <c r="P904" i="2"/>
  <c r="J904" i="2"/>
  <c r="G904" i="2"/>
  <c r="P901" i="2"/>
  <c r="J901" i="2"/>
  <c r="G901" i="2"/>
  <c r="P897" i="2"/>
  <c r="J897" i="2"/>
  <c r="G897" i="2"/>
  <c r="P895" i="2"/>
  <c r="J895" i="2"/>
  <c r="G895" i="2"/>
  <c r="P408" i="2"/>
  <c r="J408" i="2"/>
  <c r="G408" i="2"/>
  <c r="P2389" i="2"/>
  <c r="J2389" i="2"/>
  <c r="G2389" i="2"/>
  <c r="P134" i="2"/>
  <c r="J134" i="2"/>
  <c r="G134" i="2"/>
  <c r="P409" i="2"/>
  <c r="J409" i="2"/>
  <c r="G409" i="2"/>
  <c r="P1741" i="2"/>
  <c r="J1741" i="2"/>
  <c r="G1741" i="2"/>
  <c r="P2430" i="2"/>
  <c r="J2430" i="2"/>
  <c r="G2430" i="2"/>
  <c r="P2332" i="2"/>
  <c r="J2332" i="2"/>
  <c r="G2332" i="2"/>
  <c r="P2345" i="2"/>
  <c r="J2345" i="2"/>
  <c r="G2345" i="2"/>
  <c r="P3535" i="2"/>
  <c r="J3535" i="2"/>
  <c r="G3535" i="2"/>
  <c r="P2174" i="2"/>
  <c r="J2174" i="2"/>
  <c r="G2174" i="2"/>
  <c r="P40" i="2"/>
  <c r="J40" i="2"/>
  <c r="G40" i="2"/>
  <c r="P1134" i="2"/>
  <c r="J1134" i="2"/>
  <c r="G1134" i="2"/>
  <c r="P1837" i="2"/>
  <c r="J1837" i="2"/>
  <c r="G1837" i="2"/>
  <c r="P133" i="2"/>
  <c r="J133" i="2"/>
  <c r="G133" i="2"/>
  <c r="P572" i="2"/>
  <c r="J572" i="2"/>
  <c r="G572" i="2"/>
  <c r="P68" i="2"/>
  <c r="J68" i="2"/>
  <c r="G68" i="2"/>
  <c r="P418" i="2"/>
  <c r="J418" i="2"/>
  <c r="G418" i="2"/>
  <c r="P334" i="2"/>
  <c r="J334" i="2"/>
  <c r="G334" i="2"/>
  <c r="P1281" i="2"/>
  <c r="J1281" i="2"/>
  <c r="G1281" i="2"/>
  <c r="P92" i="2"/>
  <c r="J92" i="2"/>
  <c r="G92" i="2"/>
  <c r="P2210" i="2"/>
  <c r="J2210" i="2"/>
  <c r="G2210" i="2"/>
  <c r="P878" i="2"/>
  <c r="J878" i="2"/>
  <c r="G878" i="2"/>
  <c r="J3035" i="2"/>
  <c r="G3035" i="2"/>
  <c r="P632" i="2"/>
  <c r="J632" i="2"/>
  <c r="G632" i="2"/>
  <c r="P1849" i="2"/>
  <c r="J1849" i="2"/>
  <c r="G1849" i="2"/>
  <c r="P405" i="2"/>
  <c r="J405" i="2"/>
  <c r="G405" i="2"/>
  <c r="P423" i="2"/>
  <c r="J423" i="2"/>
  <c r="G423" i="2"/>
  <c r="P861" i="2"/>
  <c r="J861" i="2"/>
  <c r="G861" i="2"/>
  <c r="P789" i="2"/>
  <c r="J789" i="2"/>
  <c r="G789" i="2"/>
  <c r="P3456" i="2"/>
  <c r="J3456" i="2"/>
  <c r="G3456" i="2"/>
  <c r="P758" i="2"/>
  <c r="J758" i="2"/>
  <c r="G758" i="2"/>
  <c r="P1508" i="2"/>
  <c r="J1508" i="2"/>
  <c r="G1508" i="2"/>
  <c r="P1589" i="2"/>
  <c r="J1589" i="2"/>
  <c r="G1589" i="2"/>
  <c r="P1532" i="2"/>
  <c r="J1532" i="2"/>
  <c r="G1532" i="2"/>
  <c r="P828" i="2"/>
  <c r="J828" i="2"/>
  <c r="G828" i="2"/>
  <c r="P1408" i="2"/>
  <c r="J1408" i="2"/>
  <c r="G1408" i="2"/>
  <c r="P157" i="2"/>
  <c r="J157" i="2"/>
  <c r="G157" i="2"/>
  <c r="P2072" i="2"/>
  <c r="J2072" i="2"/>
  <c r="G2072" i="2"/>
  <c r="P1847" i="2"/>
  <c r="J1847" i="2"/>
  <c r="G1847" i="2"/>
  <c r="P1808" i="2"/>
  <c r="J1808" i="2"/>
  <c r="G1808" i="2"/>
  <c r="P459" i="2"/>
  <c r="J459" i="2"/>
  <c r="G459" i="2"/>
  <c r="P102" i="2"/>
  <c r="J102" i="2"/>
  <c r="G102" i="2"/>
  <c r="P2020" i="2"/>
  <c r="J2020" i="2"/>
  <c r="G2020" i="2"/>
  <c r="P1691" i="2"/>
  <c r="J1691" i="2"/>
  <c r="G1691" i="2"/>
  <c r="P138" i="2"/>
  <c r="J138" i="2"/>
  <c r="G138" i="2"/>
  <c r="P2038" i="2"/>
  <c r="J2038" i="2"/>
  <c r="G2038" i="2"/>
  <c r="P1919" i="2"/>
  <c r="J1919" i="2"/>
  <c r="G1919" i="2"/>
  <c r="P1911" i="2"/>
  <c r="J1911" i="2"/>
  <c r="G1911" i="2"/>
  <c r="P1224" i="2"/>
  <c r="J1224" i="2"/>
  <c r="G1224" i="2"/>
  <c r="P2111" i="2"/>
  <c r="J2111" i="2"/>
  <c r="G2111" i="2"/>
  <c r="P277" i="2"/>
  <c r="J277" i="2"/>
  <c r="G277" i="2"/>
  <c r="P1482" i="2"/>
  <c r="J1482" i="2"/>
  <c r="G1482" i="2"/>
  <c r="P702" i="2"/>
  <c r="J702" i="2"/>
  <c r="G702" i="2"/>
  <c r="P1631" i="2"/>
  <c r="J1631" i="2"/>
  <c r="G1631" i="2"/>
  <c r="P1078" i="2"/>
  <c r="J1078" i="2"/>
  <c r="G1078" i="2"/>
  <c r="P617" i="2"/>
  <c r="J617" i="2"/>
  <c r="G617" i="2"/>
  <c r="P698" i="2"/>
  <c r="J698" i="2"/>
  <c r="G698" i="2"/>
  <c r="P326" i="2"/>
  <c r="J326" i="2"/>
  <c r="G326" i="2"/>
  <c r="P1280" i="2"/>
  <c r="J1280" i="2"/>
  <c r="G1280" i="2"/>
  <c r="P1195" i="2"/>
  <c r="J1195" i="2"/>
  <c r="G1195" i="2"/>
  <c r="P1934" i="2"/>
  <c r="J1934" i="2"/>
  <c r="G1934" i="2"/>
  <c r="P752" i="2"/>
  <c r="J752" i="2"/>
  <c r="G752" i="2"/>
  <c r="P251" i="2"/>
  <c r="J251" i="2"/>
  <c r="G251" i="2"/>
  <c r="P602" i="2"/>
  <c r="J602" i="2"/>
  <c r="G602" i="2"/>
  <c r="P1955" i="2"/>
  <c r="J1955" i="2"/>
  <c r="G1955" i="2"/>
  <c r="P887" i="2"/>
  <c r="J887" i="2"/>
  <c r="G887" i="2"/>
  <c r="P1460" i="2"/>
  <c r="J1460" i="2"/>
  <c r="G1460" i="2"/>
  <c r="P1459" i="2"/>
  <c r="J1459" i="2"/>
  <c r="G1459" i="2"/>
  <c r="P1458" i="2"/>
  <c r="J1458" i="2"/>
  <c r="G1458" i="2"/>
  <c r="P1457" i="2"/>
  <c r="J1457" i="2"/>
  <c r="G1457" i="2"/>
  <c r="P1456" i="2"/>
  <c r="J1456" i="2"/>
  <c r="G1456" i="2"/>
  <c r="P1455" i="2"/>
  <c r="J1455" i="2"/>
  <c r="G1455" i="2"/>
  <c r="P1454" i="2"/>
  <c r="J1454" i="2"/>
  <c r="G1454" i="2"/>
  <c r="P841" i="2"/>
  <c r="J841" i="2"/>
  <c r="G841" i="2"/>
  <c r="P869" i="2"/>
  <c r="J869" i="2"/>
  <c r="G869" i="2"/>
  <c r="P868" i="2"/>
  <c r="J868" i="2"/>
  <c r="G868" i="2"/>
  <c r="P2027" i="2"/>
  <c r="J2027" i="2"/>
  <c r="G2027" i="2"/>
  <c r="P1108" i="2"/>
  <c r="J1108" i="2"/>
  <c r="G1108" i="2"/>
  <c r="P592" i="2"/>
  <c r="J592" i="2"/>
  <c r="G592" i="2"/>
  <c r="P1973" i="2"/>
  <c r="J1973" i="2"/>
  <c r="G1973" i="2"/>
  <c r="P733" i="2"/>
  <c r="J733" i="2"/>
  <c r="G733" i="2"/>
  <c r="P732" i="2"/>
  <c r="J732" i="2"/>
  <c r="G732" i="2"/>
  <c r="P731" i="2"/>
  <c r="J731" i="2"/>
  <c r="G731" i="2"/>
  <c r="P730" i="2"/>
  <c r="J730" i="2"/>
  <c r="G730" i="2"/>
  <c r="P1061" i="2"/>
  <c r="J1061" i="2"/>
  <c r="G1061" i="2"/>
  <c r="P1154" i="2"/>
  <c r="J1154" i="2"/>
  <c r="G1154" i="2"/>
  <c r="P146" i="2"/>
  <c r="J146" i="2"/>
  <c r="G146" i="2"/>
  <c r="P1690" i="2"/>
  <c r="J1690" i="2"/>
  <c r="G1690" i="2"/>
  <c r="P1941" i="2"/>
  <c r="J1941" i="2"/>
  <c r="G1941" i="2"/>
  <c r="P1065" i="2"/>
  <c r="J1065" i="2"/>
  <c r="G1065" i="2"/>
  <c r="P1717" i="2"/>
  <c r="J1717" i="2"/>
  <c r="G1717" i="2"/>
  <c r="P568" i="2"/>
  <c r="J568" i="2"/>
  <c r="G568" i="2"/>
  <c r="P567" i="2"/>
  <c r="J567" i="2"/>
  <c r="G567" i="2"/>
  <c r="P2119" i="2"/>
  <c r="J2119" i="2"/>
  <c r="G2119" i="2"/>
  <c r="P1605" i="2"/>
  <c r="J1605" i="2"/>
  <c r="G1605" i="2"/>
  <c r="P1604" i="2"/>
  <c r="J1604" i="2"/>
  <c r="G1604" i="2"/>
  <c r="P1424" i="2"/>
  <c r="J1424" i="2"/>
  <c r="G1424" i="2"/>
  <c r="P3561" i="2"/>
  <c r="J3561" i="2"/>
  <c r="G3561" i="2"/>
  <c r="P2794" i="2"/>
  <c r="J2794" i="2"/>
  <c r="G2794" i="2"/>
  <c r="J2980" i="2"/>
  <c r="G2980" i="2"/>
  <c r="P1895" i="2"/>
  <c r="J1895" i="2"/>
  <c r="G1895" i="2"/>
  <c r="P1305" i="2"/>
  <c r="J1305" i="2"/>
  <c r="G1305" i="2"/>
  <c r="P1597" i="2"/>
  <c r="J1597" i="2"/>
  <c r="G1597" i="2"/>
  <c r="P2112" i="2"/>
  <c r="J2112" i="2"/>
  <c r="G2112" i="2"/>
  <c r="P1936" i="2"/>
  <c r="J1936" i="2"/>
  <c r="G1936" i="2"/>
  <c r="P1935" i="2"/>
  <c r="J1935" i="2"/>
  <c r="G1935" i="2"/>
  <c r="P176" i="2"/>
  <c r="J176" i="2"/>
  <c r="G176" i="2"/>
  <c r="P1712" i="2"/>
  <c r="J1712" i="2"/>
  <c r="G1712" i="2"/>
  <c r="P1587" i="2"/>
  <c r="J1587" i="2"/>
  <c r="G1587" i="2"/>
  <c r="P1755" i="2"/>
  <c r="J1755" i="2"/>
  <c r="G1755" i="2"/>
  <c r="P1754" i="2"/>
  <c r="J1754" i="2"/>
  <c r="G1754" i="2"/>
  <c r="P1129" i="2"/>
  <c r="J1129" i="2"/>
  <c r="G1129" i="2"/>
  <c r="P896" i="2"/>
  <c r="J896" i="2"/>
  <c r="G896" i="2"/>
  <c r="P559" i="2"/>
  <c r="J559" i="2"/>
  <c r="G559" i="2"/>
  <c r="P507" i="2"/>
  <c r="J507" i="2"/>
  <c r="G507" i="2"/>
  <c r="P1343" i="2"/>
  <c r="J1343" i="2"/>
  <c r="G1343" i="2"/>
  <c r="P463" i="2"/>
  <c r="J463" i="2"/>
  <c r="G463" i="2"/>
  <c r="P1026" i="2"/>
  <c r="J1026" i="2"/>
  <c r="G1026" i="2"/>
  <c r="P493" i="2"/>
  <c r="J493" i="2"/>
  <c r="G493" i="2"/>
  <c r="P1152" i="2"/>
  <c r="J1152" i="2"/>
  <c r="G1152" i="2"/>
  <c r="P827" i="2"/>
  <c r="J827" i="2"/>
  <c r="G827" i="2"/>
  <c r="P1800" i="2"/>
  <c r="J1800" i="2"/>
  <c r="G1800" i="2"/>
  <c r="P2160" i="2"/>
  <c r="J2160" i="2"/>
  <c r="G2160" i="2"/>
  <c r="P439" i="2"/>
  <c r="J439" i="2"/>
  <c r="G439" i="2"/>
  <c r="P1598" i="2"/>
  <c r="J1598" i="2"/>
  <c r="G1598" i="2"/>
  <c r="P1273" i="2"/>
  <c r="J1273" i="2"/>
  <c r="G1273" i="2"/>
  <c r="P1429" i="2"/>
  <c r="J1429" i="2"/>
  <c r="G1429" i="2"/>
  <c r="P834" i="2"/>
  <c r="J834" i="2"/>
  <c r="G834" i="2"/>
  <c r="P1942" i="2"/>
  <c r="J1942" i="2"/>
  <c r="G1942" i="2"/>
  <c r="P1663" i="2"/>
  <c r="J1663" i="2"/>
  <c r="G1663" i="2"/>
  <c r="P169" i="2"/>
  <c r="J169" i="2"/>
  <c r="G169" i="2"/>
  <c r="P1223" i="2"/>
  <c r="J1223" i="2"/>
  <c r="G1223" i="2"/>
  <c r="P360" i="2"/>
  <c r="J360" i="2"/>
  <c r="G360" i="2"/>
  <c r="P1112" i="2"/>
  <c r="J1112" i="2"/>
  <c r="G1112" i="2"/>
  <c r="P1115" i="2"/>
  <c r="J1115" i="2"/>
  <c r="G1115" i="2"/>
  <c r="P412" i="2"/>
  <c r="J412" i="2"/>
  <c r="G412" i="2"/>
  <c r="P460" i="2"/>
  <c r="J460" i="2"/>
  <c r="G460" i="2"/>
  <c r="P1087" i="2"/>
  <c r="J1087" i="2"/>
  <c r="G1087" i="2"/>
  <c r="P936" i="2"/>
  <c r="J936" i="2"/>
  <c r="G936" i="2"/>
  <c r="P642" i="2"/>
  <c r="J642" i="2"/>
  <c r="G642" i="2"/>
  <c r="P1043" i="2"/>
  <c r="J1043" i="2"/>
  <c r="G1043" i="2"/>
  <c r="P168" i="2"/>
  <c r="J168" i="2"/>
  <c r="G168" i="2"/>
  <c r="P1760" i="2"/>
  <c r="J1760" i="2"/>
  <c r="G1760" i="2"/>
  <c r="P518" i="2"/>
  <c r="J518" i="2"/>
  <c r="G518" i="2"/>
  <c r="P293" i="2"/>
  <c r="J293" i="2"/>
  <c r="G293" i="2"/>
  <c r="P167" i="2"/>
  <c r="J167" i="2"/>
  <c r="G167" i="2"/>
  <c r="P166" i="2"/>
  <c r="J166" i="2"/>
  <c r="G166" i="2"/>
  <c r="P165" i="2"/>
  <c r="J165" i="2"/>
  <c r="G165" i="2"/>
  <c r="P164" i="2"/>
  <c r="J164" i="2"/>
  <c r="G164" i="2"/>
  <c r="P163" i="2"/>
  <c r="J163" i="2"/>
  <c r="G163" i="2"/>
  <c r="P215" i="2"/>
  <c r="J215" i="2"/>
  <c r="G215" i="2"/>
  <c r="P214" i="2"/>
  <c r="J214" i="2"/>
  <c r="G214" i="2"/>
  <c r="P213" i="2"/>
  <c r="J213" i="2"/>
  <c r="G213" i="2"/>
  <c r="P212" i="2"/>
  <c r="J212" i="2"/>
  <c r="G212" i="2"/>
  <c r="P211" i="2"/>
  <c r="J211" i="2"/>
  <c r="G211" i="2"/>
  <c r="P1469" i="2"/>
  <c r="J1469" i="2"/>
  <c r="G1469" i="2"/>
  <c r="P1748" i="2"/>
  <c r="J1748" i="2"/>
  <c r="G1748" i="2"/>
  <c r="P1468" i="2"/>
  <c r="J1468" i="2"/>
  <c r="G1468" i="2"/>
  <c r="P1467" i="2"/>
  <c r="J1467" i="2"/>
  <c r="G1467" i="2"/>
  <c r="P1466" i="2"/>
  <c r="J1466" i="2"/>
  <c r="G1466" i="2"/>
  <c r="P1465" i="2"/>
  <c r="J1465" i="2"/>
  <c r="G1465" i="2"/>
  <c r="P1464" i="2"/>
  <c r="J1464" i="2"/>
  <c r="G1464" i="2"/>
  <c r="P1463" i="2"/>
  <c r="J1463" i="2"/>
  <c r="G1463" i="2"/>
  <c r="P1861" i="2"/>
  <c r="J1861" i="2"/>
  <c r="G1861" i="2"/>
  <c r="P1863" i="2"/>
  <c r="J1863" i="2"/>
  <c r="G1863" i="2"/>
  <c r="P1730" i="2"/>
  <c r="J1730" i="2"/>
  <c r="G1730" i="2"/>
  <c r="P151" i="2"/>
  <c r="J151" i="2"/>
  <c r="G151" i="2"/>
  <c r="P2070" i="2"/>
  <c r="J2070" i="2"/>
  <c r="G2070" i="2"/>
  <c r="P1687" i="2"/>
  <c r="J1687" i="2"/>
  <c r="G1687" i="2"/>
  <c r="P1865" i="2"/>
  <c r="J1865" i="2"/>
  <c r="G1865" i="2"/>
  <c r="P1925" i="2"/>
  <c r="J1925" i="2"/>
  <c r="G1925" i="2"/>
  <c r="P1404" i="2"/>
  <c r="J1404" i="2"/>
  <c r="G1404" i="2"/>
  <c r="P1992" i="2"/>
  <c r="J1992" i="2"/>
  <c r="G1992" i="2"/>
  <c r="P1914" i="2"/>
  <c r="J1914" i="2"/>
  <c r="G1914" i="2"/>
  <c r="P306" i="2"/>
  <c r="J306" i="2"/>
  <c r="G306" i="2"/>
  <c r="P1476" i="2"/>
  <c r="J1476" i="2"/>
  <c r="G1476" i="2"/>
  <c r="P1924" i="2"/>
  <c r="J1924" i="2"/>
  <c r="G1924" i="2"/>
  <c r="P2136" i="2"/>
  <c r="J2136" i="2"/>
  <c r="G2136" i="2"/>
  <c r="P1475" i="2"/>
  <c r="J1475" i="2"/>
  <c r="G1475" i="2"/>
  <c r="P886" i="2"/>
  <c r="J886" i="2"/>
  <c r="G886" i="2"/>
  <c r="P885" i="2"/>
  <c r="J885" i="2"/>
  <c r="G885" i="2"/>
  <c r="P884" i="2"/>
  <c r="J884" i="2"/>
  <c r="G884" i="2"/>
  <c r="P883" i="2"/>
  <c r="J883" i="2"/>
  <c r="G883" i="2"/>
  <c r="P162" i="2"/>
  <c r="J162" i="2"/>
  <c r="G162" i="2"/>
  <c r="P161" i="2"/>
  <c r="J161" i="2"/>
  <c r="G161" i="2"/>
  <c r="P160" i="2"/>
  <c r="J160" i="2"/>
  <c r="G160" i="2"/>
  <c r="P159" i="2"/>
  <c r="J159" i="2"/>
  <c r="G159" i="2"/>
  <c r="P2000" i="2"/>
  <c r="J2000" i="2"/>
  <c r="G2000" i="2"/>
  <c r="P2010" i="2"/>
  <c r="J2010" i="2"/>
  <c r="G2010" i="2"/>
  <c r="P1196" i="2"/>
  <c r="J1196" i="2"/>
  <c r="G1196" i="2"/>
  <c r="P1128" i="2"/>
  <c r="J1128" i="2"/>
  <c r="G1128" i="2"/>
  <c r="P1841" i="2"/>
  <c r="J1841" i="2"/>
  <c r="G1841" i="2"/>
  <c r="P1255" i="2"/>
  <c r="J1255" i="2"/>
  <c r="G1255" i="2"/>
  <c r="P1254" i="2"/>
  <c r="J1254" i="2"/>
  <c r="G1254" i="2"/>
  <c r="P1253" i="2"/>
  <c r="J1253" i="2"/>
  <c r="G1253" i="2"/>
  <c r="P1252" i="2"/>
  <c r="J1252" i="2"/>
  <c r="G1252" i="2"/>
  <c r="P520" i="2"/>
  <c r="J520" i="2"/>
  <c r="G520" i="2"/>
  <c r="P1251" i="2"/>
  <c r="J1251" i="2"/>
  <c r="G1251" i="2"/>
  <c r="P1447" i="2"/>
  <c r="J1447" i="2"/>
  <c r="G1447" i="2"/>
  <c r="P1250" i="2"/>
  <c r="J1250" i="2"/>
  <c r="G1250" i="2"/>
  <c r="P1249" i="2"/>
  <c r="J1249" i="2"/>
  <c r="G1249" i="2"/>
  <c r="P1248" i="2"/>
  <c r="J1248" i="2"/>
  <c r="G1248" i="2"/>
  <c r="P1247" i="2"/>
  <c r="J1247" i="2"/>
  <c r="G1247" i="2"/>
  <c r="P1246" i="2"/>
  <c r="J1246" i="2"/>
  <c r="G1246" i="2"/>
  <c r="P1245" i="2"/>
  <c r="J1245" i="2"/>
  <c r="G1245" i="2"/>
  <c r="P1710" i="2"/>
  <c r="J1710" i="2"/>
  <c r="G1710" i="2"/>
  <c r="P581" i="2"/>
  <c r="J581" i="2"/>
  <c r="G581" i="2"/>
  <c r="P1709" i="2"/>
  <c r="J1709" i="2"/>
  <c r="G1709" i="2"/>
  <c r="P1708" i="2"/>
  <c r="J1708" i="2"/>
  <c r="G1708" i="2"/>
  <c r="P1707" i="2"/>
  <c r="J1707" i="2"/>
  <c r="G1707" i="2"/>
  <c r="P1706" i="2"/>
  <c r="J1706" i="2"/>
  <c r="G1706" i="2"/>
  <c r="P1705" i="2"/>
  <c r="J1705" i="2"/>
  <c r="G1705" i="2"/>
  <c r="P701" i="2"/>
  <c r="J701" i="2"/>
  <c r="G701" i="2"/>
  <c r="P1704" i="2"/>
  <c r="J1704" i="2"/>
  <c r="G1704" i="2"/>
  <c r="P1703" i="2"/>
  <c r="J1703" i="2"/>
  <c r="G1703" i="2"/>
  <c r="P664" i="2"/>
  <c r="J664" i="2"/>
  <c r="G664" i="2"/>
  <c r="P1702" i="2"/>
  <c r="J1702" i="2"/>
  <c r="G1702" i="2"/>
  <c r="P1701" i="2"/>
  <c r="J1701" i="2"/>
  <c r="G1701" i="2"/>
  <c r="P1700" i="2"/>
  <c r="J1700" i="2"/>
  <c r="G1700" i="2"/>
  <c r="P1699" i="2"/>
  <c r="J1699" i="2"/>
  <c r="G1699" i="2"/>
  <c r="P817" i="2"/>
  <c r="J817" i="2"/>
  <c r="G817" i="2"/>
  <c r="P328" i="2"/>
  <c r="J328" i="2"/>
  <c r="G328" i="2"/>
  <c r="P1291" i="2"/>
  <c r="J1291" i="2"/>
  <c r="G1291" i="2"/>
  <c r="P2135" i="2"/>
  <c r="J2135" i="2"/>
  <c r="G2135" i="2"/>
  <c r="P565" i="2"/>
  <c r="J565" i="2"/>
  <c r="G565" i="2"/>
  <c r="P1634" i="2"/>
  <c r="J1634" i="2"/>
  <c r="G1634" i="2"/>
  <c r="P2152" i="2"/>
  <c r="J2152" i="2"/>
  <c r="G2152" i="2"/>
  <c r="P953" i="2"/>
  <c r="J953" i="2"/>
  <c r="G953" i="2"/>
  <c r="P1625" i="2"/>
  <c r="J1625" i="2"/>
  <c r="G1625" i="2"/>
  <c r="P762" i="2"/>
  <c r="J762" i="2"/>
  <c r="G762" i="2"/>
  <c r="P244" i="2"/>
  <c r="J244" i="2"/>
  <c r="G244" i="2"/>
  <c r="P1898" i="2"/>
  <c r="J1898" i="2"/>
  <c r="G1898" i="2"/>
  <c r="P327" i="2"/>
  <c r="J327" i="2"/>
  <c r="G327" i="2"/>
  <c r="P1391" i="2"/>
  <c r="J1391" i="2"/>
  <c r="G1391" i="2"/>
  <c r="P1172" i="2"/>
  <c r="J1172" i="2"/>
  <c r="G1172" i="2"/>
  <c r="P729" i="2"/>
  <c r="J729" i="2"/>
  <c r="G729" i="2"/>
  <c r="P1623" i="2"/>
  <c r="J1623" i="2"/>
  <c r="G1623" i="2"/>
  <c r="P1729" i="2"/>
  <c r="J1729" i="2"/>
  <c r="G1729" i="2"/>
  <c r="P210" i="2"/>
  <c r="J210" i="2"/>
  <c r="G210" i="2"/>
  <c r="P1860" i="2"/>
  <c r="J1860" i="2"/>
  <c r="G1860" i="2"/>
  <c r="P335" i="2"/>
  <c r="J335" i="2"/>
  <c r="G335" i="2"/>
  <c r="P704" i="2"/>
  <c r="J704" i="2"/>
  <c r="G704" i="2"/>
  <c r="P1850" i="2"/>
  <c r="J1850" i="2"/>
  <c r="G1850" i="2"/>
  <c r="P738" i="2"/>
  <c r="J738" i="2"/>
  <c r="G738" i="2"/>
  <c r="P2088" i="2"/>
  <c r="J2088" i="2"/>
  <c r="G2088" i="2"/>
  <c r="P1378" i="2"/>
  <c r="J1378" i="2"/>
  <c r="G1378" i="2"/>
  <c r="P1972" i="2"/>
  <c r="J1972" i="2"/>
  <c r="G1972" i="2"/>
  <c r="P2149" i="2"/>
  <c r="J2149" i="2"/>
  <c r="G2149" i="2"/>
  <c r="P865" i="2"/>
  <c r="J865" i="2"/>
  <c r="G865" i="2"/>
  <c r="P1775" i="2"/>
  <c r="J1775" i="2"/>
  <c r="G1775" i="2"/>
  <c r="P1862" i="2"/>
  <c r="J1862" i="2"/>
  <c r="G1862" i="2"/>
  <c r="P737" i="2"/>
  <c r="J737" i="2"/>
  <c r="G737" i="2"/>
  <c r="P340" i="2"/>
  <c r="J340" i="2"/>
  <c r="G340" i="2"/>
  <c r="P576" i="2"/>
  <c r="J576" i="2"/>
  <c r="G576" i="2"/>
  <c r="P1933" i="2"/>
  <c r="J1933" i="2"/>
  <c r="G1933" i="2"/>
  <c r="P575" i="2"/>
  <c r="J575" i="2"/>
  <c r="G575" i="2"/>
  <c r="P574" i="2"/>
  <c r="J574" i="2"/>
  <c r="G574" i="2"/>
  <c r="P1394" i="2"/>
  <c r="J1394" i="2"/>
  <c r="G1394" i="2"/>
  <c r="J3033" i="2"/>
  <c r="G3033" i="2"/>
  <c r="P679" i="2"/>
  <c r="J679" i="2"/>
  <c r="G679" i="2"/>
  <c r="P678" i="2"/>
  <c r="J678" i="2"/>
  <c r="G678" i="2"/>
  <c r="P2036" i="2"/>
  <c r="J2036" i="2"/>
  <c r="G2036" i="2"/>
  <c r="P1282" i="2"/>
  <c r="J1282" i="2"/>
  <c r="G1282" i="2"/>
  <c r="P1474" i="2"/>
  <c r="J1474" i="2"/>
  <c r="G1474" i="2"/>
  <c r="P1012" i="2"/>
  <c r="J1012" i="2"/>
  <c r="G1012" i="2"/>
  <c r="P1473" i="2"/>
  <c r="J1473" i="2"/>
  <c r="G1473" i="2"/>
  <c r="P1472" i="2"/>
  <c r="J1472" i="2"/>
  <c r="G1472" i="2"/>
  <c r="P488" i="2"/>
  <c r="J488" i="2"/>
  <c r="G488" i="2"/>
  <c r="P556" i="2"/>
  <c r="J556" i="2"/>
  <c r="G556" i="2"/>
  <c r="P1727" i="2"/>
  <c r="J1727" i="2"/>
  <c r="G1727" i="2"/>
  <c r="P1689" i="2"/>
  <c r="J1689" i="2"/>
  <c r="G1689" i="2"/>
  <c r="P193" i="2"/>
  <c r="J193" i="2"/>
  <c r="G193" i="2"/>
  <c r="P1688" i="2"/>
  <c r="J1688" i="2"/>
  <c r="G1688" i="2"/>
  <c r="P677" i="2"/>
  <c r="J677" i="2"/>
  <c r="G677" i="2"/>
  <c r="P1726" i="2"/>
  <c r="J1726" i="2"/>
  <c r="G1726" i="2"/>
  <c r="P1951" i="2"/>
  <c r="J1951" i="2"/>
  <c r="G1951" i="2"/>
  <c r="P1950" i="2"/>
  <c r="J1950" i="2"/>
  <c r="G1950" i="2"/>
  <c r="P1949" i="2"/>
  <c r="J1949" i="2"/>
  <c r="G1949" i="2"/>
  <c r="P1796" i="2"/>
  <c r="J1796" i="2"/>
  <c r="G1796" i="2"/>
  <c r="P1226" i="2"/>
  <c r="J1226" i="2"/>
  <c r="G1226" i="2"/>
  <c r="P1225" i="2"/>
  <c r="J1225" i="2"/>
  <c r="G1225" i="2"/>
  <c r="P1784" i="2"/>
  <c r="J1784" i="2"/>
  <c r="G1784" i="2"/>
  <c r="P1127" i="2"/>
  <c r="J1127" i="2"/>
  <c r="G1127" i="2"/>
  <c r="P189" i="2"/>
  <c r="J189" i="2"/>
  <c r="G189" i="2"/>
  <c r="P1239" i="2"/>
  <c r="J1239" i="2"/>
  <c r="G1239" i="2"/>
  <c r="P1578" i="2"/>
  <c r="J1578" i="2"/>
  <c r="G1578" i="2"/>
  <c r="P780" i="2"/>
  <c r="J780" i="2"/>
  <c r="G780" i="2"/>
  <c r="P2085" i="2"/>
  <c r="J2085" i="2"/>
  <c r="G2085" i="2"/>
  <c r="P2148" i="2"/>
  <c r="J2148" i="2"/>
  <c r="G2148" i="2"/>
  <c r="P236" i="2"/>
  <c r="J236" i="2"/>
  <c r="G236" i="2"/>
  <c r="P1854" i="2"/>
  <c r="J1854" i="2"/>
  <c r="G1854" i="2"/>
  <c r="P1471" i="2"/>
  <c r="J1471" i="2"/>
  <c r="G1471" i="2"/>
  <c r="P1698" i="2"/>
  <c r="J1698" i="2"/>
  <c r="G1698" i="2"/>
  <c r="P3463" i="2"/>
  <c r="J3463" i="2"/>
  <c r="G3463" i="2"/>
  <c r="P1453" i="2"/>
  <c r="J1453" i="2"/>
  <c r="G1453" i="2"/>
  <c r="P1882" i="2"/>
  <c r="J1882" i="2"/>
  <c r="G1882" i="2"/>
  <c r="P1757" i="2"/>
  <c r="J1757" i="2"/>
  <c r="G1757" i="2"/>
  <c r="P555" i="2"/>
  <c r="J555" i="2"/>
  <c r="G555" i="2"/>
  <c r="P554" i="2"/>
  <c r="J554" i="2"/>
  <c r="G554" i="2"/>
  <c r="P553" i="2"/>
  <c r="J553" i="2"/>
  <c r="G553" i="2"/>
  <c r="P208" i="2"/>
  <c r="J208" i="2"/>
  <c r="G208" i="2"/>
  <c r="P571" i="2"/>
  <c r="J571" i="2"/>
  <c r="G571" i="2"/>
  <c r="P552" i="2"/>
  <c r="J552" i="2"/>
  <c r="G552" i="2"/>
  <c r="P1137" i="2"/>
  <c r="J1137" i="2"/>
  <c r="G1137" i="2"/>
  <c r="P551" i="2"/>
  <c r="J551" i="2"/>
  <c r="G551" i="2"/>
  <c r="P550" i="2"/>
  <c r="J550" i="2"/>
  <c r="G550" i="2"/>
  <c r="P549" i="2"/>
  <c r="J549" i="2"/>
  <c r="G549" i="2"/>
  <c r="P548" i="2"/>
  <c r="J548" i="2"/>
  <c r="G548" i="2"/>
  <c r="P547" i="2"/>
  <c r="J547" i="2"/>
  <c r="G547" i="2"/>
  <c r="P546" i="2"/>
  <c r="J546" i="2"/>
  <c r="G546" i="2"/>
  <c r="P545" i="2"/>
  <c r="J545" i="2"/>
  <c r="G545" i="2"/>
  <c r="P544" i="2"/>
  <c r="J544" i="2"/>
  <c r="G544" i="2"/>
  <c r="P543" i="2"/>
  <c r="J543" i="2"/>
  <c r="G543" i="2"/>
  <c r="P542" i="2"/>
  <c r="J542" i="2"/>
  <c r="G542" i="2"/>
  <c r="P541" i="2"/>
  <c r="J541" i="2"/>
  <c r="G541" i="2"/>
  <c r="P144" i="2"/>
  <c r="J144" i="2"/>
  <c r="G144" i="2"/>
  <c r="P540" i="2"/>
  <c r="J540" i="2"/>
  <c r="G540" i="2"/>
  <c r="P539" i="2"/>
  <c r="J539" i="2"/>
  <c r="G539" i="2"/>
  <c r="P538" i="2"/>
  <c r="J538" i="2"/>
  <c r="G538" i="2"/>
  <c r="P537" i="2"/>
  <c r="J537" i="2"/>
  <c r="G537" i="2"/>
  <c r="P536" i="2"/>
  <c r="J536" i="2"/>
  <c r="G536" i="2"/>
  <c r="P535" i="2"/>
  <c r="J535" i="2"/>
  <c r="G535" i="2"/>
  <c r="P1901" i="2"/>
  <c r="J1901" i="2"/>
  <c r="G1901" i="2"/>
  <c r="P534" i="2"/>
  <c r="J534" i="2"/>
  <c r="G534" i="2"/>
  <c r="P1965" i="2"/>
  <c r="J1965" i="2"/>
  <c r="G1965" i="2"/>
  <c r="P2097" i="2"/>
  <c r="J2097" i="2"/>
  <c r="G2097" i="2"/>
  <c r="P533" i="2"/>
  <c r="J533" i="2"/>
  <c r="G533" i="2"/>
  <c r="P2927" i="2"/>
  <c r="J2927" i="2"/>
  <c r="G2927" i="2"/>
  <c r="P1044" i="2"/>
  <c r="J1044" i="2"/>
  <c r="G1044" i="2"/>
  <c r="P1683" i="2"/>
  <c r="J1683" i="2"/>
  <c r="G1683" i="2"/>
  <c r="P532" i="2"/>
  <c r="J532" i="2"/>
  <c r="G532" i="2"/>
  <c r="P685" i="2"/>
  <c r="J685" i="2"/>
  <c r="G685" i="2"/>
  <c r="P1672" i="2"/>
  <c r="J1672" i="2"/>
  <c r="G1672" i="2"/>
  <c r="P204" i="2"/>
  <c r="J204" i="2"/>
  <c r="G204" i="2"/>
  <c r="P950" i="2"/>
  <c r="J950" i="2"/>
  <c r="G950" i="2"/>
  <c r="P1277" i="2"/>
  <c r="J1277" i="2"/>
  <c r="G1277" i="2"/>
  <c r="P1082" i="2"/>
  <c r="J1082" i="2"/>
  <c r="G1082" i="2"/>
  <c r="P1081" i="2"/>
  <c r="J1081" i="2"/>
  <c r="G1081" i="2"/>
  <c r="P187" i="2"/>
  <c r="J187" i="2"/>
  <c r="G187" i="2"/>
  <c r="P2039" i="2"/>
  <c r="J2039" i="2"/>
  <c r="G2039" i="2"/>
  <c r="P531" i="2"/>
  <c r="J531" i="2"/>
  <c r="G531" i="2"/>
  <c r="P2151" i="2"/>
  <c r="J2151" i="2"/>
  <c r="G2151" i="2"/>
  <c r="P2150" i="2"/>
  <c r="J2150" i="2"/>
  <c r="G2150" i="2"/>
  <c r="P1470" i="2"/>
  <c r="J1470" i="2"/>
  <c r="G1470" i="2"/>
  <c r="P2021" i="2"/>
  <c r="J2021" i="2"/>
  <c r="G2021" i="2"/>
  <c r="P2924" i="2"/>
  <c r="J2924" i="2"/>
  <c r="G2924" i="2"/>
  <c r="P1697" i="2"/>
  <c r="J1697" i="2"/>
  <c r="G1697" i="2"/>
  <c r="P1964" i="2"/>
  <c r="J1964" i="2"/>
  <c r="G1964" i="2"/>
  <c r="P1963" i="2"/>
  <c r="J1963" i="2"/>
  <c r="G1963" i="2"/>
  <c r="P1891" i="2"/>
  <c r="J1891" i="2"/>
  <c r="G1891" i="2"/>
  <c r="P2090" i="2"/>
  <c r="J2090" i="2"/>
  <c r="G2090" i="2"/>
  <c r="P298" i="2"/>
  <c r="J298" i="2"/>
  <c r="G298" i="2"/>
  <c r="P1086" i="2"/>
  <c r="J1086" i="2"/>
  <c r="G1086" i="2"/>
  <c r="P757" i="2"/>
  <c r="J757" i="2"/>
  <c r="G757" i="2"/>
  <c r="P1013" i="2"/>
  <c r="J1013" i="2"/>
  <c r="G1013" i="2"/>
  <c r="P1720" i="2"/>
  <c r="J1720" i="2"/>
  <c r="G1720" i="2"/>
  <c r="P1276" i="2"/>
  <c r="J1276" i="2"/>
  <c r="G1276" i="2"/>
  <c r="P573" i="2"/>
  <c r="J573" i="2"/>
  <c r="G573" i="2"/>
  <c r="P2099" i="2"/>
  <c r="J2099" i="2"/>
  <c r="G2099" i="2"/>
  <c r="P440" i="2"/>
  <c r="J440" i="2"/>
  <c r="G440" i="2"/>
  <c r="P1574" i="2"/>
  <c r="J1574" i="2"/>
  <c r="G1574" i="2"/>
  <c r="P1573" i="2"/>
  <c r="J1573" i="2"/>
  <c r="G1573" i="2"/>
  <c r="P1671" i="2"/>
  <c r="J1671" i="2"/>
  <c r="G1671" i="2"/>
  <c r="P1962" i="2"/>
  <c r="J1962" i="2"/>
  <c r="G1962" i="2"/>
  <c r="P1809" i="2"/>
  <c r="J1809" i="2"/>
  <c r="G1809" i="2"/>
  <c r="P736" i="2"/>
  <c r="J736" i="2"/>
  <c r="G736" i="2"/>
  <c r="P1295" i="2"/>
  <c r="J1295" i="2"/>
  <c r="G1295" i="2"/>
  <c r="P1054" i="2"/>
  <c r="J1054" i="2"/>
  <c r="G1054" i="2"/>
  <c r="P973" i="2"/>
  <c r="J973" i="2"/>
  <c r="G973" i="2"/>
  <c r="P421" i="2"/>
  <c r="J421" i="2"/>
  <c r="G421" i="2"/>
  <c r="P1437" i="2"/>
  <c r="J1437" i="2"/>
  <c r="G1437" i="2"/>
  <c r="P579" i="2"/>
  <c r="J579" i="2"/>
  <c r="G579" i="2"/>
  <c r="P578" i="2"/>
  <c r="J578" i="2"/>
  <c r="G578" i="2"/>
  <c r="P222" i="2"/>
  <c r="J222" i="2"/>
  <c r="G222" i="2"/>
  <c r="P1908" i="2"/>
  <c r="J1908" i="2"/>
  <c r="G1908" i="2"/>
  <c r="P1201" i="2"/>
  <c r="J1201" i="2"/>
  <c r="G1201" i="2"/>
  <c r="P603" i="2"/>
  <c r="J603" i="2"/>
  <c r="G603" i="2"/>
  <c r="P2781" i="2"/>
  <c r="J2781" i="2"/>
  <c r="G2781" i="2"/>
  <c r="P1981" i="2"/>
  <c r="J1981" i="2"/>
  <c r="G1981" i="2"/>
  <c r="P455" i="2"/>
  <c r="J455" i="2"/>
  <c r="G455" i="2"/>
  <c r="P1345" i="2"/>
  <c r="J1345" i="2"/>
  <c r="G1345" i="2"/>
  <c r="P1890" i="2"/>
  <c r="J1890" i="2"/>
  <c r="G1890" i="2"/>
  <c r="P1889" i="2"/>
  <c r="J1889" i="2"/>
  <c r="G1889" i="2"/>
  <c r="P1888" i="2"/>
  <c r="J1888" i="2"/>
  <c r="G1888" i="2"/>
  <c r="P1887" i="2"/>
  <c r="J1887" i="2"/>
  <c r="G1887" i="2"/>
  <c r="P1886" i="2"/>
  <c r="J1886" i="2"/>
  <c r="G1886" i="2"/>
  <c r="P1885" i="2"/>
  <c r="J1885" i="2"/>
  <c r="G1885" i="2"/>
  <c r="P2095" i="2"/>
  <c r="J2095" i="2"/>
  <c r="G2095" i="2"/>
  <c r="P1011" i="2"/>
  <c r="J1011" i="2"/>
  <c r="G1011" i="2"/>
  <c r="P2086" i="2"/>
  <c r="J2086" i="2"/>
  <c r="G2086" i="2"/>
  <c r="P184" i="2"/>
  <c r="J184" i="2"/>
  <c r="G184" i="2"/>
  <c r="P389" i="2"/>
  <c r="J389" i="2"/>
  <c r="G389" i="2"/>
  <c r="P388" i="2"/>
  <c r="J388" i="2"/>
  <c r="G388" i="2"/>
  <c r="P387" i="2"/>
  <c r="J387" i="2"/>
  <c r="G387" i="2"/>
  <c r="P386" i="2"/>
  <c r="J386" i="2"/>
  <c r="G386" i="2"/>
  <c r="P385" i="2"/>
  <c r="J385" i="2"/>
  <c r="G385" i="2"/>
  <c r="P384" i="2"/>
  <c r="J384" i="2"/>
  <c r="G384" i="2"/>
  <c r="P1733" i="2"/>
  <c r="J1733" i="2"/>
  <c r="G1733" i="2"/>
  <c r="P383" i="2"/>
  <c r="J383" i="2"/>
  <c r="G383" i="2"/>
  <c r="P382" i="2"/>
  <c r="J382" i="2"/>
  <c r="G382" i="2"/>
  <c r="P381" i="2"/>
  <c r="J381" i="2"/>
  <c r="G381" i="2"/>
  <c r="P380" i="2"/>
  <c r="J380" i="2"/>
  <c r="G380" i="2"/>
  <c r="P379" i="2"/>
  <c r="J379" i="2"/>
  <c r="G379" i="2"/>
  <c r="P378" i="2"/>
  <c r="J378" i="2"/>
  <c r="G378" i="2"/>
  <c r="P377" i="2"/>
  <c r="J377" i="2"/>
  <c r="G377" i="2"/>
  <c r="P376" i="2"/>
  <c r="J376" i="2"/>
  <c r="G376" i="2"/>
  <c r="P375" i="2"/>
  <c r="J375" i="2"/>
  <c r="G375" i="2"/>
  <c r="P374" i="2"/>
  <c r="J374" i="2"/>
  <c r="G374" i="2"/>
  <c r="P373" i="2"/>
  <c r="J373" i="2"/>
  <c r="G373" i="2"/>
  <c r="P372" i="2"/>
  <c r="J372" i="2"/>
  <c r="G372" i="2"/>
  <c r="P371" i="2"/>
  <c r="J371" i="2"/>
  <c r="G371" i="2"/>
  <c r="P370" i="2"/>
  <c r="J370" i="2"/>
  <c r="G370" i="2"/>
  <c r="P369" i="2"/>
  <c r="J369" i="2"/>
  <c r="G369" i="2"/>
  <c r="P368" i="2"/>
  <c r="J368" i="2"/>
  <c r="G368" i="2"/>
  <c r="P367" i="2"/>
  <c r="J367" i="2"/>
  <c r="G367" i="2"/>
  <c r="P366" i="2"/>
  <c r="J366" i="2"/>
  <c r="G366" i="2"/>
  <c r="P1118" i="2"/>
  <c r="J1118" i="2"/>
  <c r="G1118" i="2"/>
  <c r="P1135" i="2"/>
  <c r="J1135" i="2"/>
  <c r="G1135" i="2"/>
  <c r="P1449" i="2"/>
  <c r="J1449" i="2"/>
  <c r="G1449" i="2"/>
  <c r="P1838" i="2"/>
  <c r="J1838" i="2"/>
  <c r="G1838" i="2"/>
  <c r="P587" i="2"/>
  <c r="J587" i="2"/>
  <c r="G587" i="2"/>
  <c r="P1948" i="2"/>
  <c r="J1948" i="2"/>
  <c r="G1948" i="2"/>
  <c r="P586" i="2"/>
  <c r="J586" i="2"/>
  <c r="G586" i="2"/>
  <c r="P585" i="2"/>
  <c r="J585" i="2"/>
  <c r="G585" i="2"/>
  <c r="P1903" i="2"/>
  <c r="J1903" i="2"/>
  <c r="G1903" i="2"/>
  <c r="P584" i="2"/>
  <c r="J584" i="2"/>
  <c r="G584" i="2"/>
  <c r="P583" i="2"/>
  <c r="J583" i="2"/>
  <c r="G583" i="2"/>
  <c r="P1932" i="2"/>
  <c r="J1932" i="2"/>
  <c r="G1932" i="2"/>
  <c r="P772" i="2"/>
  <c r="J772" i="2"/>
  <c r="G772" i="2"/>
  <c r="P1909" i="2"/>
  <c r="J1909" i="2"/>
  <c r="G1909" i="2"/>
  <c r="P1906" i="2"/>
  <c r="J1906" i="2"/>
  <c r="G1906" i="2"/>
  <c r="P1876" i="2"/>
  <c r="J1876" i="2"/>
  <c r="G1876" i="2"/>
  <c r="P188" i="2"/>
  <c r="J188" i="2"/>
  <c r="G188" i="2"/>
  <c r="P1511" i="2"/>
  <c r="J1511" i="2"/>
  <c r="G1511" i="2"/>
  <c r="P1666" i="2"/>
  <c r="J1666" i="2"/>
  <c r="G1666" i="2"/>
  <c r="P1799" i="2"/>
  <c r="J1799" i="2"/>
  <c r="G1799" i="2"/>
  <c r="P282" i="2"/>
  <c r="J282" i="2"/>
  <c r="G282" i="2"/>
  <c r="P1674" i="2"/>
  <c r="J1674" i="2"/>
  <c r="G1674" i="2"/>
  <c r="P1237" i="2"/>
  <c r="J1237" i="2"/>
  <c r="G1237" i="2"/>
  <c r="P2966" i="2"/>
  <c r="J2966" i="2"/>
  <c r="G2966" i="2"/>
  <c r="P1875" i="2"/>
  <c r="J1875" i="2"/>
  <c r="G1875" i="2"/>
  <c r="P1874" i="2"/>
  <c r="J1874" i="2"/>
  <c r="G1874" i="2"/>
  <c r="P347" i="2"/>
  <c r="J347" i="2"/>
  <c r="G347" i="2"/>
  <c r="P700" i="2"/>
  <c r="J700" i="2"/>
  <c r="G700" i="2"/>
  <c r="P1063" i="2"/>
  <c r="J1063" i="2"/>
  <c r="G1063" i="2"/>
  <c r="P1665" i="2"/>
  <c r="J1665" i="2"/>
  <c r="G1665" i="2"/>
  <c r="P2037" i="2"/>
  <c r="J2037" i="2"/>
  <c r="G2037" i="2"/>
  <c r="P1285" i="2"/>
  <c r="J1285" i="2"/>
  <c r="G1285" i="2"/>
  <c r="P1716" i="2"/>
  <c r="J1716" i="2"/>
  <c r="G1716" i="2"/>
  <c r="P771" i="2"/>
  <c r="J771" i="2"/>
  <c r="G771" i="2"/>
  <c r="P1341" i="2"/>
  <c r="J1341" i="2"/>
  <c r="G1341" i="2"/>
  <c r="P1947" i="2"/>
  <c r="J1947" i="2"/>
  <c r="G1947" i="2"/>
  <c r="P267" i="2"/>
  <c r="J267" i="2"/>
  <c r="G267" i="2"/>
  <c r="P441" i="2"/>
  <c r="J441" i="2"/>
  <c r="G441" i="2"/>
  <c r="P2214" i="2"/>
  <c r="J2214" i="2"/>
  <c r="G2214" i="2"/>
  <c r="P1682" i="2"/>
  <c r="J1682" i="2"/>
  <c r="G1682" i="2"/>
  <c r="P1487" i="2"/>
  <c r="J1487" i="2"/>
  <c r="G1487" i="2"/>
  <c r="P285" i="2"/>
  <c r="J285" i="2"/>
  <c r="G285" i="2"/>
  <c r="P1198" i="2"/>
  <c r="J1198" i="2"/>
  <c r="G1198" i="2"/>
  <c r="P622" i="2"/>
  <c r="J622" i="2"/>
  <c r="G622" i="2"/>
  <c r="P1213" i="2"/>
  <c r="J1213" i="2"/>
  <c r="G1213" i="2"/>
  <c r="P1375" i="2"/>
  <c r="J1375" i="2"/>
  <c r="G1375" i="2"/>
  <c r="P1014" i="2"/>
  <c r="J1014" i="2"/>
  <c r="G1014" i="2"/>
  <c r="P1426" i="2"/>
  <c r="J1426" i="2"/>
  <c r="G1426" i="2"/>
  <c r="P712" i="2"/>
  <c r="J712" i="2"/>
  <c r="G712" i="2"/>
  <c r="P1233" i="2"/>
  <c r="J1233" i="2"/>
  <c r="G1233" i="2"/>
  <c r="P419" i="2"/>
  <c r="J419" i="2"/>
  <c r="G419" i="2"/>
  <c r="P658" i="2"/>
  <c r="J658" i="2"/>
  <c r="G658" i="2"/>
  <c r="P1232" i="2"/>
  <c r="J1232" i="2"/>
  <c r="G1232" i="2"/>
  <c r="P1371" i="2"/>
  <c r="J1371" i="2"/>
  <c r="G1371" i="2"/>
  <c r="P1370" i="2"/>
  <c r="J1370" i="2"/>
  <c r="G1370" i="2"/>
  <c r="P1369" i="2"/>
  <c r="J1369" i="2"/>
  <c r="G1369" i="2"/>
  <c r="P1368" i="2"/>
  <c r="J1368" i="2"/>
  <c r="G1368" i="2"/>
  <c r="P1367" i="2"/>
  <c r="J1367" i="2"/>
  <c r="G1367" i="2"/>
  <c r="P1366" i="2"/>
  <c r="J1366" i="2"/>
  <c r="G1366" i="2"/>
  <c r="P1365" i="2"/>
  <c r="J1365" i="2"/>
  <c r="G1365" i="2"/>
  <c r="P1364" i="2"/>
  <c r="J1364" i="2"/>
  <c r="G1364" i="2"/>
  <c r="P1363" i="2"/>
  <c r="J1363" i="2"/>
  <c r="G1363" i="2"/>
  <c r="P1362" i="2"/>
  <c r="J1362" i="2"/>
  <c r="G1362" i="2"/>
  <c r="P1361" i="2"/>
  <c r="J1361" i="2"/>
  <c r="G1361" i="2"/>
  <c r="P1360" i="2"/>
  <c r="J1360" i="2"/>
  <c r="G1360" i="2"/>
  <c r="P1359" i="2"/>
  <c r="J1359" i="2"/>
  <c r="G1359" i="2"/>
  <c r="P1358" i="2"/>
  <c r="J1358" i="2"/>
  <c r="G1358" i="2"/>
  <c r="P1357" i="2"/>
  <c r="J1357" i="2"/>
  <c r="G1357" i="2"/>
  <c r="P1356" i="2"/>
  <c r="J1356" i="2"/>
  <c r="G1356" i="2"/>
  <c r="P1355" i="2"/>
  <c r="J1355" i="2"/>
  <c r="G1355" i="2"/>
  <c r="P1354" i="2"/>
  <c r="J1354" i="2"/>
  <c r="G1354" i="2"/>
  <c r="P1353" i="2"/>
  <c r="J1353" i="2"/>
  <c r="G1353" i="2"/>
  <c r="P1076" i="2"/>
  <c r="J1076" i="2"/>
  <c r="G1076" i="2"/>
  <c r="P657" i="2"/>
  <c r="J657" i="2"/>
  <c r="G657" i="2"/>
  <c r="P1872" i="2"/>
  <c r="J1872" i="2"/>
  <c r="G1872" i="2"/>
  <c r="P1396" i="2"/>
  <c r="J1396" i="2"/>
  <c r="G1396" i="2"/>
  <c r="P1893" i="2"/>
  <c r="J1893" i="2"/>
  <c r="G1893" i="2"/>
  <c r="P461" i="2"/>
  <c r="J461" i="2"/>
  <c r="G461" i="2"/>
  <c r="P699" i="2"/>
  <c r="J699" i="2"/>
  <c r="G699" i="2"/>
  <c r="P770" i="2"/>
  <c r="J770" i="2"/>
  <c r="G770" i="2"/>
  <c r="P1583" i="2"/>
  <c r="J1583" i="2"/>
  <c r="G1583" i="2"/>
  <c r="P1272" i="2"/>
  <c r="J1272" i="2"/>
  <c r="G1272" i="2"/>
  <c r="P881" i="2"/>
  <c r="J881" i="2"/>
  <c r="G881" i="2"/>
  <c r="P2094" i="2"/>
  <c r="J2094" i="2"/>
  <c r="G2094" i="2"/>
  <c r="P1988" i="2"/>
  <c r="J1988" i="2"/>
  <c r="G1988" i="2"/>
  <c r="P1275" i="2"/>
  <c r="J1275" i="2"/>
  <c r="G1275" i="2"/>
  <c r="P1337" i="2"/>
  <c r="J1337" i="2"/>
  <c r="G1337" i="2"/>
  <c r="P871" i="2"/>
  <c r="J871" i="2"/>
  <c r="G871" i="2"/>
  <c r="P809" i="2"/>
  <c r="J809" i="2"/>
  <c r="G809" i="2"/>
  <c r="P1821" i="2"/>
  <c r="J1821" i="2"/>
  <c r="G1821" i="2"/>
  <c r="P2043" i="2"/>
  <c r="J2043" i="2"/>
  <c r="G2043" i="2"/>
  <c r="P1913" i="2"/>
  <c r="J1913" i="2"/>
  <c r="G1913" i="2"/>
  <c r="P1912" i="2"/>
  <c r="J1912" i="2"/>
  <c r="G1912" i="2"/>
  <c r="P959" i="2"/>
  <c r="J959" i="2"/>
  <c r="G959" i="2"/>
  <c r="P1570" i="2"/>
  <c r="J1570" i="2"/>
  <c r="G1570" i="2"/>
  <c r="P414" i="2"/>
  <c r="J414" i="2"/>
  <c r="G414" i="2"/>
  <c r="P1274" i="2"/>
  <c r="J1274" i="2"/>
  <c r="G1274" i="2"/>
  <c r="P1801" i="2"/>
  <c r="J1801" i="2"/>
  <c r="G1801" i="2"/>
  <c r="P877" i="2"/>
  <c r="J877" i="2"/>
  <c r="G877" i="2"/>
  <c r="P1510" i="2"/>
  <c r="J1510" i="2"/>
  <c r="G1510" i="2"/>
  <c r="P1673" i="2"/>
  <c r="J1673" i="2"/>
  <c r="G1673" i="2"/>
  <c r="P1509" i="2"/>
  <c r="J1509" i="2"/>
  <c r="G1509" i="2"/>
  <c r="P205" i="2"/>
  <c r="J205" i="2"/>
  <c r="G205" i="2"/>
  <c r="P1877" i="2"/>
  <c r="J1877" i="2"/>
  <c r="G1877" i="2"/>
  <c r="P1384" i="2"/>
  <c r="J1384" i="2"/>
  <c r="G1384" i="2"/>
  <c r="P1383" i="2"/>
  <c r="J1383" i="2"/>
  <c r="G1383" i="2"/>
  <c r="P1382" i="2"/>
  <c r="J1382" i="2"/>
  <c r="G1382" i="2"/>
  <c r="P1133" i="2"/>
  <c r="J1133" i="2"/>
  <c r="G1133" i="2"/>
  <c r="P1132" i="2"/>
  <c r="J1132" i="2"/>
  <c r="G1132" i="2"/>
  <c r="P324" i="2"/>
  <c r="J324" i="2"/>
  <c r="G324" i="2"/>
  <c r="P1085" i="2"/>
  <c r="J1085" i="2"/>
  <c r="G1085" i="2"/>
  <c r="P1084" i="2"/>
  <c r="J1084" i="2"/>
  <c r="G1084" i="2"/>
  <c r="P330" i="2"/>
  <c r="J330" i="2"/>
  <c r="G330" i="2"/>
  <c r="P1244" i="2"/>
  <c r="J1244" i="2"/>
  <c r="G1244" i="2"/>
  <c r="P178" i="2"/>
  <c r="J178" i="2"/>
  <c r="G178" i="2"/>
  <c r="P2083" i="2"/>
  <c r="J2083" i="2"/>
  <c r="G2083" i="2"/>
  <c r="P339" i="2"/>
  <c r="J339" i="2"/>
  <c r="G339" i="2"/>
  <c r="P1083" i="2"/>
  <c r="J1083" i="2"/>
  <c r="G1083" i="2"/>
  <c r="P1039" i="2"/>
  <c r="J1039" i="2"/>
  <c r="G1039" i="2"/>
  <c r="P805" i="2"/>
  <c r="J805" i="2"/>
  <c r="G805" i="2"/>
  <c r="J3032" i="2"/>
  <c r="G3032" i="2"/>
  <c r="P1737" i="2"/>
  <c r="J1737" i="2"/>
  <c r="G1737" i="2"/>
  <c r="P391" i="2"/>
  <c r="J391" i="2"/>
  <c r="G391" i="2"/>
  <c r="J3031" i="2"/>
  <c r="G3031" i="2"/>
  <c r="P1852" i="2"/>
  <c r="J1852" i="2"/>
  <c r="G1852" i="2"/>
  <c r="P1738" i="2"/>
  <c r="J1738" i="2"/>
  <c r="G1738" i="2"/>
  <c r="P517" i="2"/>
  <c r="J517" i="2"/>
  <c r="G517" i="2"/>
  <c r="P1945" i="2"/>
  <c r="J1945" i="2"/>
  <c r="G1945" i="2"/>
  <c r="P1853" i="2"/>
  <c r="J1853" i="2"/>
  <c r="G1853" i="2"/>
  <c r="P3367" i="2"/>
  <c r="J3367" i="2"/>
  <c r="G3367" i="2"/>
  <c r="P1567" i="2"/>
  <c r="J1567" i="2"/>
  <c r="G1567" i="2"/>
  <c r="P631" i="2"/>
  <c r="J631" i="2"/>
  <c r="G631" i="2"/>
  <c r="P1392" i="2"/>
  <c r="J1392" i="2"/>
  <c r="G1392" i="2"/>
  <c r="P9" i="2"/>
  <c r="J9" i="2"/>
  <c r="G9" i="2"/>
  <c r="P1958" i="2"/>
  <c r="J1958" i="2"/>
  <c r="G1958" i="2"/>
  <c r="P1724" i="2"/>
  <c r="J1724" i="2"/>
  <c r="G1724" i="2"/>
  <c r="P2923" i="2"/>
  <c r="J2923" i="2"/>
  <c r="G2923" i="2"/>
  <c r="P1267" i="2"/>
  <c r="J1267" i="2"/>
  <c r="G1267" i="2"/>
  <c r="P577" i="2"/>
  <c r="J577" i="2"/>
  <c r="G577" i="2"/>
  <c r="P2186" i="2"/>
  <c r="J2186" i="2"/>
  <c r="G2186" i="2"/>
  <c r="P630" i="2"/>
  <c r="J630" i="2"/>
  <c r="G630" i="2"/>
  <c r="P2187" i="2"/>
  <c r="J2187" i="2"/>
  <c r="G2187" i="2"/>
  <c r="P629" i="2"/>
  <c r="J629" i="2"/>
  <c r="G629" i="2"/>
  <c r="P628" i="2"/>
  <c r="J628" i="2"/>
  <c r="G628" i="2"/>
  <c r="P2185" i="2"/>
  <c r="J2185" i="2"/>
  <c r="G2185" i="2"/>
  <c r="P5" i="2"/>
  <c r="J5" i="2"/>
  <c r="G5" i="2"/>
  <c r="P2964" i="2"/>
  <c r="J2964" i="2"/>
  <c r="G2964" i="2"/>
  <c r="P2739" i="2"/>
  <c r="J2739" i="2"/>
  <c r="G2739" i="2"/>
  <c r="J2977" i="2"/>
  <c r="G2977" i="2"/>
  <c r="P2962" i="2"/>
  <c r="J2962" i="2"/>
  <c r="G2962" i="2"/>
  <c r="P667" i="2"/>
  <c r="J667" i="2"/>
  <c r="G667" i="2"/>
  <c r="P289" i="2"/>
  <c r="J289" i="2"/>
  <c r="G289" i="2"/>
  <c r="P1175" i="2"/>
  <c r="J1175" i="2"/>
  <c r="G1175" i="2"/>
  <c r="P338" i="2"/>
  <c r="J338" i="2"/>
  <c r="G338" i="2"/>
  <c r="P2061" i="2"/>
  <c r="J2061" i="2"/>
  <c r="G2061" i="2"/>
  <c r="P2820" i="2"/>
  <c r="J2820" i="2"/>
  <c r="G2820" i="2"/>
  <c r="P720" i="2"/>
  <c r="J720" i="2"/>
  <c r="G720" i="2"/>
  <c r="P824" i="2"/>
  <c r="J824" i="2"/>
  <c r="G824" i="2"/>
  <c r="P822" i="2"/>
  <c r="J822" i="2"/>
  <c r="G822" i="2"/>
  <c r="P337" i="2"/>
  <c r="J337" i="2"/>
  <c r="G337" i="2"/>
  <c r="P344" i="2"/>
  <c r="J344" i="2"/>
  <c r="G344" i="2"/>
  <c r="P473" i="2"/>
  <c r="J473" i="2"/>
  <c r="G473" i="2"/>
  <c r="P3165" i="2"/>
  <c r="J3165" i="2"/>
  <c r="G3165" i="2"/>
  <c r="P1210" i="2"/>
  <c r="J1210" i="2"/>
  <c r="G1210" i="2"/>
  <c r="P3287" i="2"/>
  <c r="J3287" i="2"/>
  <c r="G3287" i="2"/>
  <c r="P1151" i="2"/>
  <c r="J1151" i="2"/>
  <c r="G1151" i="2"/>
  <c r="P1986" i="2"/>
  <c r="J1986" i="2"/>
  <c r="G1986" i="2"/>
  <c r="P2303" i="2"/>
  <c r="J2303" i="2"/>
  <c r="G2303" i="2"/>
  <c r="P1413" i="2"/>
  <c r="J1413" i="2"/>
  <c r="G1413" i="2"/>
  <c r="P2941" i="2"/>
  <c r="J2941" i="2"/>
  <c r="G2941" i="2"/>
  <c r="P3517" i="2"/>
  <c r="J3517" i="2"/>
  <c r="G3517" i="2"/>
  <c r="P2940" i="2"/>
  <c r="J2940" i="2"/>
  <c r="G2940" i="2"/>
  <c r="P2939" i="2"/>
  <c r="J2939" i="2"/>
  <c r="G2939" i="2"/>
  <c r="P1569" i="2"/>
  <c r="J1569" i="2"/>
  <c r="G1569" i="2"/>
  <c r="P823" i="2"/>
  <c r="J823" i="2"/>
  <c r="G823" i="2"/>
  <c r="P952" i="2"/>
  <c r="J952" i="2"/>
  <c r="G952" i="2"/>
  <c r="P499" i="2"/>
  <c r="J499" i="2"/>
  <c r="G499" i="2"/>
  <c r="P913" i="2"/>
  <c r="J913" i="2"/>
  <c r="G913" i="2"/>
  <c r="P1696" i="2"/>
  <c r="J1696" i="2"/>
  <c r="G1696" i="2"/>
  <c r="P2359" i="2"/>
  <c r="J2359" i="2"/>
  <c r="G2359" i="2"/>
  <c r="P2859" i="2"/>
  <c r="J2859" i="2"/>
  <c r="G2859" i="2"/>
  <c r="P888" i="2"/>
  <c r="J888" i="2"/>
  <c r="G888" i="2"/>
  <c r="P1007" i="2"/>
  <c r="J1007" i="2"/>
  <c r="G1007" i="2"/>
  <c r="P1006" i="2"/>
  <c r="J1006" i="2"/>
  <c r="G1006" i="2"/>
  <c r="P1005" i="2"/>
  <c r="J1005" i="2"/>
  <c r="G1005" i="2"/>
  <c r="P1004" i="2"/>
  <c r="J1004" i="2"/>
  <c r="G1004" i="2"/>
  <c r="P1003" i="2"/>
  <c r="J1003" i="2"/>
  <c r="G1003" i="2"/>
  <c r="P1002" i="2"/>
  <c r="J1002" i="2"/>
  <c r="G1002" i="2"/>
  <c r="P1001" i="2"/>
  <c r="J1001" i="2"/>
  <c r="G1001" i="2"/>
  <c r="P1000" i="2"/>
  <c r="J1000" i="2"/>
  <c r="G1000" i="2"/>
  <c r="P999" i="2"/>
  <c r="J999" i="2"/>
  <c r="G999" i="2"/>
  <c r="P998" i="2"/>
  <c r="J998" i="2"/>
  <c r="G998" i="2"/>
  <c r="P997" i="2"/>
  <c r="J997" i="2"/>
  <c r="G997" i="2"/>
  <c r="P996" i="2"/>
  <c r="J996" i="2"/>
  <c r="G996" i="2"/>
  <c r="P995" i="2"/>
  <c r="J995" i="2"/>
  <c r="G995" i="2"/>
  <c r="P994" i="2"/>
  <c r="J994" i="2"/>
  <c r="G994" i="2"/>
  <c r="P993" i="2"/>
  <c r="J993" i="2"/>
  <c r="G993" i="2"/>
  <c r="P992" i="2"/>
  <c r="J992" i="2"/>
  <c r="G992" i="2"/>
  <c r="P991" i="2"/>
  <c r="J991" i="2"/>
  <c r="G991" i="2"/>
  <c r="P990" i="2"/>
  <c r="J990" i="2"/>
  <c r="G990" i="2"/>
  <c r="P989" i="2"/>
  <c r="J989" i="2"/>
  <c r="G989" i="2"/>
  <c r="P988" i="2"/>
  <c r="J988" i="2"/>
  <c r="G988" i="2"/>
  <c r="P987" i="2"/>
  <c r="J987" i="2"/>
  <c r="G987" i="2"/>
  <c r="P986" i="2"/>
  <c r="J986" i="2"/>
  <c r="G986" i="2"/>
  <c r="P985" i="2"/>
  <c r="J985" i="2"/>
  <c r="G985" i="2"/>
  <c r="P984" i="2"/>
  <c r="J984" i="2"/>
  <c r="G984" i="2"/>
  <c r="P983" i="2"/>
  <c r="J983" i="2"/>
  <c r="G983" i="2"/>
  <c r="P982" i="2"/>
  <c r="J982" i="2"/>
  <c r="G982" i="2"/>
  <c r="P981" i="2"/>
  <c r="J981" i="2"/>
  <c r="G981" i="2"/>
  <c r="P980" i="2"/>
  <c r="J980" i="2"/>
  <c r="G980" i="2"/>
  <c r="P979" i="2"/>
  <c r="J979" i="2"/>
  <c r="G979" i="2"/>
  <c r="P978" i="2"/>
  <c r="J978" i="2"/>
  <c r="G978" i="2"/>
  <c r="P977" i="2"/>
  <c r="J977" i="2"/>
  <c r="G977" i="2"/>
  <c r="P976" i="2"/>
  <c r="J976" i="2"/>
  <c r="G976" i="2"/>
  <c r="P1102" i="2"/>
  <c r="J1102" i="2"/>
  <c r="G1102" i="2"/>
  <c r="P428" i="2"/>
  <c r="J428" i="2"/>
  <c r="G428" i="2"/>
  <c r="P2167" i="2"/>
  <c r="J2167" i="2"/>
  <c r="G2167" i="2"/>
  <c r="P1330" i="2"/>
  <c r="J1330" i="2"/>
  <c r="G1330" i="2"/>
  <c r="P498" i="2"/>
  <c r="J498" i="2"/>
  <c r="G498" i="2"/>
  <c r="P526" i="2"/>
  <c r="J526" i="2"/>
  <c r="G526" i="2"/>
  <c r="P477" i="2"/>
  <c r="J477" i="2"/>
  <c r="G477" i="2"/>
  <c r="P3552" i="2"/>
  <c r="J3552" i="2"/>
  <c r="G3552" i="2"/>
  <c r="P2304" i="2"/>
  <c r="J2304" i="2"/>
  <c r="G2304" i="2"/>
  <c r="P3553" i="2"/>
  <c r="J3553" i="2"/>
  <c r="G3553" i="2"/>
  <c r="P476" i="2"/>
  <c r="J476" i="2"/>
  <c r="G476" i="2"/>
  <c r="P652" i="2"/>
  <c r="J652" i="2"/>
  <c r="G652" i="2"/>
  <c r="P124" i="2"/>
  <c r="J124" i="2"/>
  <c r="G124" i="2"/>
  <c r="P914" i="2"/>
  <c r="J914" i="2"/>
  <c r="G914" i="2"/>
  <c r="P876" i="2"/>
  <c r="J876" i="2"/>
  <c r="G876" i="2"/>
  <c r="P1441" i="2"/>
  <c r="J1441" i="2"/>
  <c r="G1441" i="2"/>
  <c r="P156" i="2"/>
  <c r="J156" i="2"/>
  <c r="G156" i="2"/>
  <c r="P972" i="2"/>
  <c r="J972" i="2"/>
  <c r="G972" i="2"/>
  <c r="P299" i="2"/>
  <c r="J299" i="2"/>
  <c r="G299" i="2"/>
  <c r="P2176" i="2"/>
  <c r="J2176" i="2"/>
  <c r="G2176" i="2"/>
  <c r="P856" i="2"/>
  <c r="J856" i="2"/>
  <c r="G856" i="2"/>
  <c r="P1900" i="2"/>
  <c r="J1900" i="2"/>
  <c r="G1900" i="2"/>
  <c r="P2227" i="2"/>
  <c r="J2227" i="2"/>
  <c r="G2227" i="2"/>
  <c r="P750" i="2"/>
  <c r="J750" i="2"/>
  <c r="G750" i="2"/>
  <c r="P2295" i="2"/>
  <c r="J2295" i="2"/>
  <c r="G2295" i="2"/>
  <c r="P2229" i="2"/>
  <c r="J2229" i="2"/>
  <c r="G2229" i="2"/>
  <c r="P1124" i="2"/>
  <c r="J1124" i="2"/>
  <c r="G1124" i="2"/>
  <c r="P320" i="2"/>
  <c r="J320" i="2"/>
  <c r="G320" i="2"/>
  <c r="P1752" i="2"/>
  <c r="J1752" i="2"/>
  <c r="G1752" i="2"/>
  <c r="P854" i="2"/>
  <c r="J854" i="2"/>
  <c r="G854" i="2"/>
  <c r="P56" i="2"/>
  <c r="J56" i="2"/>
  <c r="G56" i="2"/>
  <c r="P855" i="2"/>
  <c r="J855" i="2"/>
  <c r="G855" i="2"/>
  <c r="P319" i="2"/>
  <c r="J319" i="2"/>
  <c r="G319" i="2"/>
  <c r="P420" i="2"/>
  <c r="J420" i="2"/>
  <c r="G420" i="2"/>
  <c r="P833" i="2"/>
  <c r="J833" i="2"/>
  <c r="G833" i="2"/>
  <c r="P2329" i="2"/>
  <c r="J2329" i="2"/>
  <c r="G2329" i="2"/>
  <c r="P1534" i="2"/>
  <c r="J1534" i="2"/>
  <c r="G1534" i="2"/>
  <c r="P240" i="2"/>
  <c r="J240" i="2"/>
  <c r="G240" i="2"/>
  <c r="P975" i="2"/>
  <c r="J975" i="2"/>
  <c r="G975" i="2"/>
  <c r="P1286" i="2"/>
  <c r="J1286" i="2"/>
  <c r="G1286" i="2"/>
  <c r="P524" i="2"/>
  <c r="J524" i="2"/>
  <c r="G524" i="2"/>
  <c r="P3150" i="2"/>
  <c r="J3150" i="2"/>
  <c r="G3150" i="2"/>
  <c r="P318" i="2"/>
  <c r="J318" i="2"/>
  <c r="G318" i="2"/>
  <c r="P1630" i="2"/>
  <c r="J1630" i="2"/>
  <c r="G1630" i="2"/>
  <c r="P863" i="2"/>
  <c r="J863" i="2"/>
  <c r="G863" i="2"/>
  <c r="P2330" i="2"/>
  <c r="J2330" i="2"/>
  <c r="G2330" i="2"/>
  <c r="P766" i="2"/>
  <c r="J766" i="2"/>
  <c r="G766" i="2"/>
  <c r="P158" i="2"/>
  <c r="J158" i="2"/>
  <c r="G158" i="2"/>
  <c r="P804" i="2"/>
  <c r="J804" i="2"/>
  <c r="G804" i="2"/>
  <c r="P480" i="2"/>
  <c r="J480" i="2"/>
  <c r="G480" i="2"/>
  <c r="P79" i="2"/>
  <c r="J79" i="2"/>
  <c r="G79" i="2"/>
  <c r="P2102" i="2"/>
  <c r="J2102" i="2"/>
  <c r="G2102" i="2"/>
  <c r="P767" i="2"/>
  <c r="J767" i="2"/>
  <c r="G767" i="2"/>
  <c r="P481" i="2"/>
  <c r="J481" i="2"/>
  <c r="G481" i="2"/>
  <c r="P1807" i="2"/>
  <c r="J1807" i="2"/>
  <c r="G1807" i="2"/>
  <c r="P122" i="2"/>
  <c r="J122" i="2"/>
  <c r="G122" i="2"/>
  <c r="P1418" i="2"/>
  <c r="J1418" i="2"/>
  <c r="G1418" i="2"/>
  <c r="P2264" i="2"/>
  <c r="J2264" i="2"/>
  <c r="G2264" i="2"/>
  <c r="P2292" i="2"/>
  <c r="J2292" i="2"/>
  <c r="G2292" i="2"/>
  <c r="P764" i="2"/>
  <c r="J764" i="2"/>
  <c r="G764" i="2"/>
  <c r="P2225" i="2"/>
  <c r="J2225" i="2"/>
  <c r="G2225" i="2"/>
  <c r="J3022" i="2"/>
  <c r="G3022" i="2"/>
  <c r="P765" i="2"/>
  <c r="J765" i="2"/>
  <c r="G765" i="2"/>
  <c r="P2226" i="2"/>
  <c r="J2226" i="2"/>
  <c r="G2226" i="2"/>
  <c r="P1163" i="2"/>
  <c r="J1163" i="2"/>
  <c r="G1163" i="2"/>
  <c r="P1797" i="2"/>
  <c r="J1797" i="2"/>
  <c r="G1797" i="2"/>
  <c r="P1284" i="2"/>
  <c r="J1284" i="2"/>
  <c r="G1284" i="2"/>
  <c r="P853" i="2"/>
  <c r="J853" i="2"/>
  <c r="G853" i="2"/>
  <c r="P2362" i="2"/>
  <c r="J2362" i="2"/>
  <c r="G2362" i="2"/>
  <c r="P893" i="2"/>
  <c r="J893" i="2"/>
  <c r="G893" i="2"/>
  <c r="P2358" i="2"/>
  <c r="J2358" i="2"/>
  <c r="G2358" i="2"/>
  <c r="P1148" i="2"/>
  <c r="J1148" i="2"/>
  <c r="G1148" i="2"/>
  <c r="P851" i="2"/>
  <c r="J851" i="2"/>
  <c r="G851" i="2"/>
  <c r="P357" i="2"/>
  <c r="J357" i="2"/>
  <c r="G357" i="2"/>
  <c r="P2265" i="2"/>
  <c r="J2265" i="2"/>
  <c r="G2265" i="2"/>
  <c r="P1149" i="2"/>
  <c r="J1149" i="2"/>
  <c r="G1149" i="2"/>
  <c r="P2233" i="2"/>
  <c r="J2233" i="2"/>
  <c r="G2233" i="2"/>
  <c r="P433" i="2"/>
  <c r="J433" i="2"/>
  <c r="G433" i="2"/>
  <c r="P503" i="2"/>
  <c r="J503" i="2"/>
  <c r="G503" i="2"/>
  <c r="P482" i="2"/>
  <c r="J482" i="2"/>
  <c r="G482" i="2"/>
  <c r="P352" i="2"/>
  <c r="J352" i="2"/>
  <c r="G352" i="2"/>
  <c r="P2224" i="2"/>
  <c r="J2224" i="2"/>
  <c r="G2224" i="2"/>
  <c r="P1540" i="2"/>
  <c r="J1540" i="2"/>
  <c r="G1540" i="2"/>
  <c r="P880" i="2"/>
  <c r="J880" i="2"/>
  <c r="G880" i="2"/>
  <c r="P504" i="2"/>
  <c r="J504" i="2"/>
  <c r="G504" i="2"/>
  <c r="P85" i="2"/>
  <c r="J85" i="2"/>
  <c r="G85" i="2"/>
  <c r="P1537" i="2"/>
  <c r="J1537" i="2"/>
  <c r="G1537" i="2"/>
  <c r="P185" i="2"/>
  <c r="J185" i="2"/>
  <c r="G185" i="2"/>
  <c r="P935" i="2"/>
  <c r="J935" i="2"/>
  <c r="G935" i="2"/>
  <c r="P479" i="2"/>
  <c r="J479" i="2"/>
  <c r="G479" i="2"/>
  <c r="P186" i="2"/>
  <c r="J186" i="2"/>
  <c r="G186" i="2"/>
  <c r="P432" i="2"/>
  <c r="J432" i="2"/>
  <c r="G432" i="2"/>
  <c r="P302" i="2"/>
  <c r="J302" i="2"/>
  <c r="G302" i="2"/>
  <c r="P2230" i="2"/>
  <c r="J2230" i="2"/>
  <c r="G2230" i="2"/>
  <c r="P301" i="2"/>
  <c r="J301" i="2"/>
  <c r="G301" i="2"/>
  <c r="P1577" i="2"/>
  <c r="J1577" i="2"/>
  <c r="G1577" i="2"/>
  <c r="P1140" i="2"/>
  <c r="J1140" i="2"/>
  <c r="G1140" i="2"/>
  <c r="P1805" i="2"/>
  <c r="J1805" i="2"/>
  <c r="G1805" i="2"/>
  <c r="P2204" i="2"/>
  <c r="J2204" i="2"/>
  <c r="G2204" i="2"/>
  <c r="P288" i="2"/>
  <c r="J288" i="2"/>
  <c r="G288" i="2"/>
  <c r="P1579" i="2"/>
  <c r="J1579" i="2"/>
  <c r="G1579" i="2"/>
  <c r="P11" i="2"/>
  <c r="J11" i="2"/>
  <c r="G11" i="2"/>
  <c r="P2231" i="2"/>
  <c r="J2231" i="2"/>
  <c r="G2231" i="2"/>
  <c r="P174" i="2"/>
  <c r="J174" i="2"/>
  <c r="G174" i="2"/>
  <c r="P2222" i="2"/>
  <c r="J2222" i="2"/>
  <c r="G2222" i="2"/>
  <c r="P484" i="2"/>
  <c r="J484" i="2"/>
  <c r="G484" i="2"/>
  <c r="P1667" i="2"/>
  <c r="J1667" i="2"/>
  <c r="G1667" i="2"/>
  <c r="P2232" i="2"/>
  <c r="J2232" i="2"/>
  <c r="G2232" i="2"/>
  <c r="P173" i="2"/>
  <c r="J173" i="2"/>
  <c r="G173" i="2"/>
  <c r="P64" i="2"/>
  <c r="J64" i="2"/>
  <c r="G64" i="2"/>
  <c r="P1123" i="2"/>
  <c r="J1123" i="2"/>
  <c r="G1123" i="2"/>
  <c r="P1141" i="2"/>
  <c r="J1141" i="2"/>
  <c r="G1141" i="2"/>
  <c r="P175" i="2"/>
  <c r="J175" i="2"/>
  <c r="G175" i="2"/>
  <c r="P1352" i="2"/>
  <c r="J1352" i="2"/>
  <c r="G1352" i="2"/>
  <c r="P84" i="2"/>
  <c r="J84" i="2"/>
  <c r="G84" i="2"/>
  <c r="P832" i="2"/>
  <c r="J832" i="2"/>
  <c r="G832" i="2"/>
  <c r="P892" i="2"/>
  <c r="J892" i="2"/>
  <c r="G892" i="2"/>
  <c r="P3557" i="2"/>
  <c r="J3557" i="2"/>
  <c r="G3557" i="2"/>
  <c r="P351" i="2"/>
  <c r="J351" i="2"/>
  <c r="G351" i="2"/>
  <c r="P65" i="2"/>
  <c r="J65" i="2"/>
  <c r="G65" i="2"/>
  <c r="P3562" i="2"/>
  <c r="J3562" i="2"/>
  <c r="G3562" i="2"/>
  <c r="P2252" i="2"/>
  <c r="J2252" i="2"/>
  <c r="G2252" i="2"/>
  <c r="P858" i="2"/>
  <c r="J858" i="2"/>
  <c r="G858" i="2"/>
  <c r="P2348" i="2"/>
  <c r="J2348" i="2"/>
  <c r="G2348" i="2"/>
  <c r="P1100" i="2"/>
  <c r="J1100" i="2"/>
  <c r="G1100" i="2"/>
  <c r="P2346" i="2"/>
  <c r="J2346" i="2"/>
  <c r="G2346" i="2"/>
  <c r="J2754" i="2"/>
  <c r="G2754" i="2"/>
  <c r="P258" i="2"/>
  <c r="J258" i="2"/>
  <c r="G258" i="2"/>
  <c r="P1101" i="2"/>
  <c r="J1101" i="2"/>
  <c r="G1101" i="2"/>
  <c r="P626" i="2"/>
  <c r="J626" i="2"/>
  <c r="G626" i="2"/>
  <c r="P2347" i="2"/>
  <c r="J2347" i="2"/>
  <c r="G2347" i="2"/>
  <c r="P910" i="2"/>
  <c r="J910" i="2"/>
  <c r="G910" i="2"/>
  <c r="P2488" i="2"/>
  <c r="J2488" i="2"/>
  <c r="G2488" i="2"/>
  <c r="P558" i="2"/>
  <c r="J558" i="2"/>
  <c r="G558" i="2"/>
  <c r="P1139" i="2"/>
  <c r="J1139" i="2"/>
  <c r="G1139" i="2"/>
  <c r="P1058" i="2"/>
  <c r="J1058" i="2"/>
  <c r="G1058" i="2"/>
  <c r="P634" i="2"/>
  <c r="J634" i="2"/>
  <c r="G634" i="2"/>
  <c r="P2381" i="2"/>
  <c r="J2381" i="2"/>
  <c r="G2381" i="2"/>
  <c r="P1452" i="2"/>
  <c r="J1452" i="2"/>
  <c r="G1452" i="2"/>
  <c r="P1025" i="2"/>
  <c r="J1025" i="2"/>
  <c r="G1025" i="2"/>
  <c r="P2073" i="2"/>
  <c r="J2073" i="2"/>
  <c r="G2073" i="2"/>
  <c r="P90" i="2"/>
  <c r="J90" i="2"/>
  <c r="G90" i="2"/>
  <c r="P106" i="2"/>
  <c r="J106" i="2"/>
  <c r="G106" i="2"/>
  <c r="P2354" i="2"/>
  <c r="J2354" i="2"/>
  <c r="G2354" i="2"/>
  <c r="P254" i="2"/>
  <c r="J254" i="2"/>
  <c r="G254" i="2"/>
  <c r="P1836" i="2"/>
  <c r="J1836" i="2"/>
  <c r="G1836" i="2"/>
  <c r="P1835" i="2"/>
  <c r="J1835" i="2"/>
  <c r="G1835" i="2"/>
  <c r="P1834" i="2"/>
  <c r="J1834" i="2"/>
  <c r="G1834" i="2"/>
  <c r="P1833" i="2"/>
  <c r="J1833" i="2"/>
  <c r="G1833" i="2"/>
  <c r="P1832" i="2"/>
  <c r="J1832" i="2"/>
  <c r="G1832" i="2"/>
  <c r="P1831" i="2"/>
  <c r="J1831" i="2"/>
  <c r="G1831" i="2"/>
  <c r="P1830" i="2"/>
  <c r="J1830" i="2"/>
  <c r="G1830" i="2"/>
  <c r="P1829" i="2"/>
  <c r="J1829" i="2"/>
  <c r="G1829" i="2"/>
  <c r="P1828" i="2"/>
  <c r="J1828" i="2"/>
  <c r="G1828" i="2"/>
  <c r="P1827" i="2"/>
  <c r="J1827" i="2"/>
  <c r="G1827" i="2"/>
  <c r="P1826" i="2"/>
  <c r="J1826" i="2"/>
  <c r="G1826" i="2"/>
  <c r="P1825" i="2"/>
  <c r="J1825" i="2"/>
  <c r="G1825" i="2"/>
  <c r="P1535" i="2"/>
  <c r="J1535" i="2"/>
  <c r="G1535" i="2"/>
  <c r="P1533" i="2"/>
  <c r="J1533" i="2"/>
  <c r="G1533" i="2"/>
  <c r="P1448" i="2"/>
  <c r="J1448" i="2"/>
  <c r="G1448" i="2"/>
  <c r="P141" i="2"/>
  <c r="J141" i="2"/>
  <c r="G141" i="2"/>
  <c r="P623" i="2"/>
  <c r="J623" i="2"/>
  <c r="G623" i="2"/>
  <c r="P483" i="2"/>
  <c r="J483" i="2"/>
  <c r="G483" i="2"/>
  <c r="P2886" i="2"/>
  <c r="J2886" i="2"/>
  <c r="G2886" i="2"/>
  <c r="P2223" i="2"/>
  <c r="J2223" i="2"/>
  <c r="G2223" i="2"/>
  <c r="P1142" i="2"/>
  <c r="J1142" i="2"/>
  <c r="G1142" i="2"/>
  <c r="P660" i="2"/>
  <c r="J660" i="2"/>
  <c r="G660" i="2"/>
  <c r="P659" i="2"/>
  <c r="J659" i="2"/>
  <c r="G659" i="2"/>
  <c r="P350" i="2"/>
  <c r="J350" i="2"/>
  <c r="G350" i="2"/>
  <c r="P2637" i="2"/>
  <c r="J2637" i="2"/>
  <c r="G2637" i="2"/>
  <c r="P1217" i="2"/>
  <c r="J1217" i="2"/>
  <c r="G1217" i="2"/>
  <c r="P1219" i="2"/>
  <c r="J1219" i="2"/>
  <c r="G1219" i="2"/>
  <c r="P485" i="2"/>
  <c r="J485" i="2"/>
  <c r="G485" i="2"/>
  <c r="P2118" i="2"/>
  <c r="J2118" i="2"/>
  <c r="G2118" i="2"/>
  <c r="P2228" i="2"/>
  <c r="J2228" i="2"/>
  <c r="G2228" i="2"/>
  <c r="P1428" i="2"/>
  <c r="J1428" i="2"/>
  <c r="G1428" i="2"/>
  <c r="P714" i="2"/>
  <c r="J714" i="2"/>
  <c r="G714" i="2"/>
  <c r="P1995" i="2"/>
  <c r="J1995" i="2"/>
  <c r="G1995" i="2"/>
  <c r="P486" i="2"/>
  <c r="J486" i="2"/>
  <c r="G486" i="2"/>
  <c r="P416" i="2"/>
  <c r="J416" i="2"/>
  <c r="G416" i="2"/>
  <c r="P601" i="2"/>
  <c r="J601" i="2"/>
  <c r="G601" i="2"/>
  <c r="P600" i="2"/>
  <c r="J600" i="2"/>
  <c r="G600" i="2"/>
  <c r="J2978" i="2"/>
  <c r="G2978" i="2"/>
  <c r="P1072" i="2"/>
  <c r="J1072" i="2"/>
  <c r="G1072" i="2"/>
  <c r="P1824" i="2"/>
  <c r="J1824" i="2"/>
  <c r="G1824" i="2"/>
  <c r="P2331" i="2"/>
  <c r="J2331" i="2"/>
  <c r="G2331" i="2"/>
  <c r="P1098" i="2"/>
  <c r="J1098" i="2"/>
  <c r="G1098" i="2"/>
  <c r="P3368" i="2"/>
  <c r="J3368" i="2"/>
  <c r="G3368" i="2"/>
  <c r="P1216" i="2"/>
  <c r="J1216" i="2"/>
  <c r="G1216" i="2"/>
  <c r="P599" i="2"/>
  <c r="J599" i="2"/>
  <c r="G599" i="2"/>
  <c r="P2364" i="2"/>
  <c r="J2364" i="2"/>
  <c r="G2364" i="2"/>
  <c r="P1695" i="2"/>
  <c r="J1695" i="2"/>
  <c r="G1695" i="2"/>
  <c r="P94" i="2"/>
  <c r="J94" i="2"/>
  <c r="G94" i="2"/>
  <c r="P276" i="2"/>
  <c r="J276" i="2"/>
  <c r="G276" i="2"/>
  <c r="P1347" i="2"/>
  <c r="J1347" i="2"/>
  <c r="G1347" i="2"/>
  <c r="P317" i="2"/>
  <c r="J317" i="2"/>
  <c r="G317" i="2"/>
  <c r="P2017" i="2"/>
  <c r="J2017" i="2"/>
  <c r="G2017" i="2"/>
  <c r="P2158" i="2"/>
  <c r="J2158" i="2"/>
  <c r="G2158" i="2"/>
  <c r="P1740" i="2"/>
  <c r="J1740" i="2"/>
  <c r="G1740" i="2"/>
  <c r="P3410" i="2"/>
  <c r="J3410" i="2"/>
  <c r="G3410" i="2"/>
  <c r="P2109" i="2"/>
  <c r="J2109" i="2"/>
  <c r="G2109" i="2"/>
  <c r="P149" i="2"/>
  <c r="J149" i="2"/>
  <c r="G149" i="2"/>
  <c r="P2903" i="2"/>
  <c r="J2903" i="2"/>
  <c r="G2903" i="2"/>
  <c r="P3494" i="2"/>
  <c r="J3494" i="2"/>
  <c r="G3494" i="2"/>
  <c r="P1258" i="2"/>
  <c r="J1258" i="2"/>
  <c r="G1258" i="2"/>
  <c r="P1138" i="2"/>
  <c r="J1138" i="2"/>
  <c r="G1138" i="2"/>
  <c r="P99" i="2"/>
  <c r="J99" i="2"/>
  <c r="G99" i="2"/>
  <c r="P2091" i="2"/>
  <c r="J2091" i="2"/>
  <c r="G2091" i="2"/>
  <c r="P2494" i="2"/>
  <c r="J2494" i="2"/>
  <c r="G2494" i="2"/>
  <c r="P2361" i="2"/>
  <c r="J2361" i="2"/>
  <c r="G2361" i="2"/>
  <c r="P2363" i="2"/>
  <c r="J2363" i="2"/>
  <c r="G2363" i="2"/>
  <c r="J3036" i="2"/>
  <c r="G3036" i="2"/>
  <c r="P3530" i="2"/>
  <c r="J3530" i="2"/>
  <c r="G3530" i="2"/>
  <c r="P2784" i="2"/>
  <c r="J2784" i="2"/>
  <c r="G2784" i="2"/>
  <c r="P2638" i="2"/>
  <c r="J2638" i="2"/>
  <c r="G2638" i="2"/>
  <c r="P2075" i="2"/>
  <c r="J2075" i="2"/>
  <c r="G2075" i="2"/>
  <c r="P2216" i="2"/>
  <c r="J2216" i="2"/>
  <c r="G2216" i="2"/>
  <c r="P3207" i="2"/>
  <c r="J3207" i="2"/>
  <c r="G3207" i="2"/>
  <c r="P2623" i="2"/>
  <c r="J2623" i="2"/>
  <c r="G2623" i="2"/>
  <c r="P3523" i="2"/>
  <c r="J3523" i="2"/>
  <c r="G3523" i="2"/>
  <c r="P3529" i="2"/>
  <c r="J3529" i="2"/>
  <c r="G3529" i="2"/>
  <c r="P2463" i="2"/>
  <c r="J2463" i="2"/>
  <c r="G2463" i="2"/>
  <c r="P625" i="2"/>
  <c r="J625" i="2"/>
  <c r="G625" i="2"/>
  <c r="P1243" i="2"/>
  <c r="J1243" i="2"/>
  <c r="G1243" i="2"/>
  <c r="P1333" i="2"/>
  <c r="J1333" i="2"/>
  <c r="G1333" i="2"/>
  <c r="P3066" i="2"/>
  <c r="J3066" i="2"/>
  <c r="G3066" i="2"/>
  <c r="P1332" i="2"/>
  <c r="J1332" i="2"/>
  <c r="G1332" i="2"/>
  <c r="P1180" i="2"/>
  <c r="J1180" i="2"/>
  <c r="G1180" i="2"/>
  <c r="P3062" i="2"/>
  <c r="J3062" i="2"/>
  <c r="G3062" i="2"/>
  <c r="P1816" i="2"/>
  <c r="J1816" i="2"/>
  <c r="G1816" i="2"/>
  <c r="P1150" i="2"/>
  <c r="J1150" i="2"/>
  <c r="G1150" i="2"/>
  <c r="P1814" i="2"/>
  <c r="J1814" i="2"/>
  <c r="G1814" i="2"/>
  <c r="P1023" i="2"/>
  <c r="J1023" i="2"/>
  <c r="G1023" i="2"/>
  <c r="J2799" i="2"/>
  <c r="G2799" i="2"/>
  <c r="P1815" i="2"/>
  <c r="J1815" i="2"/>
  <c r="G1815" i="2"/>
  <c r="P3384" i="2"/>
  <c r="J3384" i="2"/>
  <c r="G3384" i="2"/>
  <c r="P295" i="2"/>
  <c r="J295" i="2"/>
  <c r="G295" i="2"/>
  <c r="P734" i="2"/>
  <c r="J734" i="2"/>
  <c r="G734" i="2"/>
  <c r="P1331" i="2"/>
  <c r="J1331" i="2"/>
  <c r="G1331" i="2"/>
  <c r="P296" i="2"/>
  <c r="J296" i="2"/>
  <c r="G296" i="2"/>
  <c r="P105" i="2"/>
  <c r="J105" i="2"/>
  <c r="G105" i="2"/>
  <c r="P2249" i="2"/>
  <c r="J2249" i="2"/>
  <c r="G2249" i="2"/>
  <c r="P3056" i="2"/>
  <c r="J3056" i="2"/>
  <c r="G3056" i="2"/>
  <c r="P846" i="2"/>
  <c r="J846" i="2"/>
  <c r="G846" i="2"/>
  <c r="P2052" i="2"/>
  <c r="J2052" i="2"/>
  <c r="G2052" i="2"/>
  <c r="P845" i="2"/>
  <c r="J845" i="2"/>
  <c r="G845" i="2"/>
  <c r="P2616" i="2"/>
  <c r="J2616" i="2"/>
  <c r="G2616" i="2"/>
  <c r="P2262" i="2"/>
  <c r="J2262" i="2"/>
  <c r="G2262" i="2"/>
  <c r="P2716" i="2"/>
  <c r="J2716" i="2"/>
  <c r="G2716" i="2"/>
  <c r="P2213" i="2"/>
  <c r="J2213" i="2"/>
  <c r="G2213" i="2"/>
  <c r="P2261" i="2"/>
  <c r="J2261" i="2"/>
  <c r="G2261" i="2"/>
  <c r="P2077" i="2"/>
  <c r="J2077" i="2"/>
  <c r="G2077" i="2"/>
  <c r="P2068" i="2"/>
  <c r="J2068" i="2"/>
  <c r="G2068" i="2"/>
  <c r="P1929" i="2"/>
  <c r="J1929" i="2"/>
  <c r="G1929" i="2"/>
  <c r="P1928" i="2"/>
  <c r="J1928" i="2"/>
  <c r="G1928" i="2"/>
  <c r="P1927" i="2"/>
  <c r="J1927" i="2"/>
  <c r="G1927" i="2"/>
  <c r="P1926" i="2"/>
  <c r="J1926" i="2"/>
  <c r="G1926" i="2"/>
  <c r="P2199" i="2"/>
  <c r="J2199" i="2"/>
  <c r="G2199" i="2"/>
  <c r="P2198" i="2"/>
  <c r="J2198" i="2"/>
  <c r="G2198" i="2"/>
  <c r="P2188" i="2"/>
  <c r="J2188" i="2"/>
  <c r="G2188" i="2"/>
  <c r="P2365" i="2"/>
  <c r="J2365" i="2"/>
  <c r="G2365" i="2"/>
  <c r="P2257" i="2"/>
  <c r="J2257" i="2"/>
  <c r="G2257" i="2"/>
  <c r="P2076" i="2"/>
  <c r="J2076" i="2"/>
  <c r="G2076" i="2"/>
  <c r="P819" i="2"/>
  <c r="J819" i="2"/>
  <c r="G819" i="2"/>
  <c r="P451" i="2"/>
  <c r="J451" i="2"/>
  <c r="G451" i="2"/>
  <c r="P2217" i="2"/>
  <c r="J2217" i="2"/>
  <c r="G2217" i="2"/>
  <c r="P82" i="2"/>
  <c r="J82" i="2"/>
  <c r="G82" i="2"/>
  <c r="P1028" i="2"/>
  <c r="J1028" i="2"/>
  <c r="G1028" i="2"/>
  <c r="P2961" i="2"/>
  <c r="J2961" i="2"/>
  <c r="G2961" i="2"/>
  <c r="P115" i="2"/>
  <c r="J115" i="2"/>
  <c r="G115" i="2"/>
  <c r="P2963" i="2"/>
  <c r="J2963" i="2"/>
  <c r="G2963" i="2"/>
  <c r="P452" i="2"/>
  <c r="J452" i="2"/>
  <c r="G452" i="2"/>
  <c r="P655" i="2"/>
  <c r="J655" i="2"/>
  <c r="G655" i="2"/>
  <c r="P665" i="2"/>
  <c r="J665" i="2"/>
  <c r="G665" i="2"/>
  <c r="P2453" i="2"/>
  <c r="J2453" i="2"/>
  <c r="G2453" i="2"/>
  <c r="P467" i="2"/>
  <c r="J467" i="2"/>
  <c r="G467" i="2"/>
  <c r="P2602" i="2"/>
  <c r="J2602" i="2"/>
  <c r="G2602" i="2"/>
  <c r="P438" i="2"/>
  <c r="J438" i="2"/>
  <c r="G438" i="2"/>
  <c r="P1222" i="2"/>
  <c r="J1222" i="2"/>
  <c r="G1222" i="2"/>
  <c r="P2029" i="2"/>
  <c r="J2029" i="2"/>
  <c r="G2029" i="2"/>
  <c r="P1130" i="2"/>
  <c r="J1130" i="2"/>
  <c r="G1130" i="2"/>
  <c r="P1622" i="2"/>
  <c r="J1622" i="2"/>
  <c r="G1622" i="2"/>
  <c r="P962" i="2"/>
  <c r="J962" i="2"/>
  <c r="G962" i="2"/>
  <c r="P1071" i="2"/>
  <c r="J1071" i="2"/>
  <c r="G1071" i="2"/>
  <c r="P2256" i="2"/>
  <c r="J2256" i="2"/>
  <c r="G2256" i="2"/>
  <c r="P1221" i="2"/>
  <c r="J1221" i="2"/>
  <c r="G1221" i="2"/>
  <c r="P1349" i="2"/>
  <c r="J1349" i="2"/>
  <c r="G1349" i="2"/>
  <c r="P1220" i="2"/>
  <c r="J1220" i="2"/>
  <c r="G1220" i="2"/>
  <c r="P107" i="2"/>
  <c r="J107" i="2"/>
  <c r="G107" i="2"/>
  <c r="P1218" i="2"/>
  <c r="J1218" i="2"/>
  <c r="G1218" i="2"/>
  <c r="P1433" i="2"/>
  <c r="J1433" i="2"/>
  <c r="G1433" i="2"/>
  <c r="P257" i="2"/>
  <c r="J257" i="2"/>
  <c r="G257" i="2"/>
  <c r="P96" i="2"/>
  <c r="J96" i="2"/>
  <c r="G96" i="2"/>
  <c r="P1432" i="2"/>
  <c r="J1432" i="2"/>
  <c r="G1432" i="2"/>
  <c r="P1431" i="2"/>
  <c r="J1431" i="2"/>
  <c r="G1431" i="2"/>
  <c r="P3479" i="2"/>
  <c r="J3479" i="2"/>
  <c r="G3479" i="2"/>
  <c r="P774" i="2"/>
  <c r="J774" i="2"/>
  <c r="G774" i="2"/>
  <c r="P1265" i="2"/>
  <c r="J1265" i="2"/>
  <c r="G1265" i="2"/>
  <c r="P1190" i="2"/>
  <c r="J1190" i="2"/>
  <c r="G1190" i="2"/>
  <c r="P1783" i="2"/>
  <c r="J1783" i="2"/>
  <c r="G1783" i="2"/>
  <c r="P1539" i="2"/>
  <c r="J1539" i="2"/>
  <c r="G1539" i="2"/>
  <c r="P717" i="2"/>
  <c r="J717" i="2"/>
  <c r="G717" i="2"/>
  <c r="P2749" i="2"/>
  <c r="J2749" i="2"/>
  <c r="G2749" i="2"/>
  <c r="P114" i="2"/>
  <c r="J114" i="2"/>
  <c r="G114" i="2"/>
  <c r="P1374" i="2"/>
  <c r="J1374" i="2"/>
  <c r="G1374" i="2"/>
  <c r="P2308" i="2"/>
  <c r="J2308" i="2"/>
  <c r="G2308" i="2"/>
  <c r="J2982" i="2"/>
  <c r="G2982" i="2"/>
  <c r="P1735" i="2"/>
  <c r="J1735" i="2"/>
  <c r="G1735" i="2"/>
  <c r="P2278" i="2"/>
  <c r="J2278" i="2"/>
  <c r="G2278" i="2"/>
  <c r="P127" i="2"/>
  <c r="J127" i="2"/>
  <c r="G127" i="2"/>
  <c r="P1257" i="2"/>
  <c r="J1257" i="2"/>
  <c r="G1257" i="2"/>
  <c r="P2493" i="2"/>
  <c r="J2493" i="2"/>
  <c r="G2493" i="2"/>
  <c r="P1639" i="2"/>
  <c r="J1639" i="2"/>
  <c r="G1639" i="2"/>
  <c r="P1486" i="2"/>
  <c r="J1486" i="2"/>
  <c r="G1486" i="2"/>
  <c r="P3319" i="2"/>
  <c r="J3319" i="2"/>
  <c r="G3319" i="2"/>
  <c r="P2127" i="2"/>
  <c r="J2127" i="2"/>
  <c r="G2127" i="2"/>
  <c r="P2258" i="2"/>
  <c r="J2258" i="2"/>
  <c r="G2258" i="2"/>
  <c r="P1040" i="2"/>
  <c r="J1040" i="2"/>
  <c r="G1040" i="2"/>
  <c r="P3389" i="2"/>
  <c r="J3389" i="2"/>
  <c r="G3389" i="2"/>
  <c r="P2360" i="2"/>
  <c r="J2360" i="2"/>
  <c r="G2360" i="2"/>
  <c r="P2370" i="2"/>
  <c r="J2370" i="2"/>
  <c r="G2370" i="2"/>
  <c r="P2369" i="2"/>
  <c r="J2369" i="2"/>
  <c r="G2369" i="2"/>
  <c r="P2368" i="2"/>
  <c r="J2368" i="2"/>
  <c r="G2368" i="2"/>
  <c r="P2367" i="2"/>
  <c r="J2367" i="2"/>
  <c r="G2367" i="2"/>
  <c r="P3531" i="2"/>
  <c r="J3531" i="2"/>
  <c r="G3531" i="2"/>
  <c r="P674" i="2"/>
  <c r="J674" i="2"/>
  <c r="G674" i="2"/>
  <c r="P2344" i="2"/>
  <c r="J2344" i="2"/>
  <c r="G2344" i="2"/>
  <c r="P668" i="2"/>
  <c r="J668" i="2"/>
  <c r="G668" i="2"/>
  <c r="P673" i="2"/>
  <c r="J673" i="2"/>
  <c r="G673" i="2"/>
  <c r="P2695" i="2"/>
  <c r="J2695" i="2"/>
  <c r="G2695" i="2"/>
  <c r="P402" i="2"/>
  <c r="J402" i="2"/>
  <c r="G402" i="2"/>
  <c r="P77" i="2"/>
  <c r="J77" i="2"/>
  <c r="G77" i="2"/>
  <c r="P2069" i="2"/>
  <c r="J2069" i="2"/>
  <c r="G2069" i="2"/>
  <c r="P3092" i="2"/>
  <c r="J3092" i="2"/>
  <c r="G3092" i="2"/>
  <c r="P2168" i="2"/>
  <c r="J2168" i="2"/>
  <c r="G2168" i="2"/>
  <c r="P796" i="2"/>
  <c r="J796" i="2"/>
  <c r="G796" i="2"/>
  <c r="P675" i="2"/>
  <c r="J675" i="2"/>
  <c r="G675" i="2"/>
  <c r="P329" i="2"/>
  <c r="J329" i="2"/>
  <c r="G329" i="2"/>
  <c r="P791" i="2"/>
  <c r="J791" i="2"/>
  <c r="G791" i="2"/>
  <c r="P671" i="2"/>
  <c r="J671" i="2"/>
  <c r="G671" i="2"/>
  <c r="P793" i="2"/>
  <c r="J793" i="2"/>
  <c r="G793" i="2"/>
  <c r="P670" i="2"/>
  <c r="J670" i="2"/>
  <c r="G670" i="2"/>
  <c r="P669" i="2"/>
  <c r="J669" i="2"/>
  <c r="G669" i="2"/>
  <c r="P792" i="2"/>
  <c r="J792" i="2"/>
  <c r="G792" i="2"/>
  <c r="P2275" i="2"/>
  <c r="J2275" i="2"/>
  <c r="G2275" i="2"/>
  <c r="P790" i="2"/>
  <c r="J790" i="2"/>
  <c r="G790" i="2"/>
  <c r="P466" i="2"/>
  <c r="J466" i="2"/>
  <c r="G466" i="2"/>
  <c r="P233" i="2"/>
  <c r="J233" i="2"/>
  <c r="G233" i="2"/>
  <c r="P234" i="2"/>
  <c r="J234" i="2"/>
  <c r="G234" i="2"/>
  <c r="P465" i="2"/>
  <c r="J465" i="2"/>
  <c r="G465" i="2"/>
  <c r="P232" i="2"/>
  <c r="J232" i="2"/>
  <c r="G232" i="2"/>
  <c r="P231" i="2"/>
  <c r="J231" i="2"/>
  <c r="G231" i="2"/>
  <c r="P464" i="2"/>
  <c r="J464" i="2"/>
  <c r="G464" i="2"/>
  <c r="P1178" i="2"/>
  <c r="J1178" i="2"/>
  <c r="G1178" i="2"/>
  <c r="P794" i="2"/>
  <c r="J794" i="2"/>
  <c r="G794" i="2"/>
  <c r="P905" i="2"/>
  <c r="J905" i="2"/>
  <c r="G905" i="2"/>
  <c r="P81" i="2"/>
  <c r="J81" i="2"/>
  <c r="G81" i="2"/>
  <c r="P1053" i="2"/>
  <c r="J1053" i="2"/>
  <c r="G1053" i="2"/>
  <c r="P2288" i="2"/>
  <c r="J2288" i="2"/>
  <c r="G2288" i="2"/>
  <c r="P129" i="2"/>
  <c r="J129" i="2"/>
  <c r="G129" i="2"/>
  <c r="P1179" i="2"/>
  <c r="J1179" i="2"/>
  <c r="G1179" i="2"/>
  <c r="P2355" i="2"/>
  <c r="J2355" i="2"/>
  <c r="G2355" i="2"/>
  <c r="P797" i="2"/>
  <c r="J797" i="2"/>
  <c r="G797" i="2"/>
  <c r="P128" i="2"/>
  <c r="J128" i="2"/>
  <c r="G128" i="2"/>
  <c r="P53" i="2"/>
  <c r="J53" i="2"/>
  <c r="G53" i="2"/>
  <c r="P3054" i="2"/>
  <c r="J3054" i="2"/>
  <c r="G3054" i="2"/>
  <c r="P1126" i="2"/>
  <c r="J1126" i="2"/>
  <c r="G1126" i="2"/>
  <c r="P281" i="2"/>
  <c r="J281" i="2"/>
  <c r="G281" i="2"/>
  <c r="P1236" i="2"/>
  <c r="J1236" i="2"/>
  <c r="G1236" i="2"/>
  <c r="P224" i="2"/>
  <c r="J224" i="2"/>
  <c r="G224" i="2"/>
  <c r="P63" i="2"/>
  <c r="J63" i="2"/>
  <c r="G63" i="2"/>
  <c r="P862" i="2"/>
  <c r="J862" i="2"/>
  <c r="G862" i="2"/>
  <c r="J2979" i="2"/>
  <c r="G2979" i="2"/>
  <c r="P1545" i="2"/>
  <c r="J1545" i="2"/>
  <c r="G1545" i="2"/>
  <c r="P1585" i="2"/>
  <c r="J1585" i="2"/>
  <c r="G1585" i="2"/>
  <c r="P1029" i="2"/>
  <c r="J1029" i="2"/>
  <c r="G1029" i="2"/>
  <c r="P100" i="2"/>
  <c r="J100" i="2"/>
  <c r="G100" i="2"/>
  <c r="P139" i="2"/>
  <c r="J139" i="2"/>
  <c r="G139" i="2"/>
  <c r="P266" i="2"/>
  <c r="J266" i="2"/>
  <c r="G266" i="2"/>
  <c r="P681" i="2"/>
  <c r="J681" i="2"/>
  <c r="G681" i="2"/>
  <c r="P680" i="2"/>
  <c r="J680" i="2"/>
  <c r="G680" i="2"/>
  <c r="P265" i="2"/>
  <c r="J265" i="2"/>
  <c r="G265" i="2"/>
  <c r="P1584" i="2"/>
  <c r="J1584" i="2"/>
  <c r="G1584" i="2"/>
  <c r="P2276" i="2"/>
  <c r="J2276" i="2"/>
  <c r="G2276" i="2"/>
  <c r="P1073" i="2"/>
  <c r="J1073" i="2"/>
  <c r="G1073" i="2"/>
  <c r="P2291" i="2"/>
  <c r="J2291" i="2"/>
  <c r="G2291" i="2"/>
  <c r="J45" i="2"/>
  <c r="G45" i="2"/>
  <c r="P641" i="2"/>
  <c r="J641" i="2"/>
  <c r="G641" i="2"/>
  <c r="P1839" i="2"/>
  <c r="J1839" i="2"/>
  <c r="G1839" i="2"/>
  <c r="J43" i="2"/>
  <c r="G43" i="2"/>
  <c r="P2024" i="2"/>
  <c r="J2024" i="2"/>
  <c r="G2024" i="2"/>
  <c r="P2062" i="2"/>
  <c r="J2062" i="2"/>
  <c r="G2062" i="2"/>
  <c r="P640" i="2"/>
  <c r="J640" i="2"/>
  <c r="G640" i="2"/>
  <c r="P2173" i="2"/>
  <c r="J2173" i="2"/>
  <c r="G2173" i="2"/>
  <c r="P2065" i="2"/>
  <c r="J2065" i="2"/>
  <c r="G2065" i="2"/>
  <c r="P639" i="2"/>
  <c r="J639" i="2"/>
  <c r="G639" i="2"/>
  <c r="J47" i="2"/>
  <c r="G47" i="2"/>
  <c r="P3465" i="2"/>
  <c r="J3465" i="2"/>
  <c r="G3465" i="2"/>
  <c r="P3064" i="2"/>
  <c r="J3064" i="2"/>
  <c r="G3064" i="2"/>
  <c r="P3065" i="2"/>
  <c r="J3065" i="2"/>
  <c r="G3065" i="2"/>
  <c r="P2105" i="2"/>
  <c r="J2105" i="2"/>
  <c r="G2105" i="2"/>
  <c r="P2340" i="2"/>
  <c r="J2340" i="2"/>
  <c r="G2340" i="2"/>
  <c r="P672" i="2"/>
  <c r="J672" i="2"/>
  <c r="G672" i="2"/>
  <c r="P1905" i="2"/>
  <c r="J1905" i="2"/>
  <c r="G1905" i="2"/>
  <c r="P1506" i="2"/>
  <c r="J1506" i="2"/>
  <c r="G1506" i="2"/>
  <c r="P1177" i="2"/>
  <c r="J1177" i="2"/>
  <c r="G1177" i="2"/>
  <c r="P795" i="2"/>
  <c r="J795" i="2"/>
  <c r="G795" i="2"/>
  <c r="P1176" i="2"/>
  <c r="J1176" i="2"/>
  <c r="G1176" i="2"/>
  <c r="P1864" i="2"/>
  <c r="J1864" i="2"/>
  <c r="G1864" i="2"/>
  <c r="P943" i="2"/>
  <c r="J943" i="2"/>
  <c r="G943" i="2"/>
  <c r="P3554" i="2"/>
  <c r="J3554" i="2"/>
  <c r="G3554" i="2"/>
  <c r="P104" i="2"/>
  <c r="J104" i="2"/>
  <c r="G104" i="2"/>
  <c r="P2636" i="2"/>
  <c r="J2636" i="2"/>
  <c r="G2636" i="2"/>
  <c r="P3053" i="2"/>
  <c r="J3053" i="2"/>
  <c r="G3053" i="2"/>
  <c r="P3058" i="2"/>
  <c r="J3058" i="2"/>
  <c r="G3058" i="2"/>
  <c r="P3057" i="2"/>
  <c r="J3057" i="2"/>
  <c r="G3057" i="2"/>
  <c r="P3059" i="2"/>
  <c r="J3059" i="2"/>
  <c r="G3059" i="2"/>
  <c r="P2681" i="2"/>
  <c r="J2681" i="2"/>
  <c r="G2681" i="2"/>
  <c r="P3060" i="2"/>
  <c r="J3060" i="2"/>
  <c r="G3060" i="2"/>
  <c r="P3055" i="2"/>
  <c r="J3055" i="2"/>
  <c r="G3055" i="2"/>
  <c r="P2440" i="2"/>
  <c r="J2440" i="2"/>
  <c r="G2440" i="2"/>
  <c r="J3003" i="2"/>
  <c r="G3003" i="2"/>
  <c r="J44" i="2"/>
  <c r="G44" i="2"/>
  <c r="J2761" i="2"/>
  <c r="G2761" i="2"/>
  <c r="P1756" i="2"/>
  <c r="J1756" i="2"/>
  <c r="G1756" i="2"/>
  <c r="P2762" i="2"/>
  <c r="J2762" i="2"/>
  <c r="G2762" i="2"/>
  <c r="P2163" i="2"/>
  <c r="G2163" i="2"/>
  <c r="P2162" i="2"/>
  <c r="G2162" i="2"/>
  <c r="P2239" i="2"/>
  <c r="J2239" i="2"/>
  <c r="G2239" i="2"/>
  <c r="P2161" i="2"/>
  <c r="G2161" i="2"/>
  <c r="P1769" i="2"/>
  <c r="J1769" i="2"/>
  <c r="G1769" i="2"/>
  <c r="J3040" i="2"/>
  <c r="G3040" i="2"/>
  <c r="J2996" i="2"/>
  <c r="G2996" i="2"/>
  <c r="J2768" i="2"/>
  <c r="G2768" i="2"/>
  <c r="P2738" i="2"/>
  <c r="J2738" i="2"/>
  <c r="G2738" i="2"/>
  <c r="P2274" i="2"/>
  <c r="J2274" i="2"/>
  <c r="G2274" i="2"/>
  <c r="P1751" i="2"/>
  <c r="J1751" i="2"/>
  <c r="G1751" i="2"/>
  <c r="J2767" i="2"/>
  <c r="G2767" i="2"/>
  <c r="P2236" i="2"/>
  <c r="J2236" i="2"/>
  <c r="G2236" i="2"/>
  <c r="J2769" i="2"/>
  <c r="G2769" i="2"/>
  <c r="P2470" i="2"/>
  <c r="J2470" i="2"/>
  <c r="G2470" i="2"/>
  <c r="P1718" i="2"/>
  <c r="J1718" i="2"/>
  <c r="G1718" i="2"/>
  <c r="P2625" i="2"/>
  <c r="J2625" i="2"/>
  <c r="G2625" i="2"/>
  <c r="P2511" i="2"/>
  <c r="J2511" i="2"/>
  <c r="G2511" i="2"/>
  <c r="J3007" i="2"/>
  <c r="G3007" i="2"/>
  <c r="J3030" i="2"/>
  <c r="G3030" i="2"/>
  <c r="P964" i="2"/>
  <c r="J964" i="2"/>
  <c r="G964" i="2"/>
  <c r="P1719" i="2"/>
  <c r="J1719" i="2"/>
  <c r="G1719" i="2"/>
  <c r="P2485" i="2"/>
  <c r="J2485" i="2"/>
  <c r="G2485" i="2"/>
  <c r="J3029" i="2"/>
  <c r="G3029" i="2"/>
  <c r="P2597" i="2"/>
  <c r="J2597" i="2"/>
  <c r="G2597" i="2"/>
  <c r="P2520" i="2"/>
  <c r="J2520" i="2"/>
  <c r="G2520" i="2"/>
  <c r="P1681" i="2"/>
  <c r="J1681" i="2"/>
  <c r="G1681" i="2"/>
  <c r="P410" i="2"/>
  <c r="J410" i="2"/>
  <c r="G410" i="2"/>
  <c r="P2952" i="2"/>
  <c r="J2952" i="2"/>
  <c r="G2952" i="2"/>
  <c r="P2512" i="2"/>
  <c r="J2512" i="2"/>
  <c r="G2512" i="2"/>
  <c r="P101" i="2"/>
  <c r="J101" i="2"/>
  <c r="G101" i="2"/>
  <c r="P2920" i="2"/>
  <c r="J2920" i="2"/>
  <c r="G2920" i="2"/>
  <c r="P506" i="2"/>
  <c r="J506" i="2"/>
  <c r="G506" i="2"/>
  <c r="P259" i="2"/>
  <c r="J259" i="2"/>
  <c r="G259" i="2"/>
  <c r="P1565" i="2"/>
  <c r="J1565" i="2"/>
  <c r="G1565" i="2"/>
  <c r="P2266" i="2"/>
  <c r="J2266" i="2"/>
  <c r="G2266" i="2"/>
  <c r="J2999" i="2"/>
  <c r="G2999" i="2"/>
  <c r="P2399" i="2"/>
  <c r="G2399" i="2"/>
  <c r="P2398" i="2"/>
  <c r="G2398" i="2"/>
  <c r="P2598" i="2"/>
  <c r="J2598" i="2"/>
  <c r="G2598" i="2"/>
  <c r="P2446" i="2"/>
  <c r="J2446" i="2"/>
  <c r="G2446" i="2"/>
  <c r="P273" i="2"/>
  <c r="J273" i="2"/>
  <c r="G273" i="2"/>
  <c r="J2988" i="2"/>
  <c r="G2988" i="2"/>
  <c r="P2469" i="2"/>
  <c r="J2469" i="2"/>
  <c r="G2469" i="2"/>
  <c r="P2599" i="2"/>
  <c r="J2599" i="2"/>
  <c r="G2599" i="2"/>
  <c r="P2513" i="2"/>
  <c r="J2513" i="2"/>
  <c r="G2513" i="2"/>
  <c r="P2600" i="2"/>
  <c r="J2600" i="2"/>
  <c r="G2600" i="2"/>
  <c r="J2771" i="2"/>
  <c r="G2771" i="2"/>
  <c r="P2528" i="2"/>
  <c r="J2528" i="2"/>
  <c r="G2528" i="2"/>
  <c r="P1269" i="2"/>
  <c r="J1269" i="2"/>
  <c r="G1269" i="2"/>
  <c r="P2601" i="2"/>
  <c r="J2601" i="2"/>
  <c r="G2601" i="2"/>
  <c r="P2679" i="2"/>
  <c r="J2679" i="2"/>
  <c r="G2679" i="2"/>
  <c r="P2933" i="2"/>
  <c r="J2933" i="2"/>
  <c r="G2933" i="2"/>
  <c r="P2468" i="2"/>
  <c r="J2468" i="2"/>
  <c r="G2468" i="2"/>
  <c r="P2486" i="2"/>
  <c r="J2486" i="2"/>
  <c r="G2486" i="2"/>
  <c r="P2946" i="2"/>
  <c r="J2946" i="2"/>
  <c r="G2946" i="2"/>
  <c r="P2450" i="2"/>
  <c r="J2450" i="2"/>
  <c r="G2450" i="2"/>
  <c r="P2464" i="2"/>
  <c r="J2464" i="2"/>
  <c r="G2464" i="2"/>
  <c r="P2894" i="2"/>
  <c r="J2894" i="2"/>
  <c r="G2894" i="2"/>
  <c r="P2879" i="2"/>
  <c r="J2879" i="2"/>
  <c r="G2879" i="2"/>
  <c r="G2798" i="2"/>
  <c r="P1967" i="2"/>
  <c r="J1967" i="2"/>
  <c r="G1967" i="2"/>
  <c r="J2753" i="2"/>
  <c r="G2753" i="2"/>
  <c r="P1819" i="2"/>
  <c r="J1819" i="2"/>
  <c r="G1819" i="2"/>
  <c r="P76" i="2"/>
  <c r="J76" i="2"/>
  <c r="G76" i="2"/>
  <c r="P2936" i="2"/>
  <c r="J2936" i="2"/>
  <c r="G2936" i="2"/>
  <c r="P1818" i="2"/>
  <c r="J1818" i="2"/>
  <c r="G1818" i="2"/>
  <c r="P2814" i="2"/>
  <c r="J2814" i="2"/>
  <c r="G2814" i="2"/>
  <c r="P1817" i="2"/>
  <c r="J1817" i="2"/>
  <c r="G1817" i="2"/>
  <c r="P2456" i="2"/>
  <c r="J2456" i="2"/>
  <c r="G2456" i="2"/>
  <c r="P2905" i="2"/>
  <c r="J2905" i="2"/>
  <c r="G2905" i="2"/>
  <c r="P2527" i="2"/>
  <c r="J2527" i="2"/>
  <c r="G2527" i="2"/>
  <c r="P3333" i="2"/>
  <c r="J3333" i="2"/>
  <c r="G3333" i="2"/>
  <c r="P3332" i="2"/>
  <c r="J3332" i="2"/>
  <c r="G3332" i="2"/>
  <c r="P2443" i="2"/>
  <c r="J2443" i="2"/>
  <c r="G2443" i="2"/>
  <c r="P3331" i="2"/>
  <c r="J3331" i="2"/>
  <c r="G3331" i="2"/>
  <c r="P2237" i="2"/>
  <c r="J2237" i="2"/>
  <c r="G2237" i="2"/>
  <c r="P2467" i="2"/>
  <c r="J2467" i="2"/>
  <c r="G2467" i="2"/>
  <c r="P3496" i="2"/>
  <c r="J3496" i="2"/>
  <c r="G3496" i="2"/>
  <c r="J2766" i="2"/>
  <c r="G2766" i="2"/>
  <c r="P3527" i="2"/>
  <c r="J3527" i="2"/>
  <c r="G3527" i="2"/>
  <c r="P3347" i="2"/>
  <c r="J3347" i="2"/>
  <c r="G3347" i="2"/>
  <c r="P3532" i="2"/>
  <c r="J3532" i="2"/>
  <c r="G3532" i="2"/>
  <c r="P3528" i="2"/>
  <c r="J3528" i="2"/>
  <c r="G3528" i="2"/>
  <c r="P2965" i="2"/>
  <c r="J2965" i="2"/>
  <c r="G2965" i="2"/>
  <c r="J2758" i="2"/>
  <c r="G2758" i="2"/>
  <c r="P74" i="2"/>
  <c r="J74" i="2"/>
  <c r="G74" i="2"/>
  <c r="P2436" i="2"/>
  <c r="J2436" i="2"/>
  <c r="G2436" i="2"/>
  <c r="P1536" i="2"/>
  <c r="J1536" i="2"/>
  <c r="G1536" i="2"/>
  <c r="P2441" i="2"/>
  <c r="J2441" i="2"/>
  <c r="G2441" i="2"/>
  <c r="P2374" i="2"/>
  <c r="J2374" i="2"/>
  <c r="G2374" i="2"/>
  <c r="P926" i="2"/>
  <c r="J926" i="2"/>
  <c r="G926" i="2"/>
  <c r="J2760" i="2"/>
  <c r="G2760" i="2"/>
  <c r="J46" i="2"/>
  <c r="G46" i="2"/>
  <c r="P1166" i="2"/>
  <c r="J1166" i="2"/>
  <c r="G1166" i="2"/>
  <c r="P314" i="2"/>
  <c r="J314" i="2"/>
  <c r="G314" i="2"/>
  <c r="P1045" i="2"/>
  <c r="J1045" i="2"/>
  <c r="G1045" i="2"/>
  <c r="J2765" i="2"/>
  <c r="G2765" i="2"/>
  <c r="P1555" i="2"/>
  <c r="J1555" i="2"/>
  <c r="G1555" i="2"/>
  <c r="J3011" i="2"/>
  <c r="G3011" i="2"/>
  <c r="J2757" i="2"/>
  <c r="G2757" i="2"/>
  <c r="J3000" i="2"/>
  <c r="G3000" i="2"/>
  <c r="P3301" i="2"/>
  <c r="J3301" i="2"/>
  <c r="G3301" i="2"/>
  <c r="P3300" i="2"/>
  <c r="J3300" i="2"/>
  <c r="G3300" i="2"/>
  <c r="P2750" i="2"/>
  <c r="J2750" i="2"/>
  <c r="G2750" i="2"/>
  <c r="P944" i="2"/>
  <c r="J944" i="2"/>
  <c r="G944" i="2"/>
  <c r="P1595" i="2"/>
  <c r="J1595" i="2"/>
  <c r="G1595" i="2"/>
  <c r="J2764" i="2"/>
  <c r="G2764" i="2"/>
  <c r="P1125" i="2"/>
  <c r="J1125" i="2"/>
  <c r="G1125" i="2"/>
  <c r="P2030" i="2"/>
  <c r="J2030" i="2"/>
  <c r="G2030" i="2"/>
  <c r="J2756" i="2"/>
  <c r="G2756" i="2"/>
  <c r="P2028" i="2"/>
  <c r="J2028" i="2"/>
  <c r="G2028" i="2"/>
  <c r="P3206" i="2"/>
  <c r="J3206" i="2"/>
  <c r="G3206" i="2"/>
  <c r="P3341" i="2"/>
  <c r="J3341" i="2"/>
  <c r="G3341" i="2"/>
  <c r="J2763" i="2"/>
  <c r="G2763" i="2"/>
  <c r="P557" i="2"/>
  <c r="J557" i="2"/>
  <c r="G557" i="2"/>
  <c r="J2642" i="2"/>
  <c r="G2642" i="2"/>
  <c r="P2951" i="2"/>
  <c r="J2951" i="2"/>
  <c r="G2951" i="2"/>
  <c r="J3039" i="2"/>
  <c r="G3039" i="2"/>
  <c r="J3025" i="2"/>
  <c r="G3025" i="2"/>
  <c r="J2755" i="2"/>
  <c r="G2755" i="2"/>
  <c r="P1204" i="2"/>
  <c r="J1204" i="2"/>
  <c r="G1204" i="2"/>
  <c r="J48" i="2"/>
  <c r="G48" i="2"/>
  <c r="P1122" i="2"/>
  <c r="J1122" i="2"/>
  <c r="G1122" i="2"/>
  <c r="P1910" i="2"/>
  <c r="J1910" i="2"/>
  <c r="G1910" i="2"/>
  <c r="P3486" i="2"/>
  <c r="J3486" i="2"/>
  <c r="G3486" i="2"/>
  <c r="P2247" i="2"/>
  <c r="J2247" i="2"/>
  <c r="G2247" i="2"/>
  <c r="P661" i="2"/>
  <c r="J661" i="2"/>
  <c r="G661" i="2"/>
  <c r="P256" i="2"/>
  <c r="J256" i="2"/>
  <c r="G256" i="2"/>
  <c r="J3004" i="2"/>
  <c r="G3004" i="2"/>
</calcChain>
</file>

<file path=xl/sharedStrings.xml><?xml version="1.0" encoding="utf-8"?>
<sst xmlns="http://schemas.openxmlformats.org/spreadsheetml/2006/main" count="44909" uniqueCount="6113">
  <si>
    <t>URL</t>
  </si>
  <si>
    <t>05.04.2018</t>
  </si>
  <si>
    <t>15:35</t>
  </si>
  <si>
    <t>05.04.2018 15:35</t>
  </si>
  <si>
    <t/>
  </si>
  <si>
    <t>очень смешно, как монетизирует свой акк владелец 
сначала "монобанк" рекламировали
а теперь КАЖДАЯ новость - обозреватель</t>
  </si>
  <si>
    <t>Oleksii Burdiuk</t>
  </si>
  <si>
    <t>twitter.com</t>
  </si>
  <si>
    <t>15:16</t>
  </si>
  <si>
    <t>05.04.2018 15:23</t>
  </si>
  <si>
    <t>В Европе есть один аспект, из-за которого мы в монобанке завидуем тамошним банкам и финтек-стартапам лютой завистью.</t>
  </si>
  <si>
    <t>Murat Prokopov согласен. С этим банком да, так и есть)</t>
  </si>
  <si>
    <t>Anton  Marchenko</t>
  </si>
  <si>
    <t>facebook.com</t>
  </si>
  <si>
    <t>Дмитрий Дубилет</t>
  </si>
  <si>
    <t>15:07</t>
  </si>
  <si>
    <t>05.04.2018 15:08</t>
  </si>
  <si>
    <t>N26 требует только наличия адреса для приёма карты в одной из стран западной Европы. Наличие резиденства никак не проверяется, например.</t>
  </si>
  <si>
    <t>Murat Prokopov</t>
  </si>
  <si>
    <t>15:06</t>
  </si>
  <si>
    <t>N26 проводит собеседование прямо в приложении видеозвонком. Выдает карты даже гражданам Украины, при наличии адреса в Европе, на который они готовы получить карту. Работает идеально.</t>
  </si>
  <si>
    <t>15:05</t>
  </si>
  <si>
    <t>05.04.2018 15:07</t>
  </si>
  <si>
    <t>Сергій запрошує вас у monobank! Оформіть картку, перейшовши за персональним посиланням, і ви обидва отримаєте по 50 грн на рахунок кешбека!
https://monobank.com.ua/r/Xx2V
monobank – банк без відділень
Ми не несемо витрати на відділення, і тому можемо дати вам найвигідніші умови!</t>
  </si>
  <si>
    <t>Сергій Червак</t>
  </si>
  <si>
    <t>vk.com</t>
  </si>
  <si>
    <t>15:03</t>
  </si>
  <si>
    <t>05.04.2018 15:09</t>
  </si>
  <si>
    <t>Спасибо Yulia Tabachynska за присоединение к МОНОБАНКу в результате которого мы оба получили по 50 грн кэшбэка! Давайте</t>
  </si>
  <si>
    <t>Сергей Микулов не вижу пока экономического смысла заводить себе карту монобанка. Все , что ты перечислил и с других карточек можно оплачивать без комиссии. А моно просто пустой пластик привязанный пусть и к хорошему софту</t>
  </si>
  <si>
    <t>Олександр Жарко</t>
  </si>
  <si>
    <t>Sergiy Mikulov</t>
  </si>
  <si>
    <t>15:02</t>
  </si>
  <si>
    <t>Дмитрий Дубилет прогнозирует старт аналога Monobank в Великобритании уже этой осенью. В названии предполагается</t>
  </si>
  <si>
    <t>Там наверняка своего такого добра хватает, а как узнают кто основатели и что им всем грозит за финансовую пирамиду в Украине, так закончатся в тот же день как откроются</t>
  </si>
  <si>
    <t>Vitalii Pashkevych</t>
  </si>
  <si>
    <t>BANK ONLINE</t>
  </si>
  <si>
    <t>15:00</t>
  </si>
  <si>
    <t>05.04.2018 15:26</t>
  </si>
  <si>
    <t>monobank</t>
  </si>
  <si>
    <t>Я вот тоже не как сраный хипстер говорю, а как обычный человек, пользуюсь кредитокой, часто и вполне удобно, для безналичных расчетов. И вполне себе около 0% получается если не дольше 45 дней</t>
  </si>
  <si>
    <t>Rustam Kyrychenko</t>
  </si>
  <si>
    <t>dou.ua</t>
  </si>
  <si>
    <t>14:55</t>
  </si>
  <si>
    <t>05.04.2018 15:27</t>
  </si>
  <si>
    <t>Мы на 99% определились с названием банка, который запускаем в Британии — Kolo. Опросили огромное количество британцев —</t>
  </si>
  <si>
    <t>Мы на 99% определились с названием банка, который запускаем в Британии — Kolo.
Опросили огромное количество британцев — название всем нравится. Легко запоминается, легко пишется. Само собой, слово для них ничего не значит. Ну а нам, в свою очередь, приятно, что в нем будет спрятано украинское слово — коло.
Авторские права пробили — тут тоже порядок.
Есть пару смущающих аспектов. Во-первых,  это слово означает «задница» на греческом. Но, как заметил сотрудник нашего маркетингового агентства, «всегда найдется язык, на котором ваше название означает задницу» 
Во-вторых, в Польше есть такой бренд сантехники. Впрочем, в Западной Европе он не известен.
Кстати, когда мы придумывали название для украинского monobank, слово «Коло» тоже было в шорт-листе.
Пользуясь случаем, еще раз благодарю всех, кто принял участие в коллективном мозгоштурме по поиску названия!
My name is Dima. I live in the center of Dnipro. I have Kolo card in my pocket, yo!</t>
  </si>
  <si>
    <t>Yuliya Akulenko</t>
  </si>
  <si>
    <t>14:47</t>
  </si>
  <si>
    <t>05.04.2018 14:57</t>
  </si>
  <si>
    <t>«Осторожно! - Монобанк»</t>
  </si>
  <si>
    <t>«Насколько я помню, вы сами и добровольно обратились в банк — он вас не принуждал стать его клиентом.»
Да, но меня обманули Цитирую: — Да, если вам одобрят кредит, вы сразу сможете им воспользоваться.
Одобрили. Воспользовался?
«Эти ребята дадут многим банкирам фору по уровню компетентности.»
Здесь вообще все понятно. Реклама прямым текстом, и наступило понимание, кто же скрывается за ником, который так усердно комментит мой отзыв, и пытается обязательно оставить последнее слово за собой, дабы хоть как то обелить репутацию Монобанка!
«И ведь они сразу вас вычислили со 100% вероятностью на предмет планов по использованию их кредитной карты.»
Очередное подтверждение, что общаюсь с представителем Монобанка.
«Пользуйтесь платиновыми картами других банкок и будет вам счастье…»
Успешно пользуюсь. Но это не мешает мне предупреждать людей о возможных последствиях взаимодействия с Монобанком!</t>
  </si>
  <si>
    <t>monoobman</t>
  </si>
  <si>
    <t>minfin.com.ua</t>
  </si>
  <si>
    <t>14:44</t>
  </si>
  <si>
    <t>05.04.2018 14:45</t>
  </si>
  <si>
    <t>ДонецкийУЧернигове</t>
  </si>
  <si>
    <t>14:37</t>
  </si>
  <si>
    <t>05.04.2018 14:37</t>
  </si>
  <si>
    <t>Пындык</t>
  </si>
  <si>
    <t>14:32</t>
  </si>
  <si>
    <t>05.04.2018 14:54</t>
  </si>
  <si>
    <t>Мы вчера забегались и заговорились в Шкафу. Поэтому шлем вам привет из самого вкусного сегодня. 
Вкусняха нумер 1 - история юного айтишника, который в 20 лет успел создать в Америке востребованную IT-компанию и заработать много денег. А уж во сколько факапов вляпался... Причём, основные подставы были не от американцев, а от русскоговорящих. Маша долго и упрямо прорабатывала этот разноплановый материал - и оно того стоило: http://biz.liga.net/all/all/article/pchely-i-suitsidy-kak-sozdat-it-kompaniyu-v-nyu-yorke-v-20-let
Вкусняхой нумер 2 нарекаем интервью с Дмитрием Дубилетом. Бизнесмена не так просто затянуть на беседу. Он немало пишет в Фейсбуке, но себя называет интровертом. Стас покрутил Дубилета на разные темы, а самое важное взял в текст. В финал вышли iGov и его "опекуны", судьба Monobank в случае шухера с родительским банком, покорение Британии и немножко личного: http://biz.liga.net/all/it/interview/intervyu-s-dmitriem-dubiletom-komu-dostanetsya-igov
На закуску - мобильный интернет таки вытесняет голос. Но и SMS еще не умирают: http://biz.liga.net/all/telekom/article/sotovaya-svyaz-v-razreze-na-chem-zarabatyvayut-mobilnye-operatory
Пчёлы и суициды: как создать IТ-компанию в Нью-Йорке в 20 лет
Как 20-летний украинец открыл IТ-компанию в Нью-Йорке и делает проекты для местных стартапов
http://biz.liga.net/all/all/article/pchely-i-suitsidy-kak-sozdat-it-kompaniyu-v-nyu-yorke-v-20-let</t>
  </si>
  <si>
    <t>ЛІГА.tech</t>
  </si>
  <si>
    <t>telegram.me</t>
  </si>
  <si>
    <t>14:30</t>
  </si>
  <si>
    <t>05.04.2018 14:50</t>
  </si>
  <si>
    <t>Кредитні та платіжні картки - Finance.ua: Чи потрібна картка monobank?</t>
  </si>
  <si>
    <t>https://forum.finance.ua/viewtopic.php?p=4339994#p4339994    ddimihh написав:
Не ведитесь на этот г***о банк!С ихним лимитом можно купить хлеба и то одну буханку!!!!! Раз в неделю! Недай Бог вы купите вторую ,сразу блок лимит ноль!))))) Я ору с этого г***о банка!Пример лемит при регистрации- 15000 при получении6500 при покупке на сумму 4669 на счету сразу ноль!это все в течении 4 часов! Вас держат за потонцеальных наркоманов! А не за клиентов банка!
Не понимаю о чем вы пишите.
5 мес. пользуюсь. Первые 2 месяца посидел без лимита, потом дали 7000 на карту, и 20 тыс. на рассрочку. У меня проблем вообще никаких не возникало.
"Щенячего восторга", как у некоторых, конечно, не испытываю. Я бы это назвал бесплатным и стильным аналогом с чипом и бесконтактной оплатой карты "Универсальная".
Минусы:
- есть лимит на снятие наличных за раз в одном банкомате (не уверен, сам больше 1000 грн. не снимал).
- категории на кешбек каждый месяц разные, вашей любимой может не оказаться
- кешбек при снятии облагается налогами - 19.5%
- чистой рассрочки нет (как "Оплата частями"), но обещали.
- лично мне не хватает интернет-банкинга (Не все удобно делать по телефону).
Из плюсов:
- карта без абонплаты, с чипом и PayPass.
- стильный внешний вид карты и наличие удобных стильных плюшек (типа для перевода денег, при личной встрече, достаточно потрусить смартфонами в руках) 
- Мобильное приложение красивее и удобней чем у Привата. Удобней пополнять карту, пересылать деньги знакомым и прочее.
- кешбек (у меня за счет такси и продуктов питания около 300 грн. в месяц выходит)
- самый большой льготный период - 62 дня.
- платят за привлечение друзей по реф. ссылке: https://monobank.com.ua/r/gvXy (50 грн вам, 50 грн другу на бонусный счет)
Так что как пишут в статье выше: бесплатно - можно смело брать!</t>
  </si>
  <si>
    <t>Yarick</t>
  </si>
  <si>
    <t>forum.finance.ua</t>
  </si>
  <si>
    <t>14:27</t>
  </si>
  <si>
    <t>05.04.2018 14:36</t>
  </si>
  <si>
    <t>Lime Crime, завтра выкупаем. Предпочтение тем кто первый отписался, точно знает, что хочет и быстро переводит деньги, за</t>
  </si>
  <si>
    <t>Зашли?  From Monobank</t>
  </si>
  <si>
    <t>Lilly  Flower</t>
  </si>
  <si>
    <t>Натали Белоусова</t>
  </si>
  <si>
    <t>14:25</t>
  </si>
  <si>
    <t>05.04.2018 14:28</t>
  </si>
  <si>
    <t>«попытки заполучить клиентов и денег любой ценой»
Насколько я помню, вы сами и добровольно обратились в банк — он вас не принуждал стать его клиентом.
«вначале все тщательно проверяют, а потом принимают взвешанное решение. и это норма»
Эти ребята дадут многим банкирам фору по уровню компетентности.
И ведь они сразу вас вычислили со 100% вероятностью на предмет планов по использованию их кредитной карты.
Пользуйтесь платиновыми картами других банкок и будет вам счастье…</t>
  </si>
  <si>
    <t>Qwerty1999</t>
  </si>
  <si>
    <t>14:24</t>
  </si>
  <si>
    <t>Катерина запрошує вас у monobank! Оформіть картку, перейшовши за персональним посиланням, і ви обидва отримаєте по 50 грн на рахунок кешбека!
https://monobank.com.ua/r/gKLb
monobank – банк без відділень</t>
  </si>
  <si>
    <t>Катя Ушакова</t>
  </si>
  <si>
    <t>14:19</t>
  </si>
  <si>
    <t>05.04.2018 14:20</t>
  </si>
  <si>
    <t>Monobank — первый в Украине мобильный банк без отделений. Чтобы стать клиентом, нужно иметь смартфон на Android или iOS. Большой кэшбэк за оплату картой и лучшая альтернатива Privat24 на сегодняшний день! Следует упомянуть, что МоноБанк работает по лицензии Universal Bank, который в свою очередь уже более 20-и лет работает на рынке Украины.
Хотите иметь карту с большим лимитом кредитных средств, с которых при покупки вы получаете кэшбэк, с маленьким процентом за использование не своих денег, с возможностью получить выгодную рассрочку, пользоваться ею за рубежом, удобные мобильное приложение? Тогда вы попали туда куда нужно!
MonoBank – банк без отделений, кэшбэк и альтернатива Privat24
Monobank - первый в Украине мобильный банк без отделений. Чтобы стать клиентом, нужно иметь смартфон на Android или iOS. Большой кэшбэк за оплату картой и лучшая альтернатива Privat24 на сегодняшний день!
https://seosait.com/monobank-bank-cashback/</t>
  </si>
  <si>
    <t>Блог SeoSait</t>
  </si>
  <si>
    <t>Можно со счета ФОП?</t>
  </si>
  <si>
    <t>Сергей Ивагло</t>
  </si>
  <si>
    <t>14:18</t>
  </si>
  <si>
    <t>Вся ситуация, как минимально, свидетельствует о некомпетентности компании в сфере предоставления финансовых услуг. А как максимум — обман и попытки заполучить клиентов и денег любой ценой, даже ценой репутации.
Компетентные компании вначале все тщательно проверяют, а потом принимают взвешанное решение. и это норма. В самом отказе кредита ничего такого нет. А вот впопыхах выдать кредит, тем самым предоставить человеку возможность опираться на него, а через 3 часа передумать — это прерогатива девочек, которых снял в клубе!</t>
  </si>
  <si>
    <t>14:13</t>
  </si>
  <si>
    <t>Сергей Коромысло</t>
  </si>
  <si>
    <t>13:46</t>
  </si>
  <si>
    <t>05.04.2018 14:14</t>
  </si>
  <si>
    <t>При подключении и регистрации в #monobank каждый, перешедший, по ниже указанной ссылке, получит бонус в виде 50 грн на</t>
  </si>
  <si>
    <t>Дмитрий Юкин почитай про Тинькоф, модель их</t>
  </si>
  <si>
    <t>Vitaliy Ponomarenko</t>
  </si>
  <si>
    <t>Дмитрий Юкин</t>
  </si>
  <si>
    <t>13:41</t>
  </si>
  <si>
    <t>«Смоделирую жизненную ситуацию»
А теперь посмотрим на эту же ситуацию глазами Монобанка в моей интерпретации (с вероятностью достоверности — 50% на 50%).
В Монобанк обратился клиент за кредитной картой. Его «пробили» по базе УБКИ и аналогичных и увидели, что претендент является вип-клиентом минимум в двух банках и платит приличные деньги за пользование услугами других банков.
Монобанку клиенты не помешают, поэтому они выдают карту без проблем, но ведь бывшие приватовцы достаточно умны и опытны и понимают, что кредитка будет лежать без движения или использоваться не по назначению — обналичка кредитных средств в украинской гривне через банкомат или снятие валюты в банкоматах за границей.
Поэтому выдав карту сразу же обнулили кредитный лимит — и ведь аналитики оказались на 101% правы — клиент первой же операцией попытался снять кредитную наличку, а не стал расплачиваться в торгово-сервисной сети.
В Монобанке и в Приватбанке считают, что кредитные карты предназначены в большей мере для безналичных расчётов в торгово-сервисных сетях.
Для желающих подержать в руках наличные существуют другие кредитные программы, например «кредит наличными» на любые нужды.</t>
  </si>
  <si>
    <t>13:33</t>
  </si>
  <si>
    <t>05.04.2018 15:03</t>
  </si>
  <si>
    <t>Интервью с Дмитрием Дубилетом: Кому достанется iGov Предприниматель раскрыл, на каких условиях работают Monobank и</t>
  </si>
  <si>
    <t>Интервью с Дмитрием Дубилетом: Кому достанется iGov
Предприниматель раскрыл, на каких условиях работают Monobank и Универсал банк. И о глобальных планах - пойдет ли в политику, создаст ли единорога
http://biz.liga.net/all/it/interview/intervyu-s-dmitriem-dubiletom-komu-dostanetsya-igov</t>
  </si>
  <si>
    <t>Игорь Николаев</t>
  </si>
  <si>
    <t>13:21</t>
  </si>
  <si>
    <t>Ну да, через Айбокс, платежом с другого банка - 0% комиссии.
Моно такэже заявляет что компенсирует до 0,5% комисии при пополнении карты через другие банки в т.ч. через терминалы Привата, но как уже сказал, пока обхожусь 0% вариантами.
А с тебя сняли комиссию за пополнение? Давай их зачеленджим )</t>
  </si>
  <si>
    <t>13:20</t>
  </si>
  <si>
    <t>Кто и как срубил по легкому бабла?</t>
  </si>
  <si>
    <t>Цитата:
	Сообщение от АНАРХИСТ
				Собственно много тем про олегархов и т.д.
Но реальных историй нет
Хочется откровенных историй от хозяев жизни,кому фортуна не повернулась  жопой
Кто и как по быстрому невзначай срубил много денег
У кого есть откровенные истории успеха?
Любителям грибной мивины нахуй
я завлекаю в монобанк и на кешбєк получаю1
дать ссілку на монобакн7</t>
  </si>
  <si>
    <t>zigote</t>
  </si>
  <si>
    <t>kharkovforum.com</t>
  </si>
  <si>
    <t>Харьков Форум &gt; Р“Р»Р°РІРЅС‹Р№</t>
  </si>
  <si>
    <t>13:19</t>
  </si>
  <si>
    <t>якби мала була бізнесменом</t>
  </si>
  <si>
    <t>приглашает вас в monobank! Оформите карту, перейдя по персональной ссылке, и вы оба получите по 50 грн на счет кешбэка!
https://monobank.com.ua/r/coiS</t>
  </si>
  <si>
    <t>Добрый Дым</t>
  </si>
  <si>
    <t>ЙоПнута Подруга! ЙоП</t>
  </si>
  <si>
    <t>а ти як кажеш?</t>
  </si>
  <si>
    <t>13:17</t>
  </si>
  <si>
    <t>Чорні картки з лімітом до 100 000 грн. та кешбеком до 20% #monobank 
 https://cards.twitter.com/cards/18ce54nfmyk/5bo1z</t>
  </si>
  <si>
    <t>Mr. Walter</t>
  </si>
  <si>
    <t>13:11</t>
  </si>
  <si>
    <t>Смоделирую жизненную ситуацию, что бы было более понятно, в чем суть возмущения (плевать на монобанк, он мне не интересен, но предостеречь людей, которые уважают себя и свое время, должен):
У вас вечером рейс, важная дорогостоящая поездка в далекую страну с 3-мя пересадками. вы как ответственный человек готовитесь к отьезду. Предварительно заказываете такси. посмотрели свежие рекламные сообщения и выбрали одну фирму пазажироперевозок под названием «монобанк». Вас заверили, что да, машинка ровно в назначенное время подьедет и будет ожидать вас возле подьезда. Ну отлично, вы уверены, что машинка будет, спокойно дальше занимаетесь своими деньгами. Но в назначенное время, машина не приехала. На вопрос почему, вам отвечают, что мы были вынуждены пересмотреть и решили, что к вам далеко ехать. Вопрос, достойна ли такая компания, предоставлять услуги пасажироперевозок? Вопрос риторический!</t>
  </si>
  <si>
    <t>13:10</t>
  </si>
  <si>
    <t>@arturclancy @privatbankua Логику ищи в monobank)</t>
  </si>
  <si>
    <t>spin</t>
  </si>
  <si>
    <t>13:06</t>
  </si>
  <si>
    <t>Евгений Тамбовцев</t>
  </si>
  <si>
    <t>13:01</t>
  </si>
  <si>
    <t>monoobman
В сообщении, которое несколько ниже по тексту, я высказал единственно верную мысль, могу её ещё раз повторить:
«Монобанк не для вас».
Вы просто не входите в фокус-группу, на которую нацелен
банковский продукт Монобанка.
Специально для вас на украинском финансовом рынке есть и другие варианты, например «Швидко гроші» — наличку выдадут моментально и никуда по банкоматам бегать не надо.</t>
  </si>
  <si>
    <t>12:59</t>
  </si>
  <si>
    <t>"Каждому с монобровью монобанк дарит наушники-моно". Держите слоган)</t>
  </si>
  <si>
    <t>Toni Picikato</t>
  </si>
  <si>
    <t>12:55</t>
  </si>
  <si>
    <t>Дмитрий Дубилет скажите , почему я не могу стать клиентом Монобанка имяя крымскую прописку, справку переселенца и постоянно проживая в Киеве. Ваша система не пропускает при регистрации.</t>
  </si>
  <si>
    <t>Doe John</t>
  </si>
  <si>
    <t>Yaroslav Bezsazhny</t>
  </si>
  <si>
    <t>12:51</t>
  </si>
  <si>
    <t>Это банк без отделений. Я стал клиентом этого учреждения по рефералке monobank.com.ua/r/43mE https://monobank.com.ua/r/43mE  Монобанк выслал мне карту, которой я оплачиваю интернет-покупки.</t>
  </si>
  <si>
    <t>vittallek</t>
  </si>
  <si>
    <t>12:50</t>
  </si>
  <si>
    <t>Даже у самых богатых людей мира бываю ситуации, когда срочно нужно собрать определенную сумму. И затраты на использование доп кредитования будут в перспективы перекрыты. Назовите мне хотя бы одно финансовое учреждение, которое за 3-4 час предоставляет кредит, а потом говорит: ну мы тут подумали, мы же ребята «серьезные», 3 часа назад вас проверили, дали вам кредит, а теперь что то вы подозрительным стали… заберем кридит. А почему? А потому!</t>
  </si>
  <si>
    <t>12:47</t>
  </si>
  <si>
    <t>Для любителей кешбека :) Пожалуй, это лучшее предложение на сегодняшний день. Еще и с бонусом :) Monobank!</t>
  </si>
  <si>
    <t>давно пользуешься? как впечатления?</t>
  </si>
  <si>
    <t>Serg Shevchuk</t>
  </si>
  <si>
    <t>Oleksiy Shatalov</t>
  </si>
  <si>
    <t>12:42</t>
  </si>
  <si>
    <t>А пополняешь ты Ее тож бесплатно :-)</t>
  </si>
  <si>
    <t>https://forum.finance.ua/viewtopic.php?p=4340558#p4340558    maksshevcovw написав:
Чем не нравится этот банк?
Собственно, это и не банк</t>
  </si>
  <si>
    <t>Faceless</t>
  </si>
  <si>
    <t>Мы на 99% определились с названием банка, который запускаем в Британии — Kolo.
Опросили огромное количество британцев — название всем нравится. Легко запоминается, легко пишется. Само собой, слово для них ничего не значит. Ну а нам, в свою очередь, приятно, что в нем будет спрятано украинское слово — коло.
Авторские права тоже пробили — тут тоже порядок.
Есть пару смущающих аспектов. Во-первых,  это слово означает «задница» на греческом. Но, как заметил сотрудник нашего маркетингового агентства, «всегда найдется язык, на котором ваше название означает задницу» 
Во-вторых, в Польше есть такой бренд сантехники. Впрочем, в Западной Европе он не известен.
Кстати, когда мы придумывали название для украинского monobank, слово «Коло» тоже было в шорт-листе.
Пользуясь случаем, еще раз благодарю всех, кто принял участие в коллективном мозгоштурме по поиску названия!
My name is Dima. I live in the center of Dnipro. I have Kolo card in my pocket, yo!</t>
  </si>
  <si>
    <t>12:41</t>
  </si>
  <si>
    <t>https://forum.finance.ua/viewtopic.php?p=4340558#p4340558    maksshevcovw написав:
Чем не нравится этот банк? Люди, которые стоят у основания банка - это бывшие председатели правления Приват банка.
Ответ на Ваш вопрос в следующем Вашем предложении.</t>
  </si>
  <si>
    <t>Amid</t>
  </si>
  <si>
    <t>12:37</t>
  </si>
  <si>
    <t>Если в гос структурах,  потенциальная  возможность   создания экскаваторов   зависит  от  личных качеств    менеджера среденего звена , который их  может создавать    вместо распилов и откатов,   джаст фан.
То в комерческих структурах   у него отнимут  все  все совбодные  ресурсы   и пространство для маневра,  а  ресурсы вывезут на счета бенифициаров  бизнеса  в офшоры.</t>
  </si>
  <si>
    <t>Konstantin Kaduk</t>
  </si>
  <si>
    <t>«Там столько «плюшек», что банк обманщик монобанк и рядом не стоит.»
Вам никто не мешает пользоваться плюшками и дальше.
Монобанк просто не для вас.</t>
  </si>
  <si>
    <t>12:35</t>
  </si>
  <si>
    <t>телеграмщики!
 Багато хто вже почав користуватись сервісом Admitad https://www.admitad.com/ru/promo/?ref=mqt4h3u2y5 , і деякі вже заробили перші декілька сотень гривень.
 Але ж це не єдина CPA мережа в Україні, хоч і найбільша.
 Сьогодні хочу поділитись з ще одним ресурсом, який допоможе вам отримувати ще більше прибутку!
 Letmeads https://letmeads.com/?friend=626  виділяється тим, що дає найбільші ставки з усіх існуючих сьогодні в Україні CPA мереж з зручною можливістю виводу прибутку на будь-яку банківську карту (потрібен тільки номер карти).
 Відправляю тільки реферальне посилання, оскільки при реєстрації по ньому ви нічого не втрачаєте, та тільки отримаєте приємні бонуси. Якщо хтось принципово не хоче реєструватись по реферальному посиланню – можете знайти цей сайт в google.
 Для прикладу використаю monobank, який дає 185 гривень за кожного нового клієнта приведеного вами через цю мережу.
p.s. якщо вам не відображає посилань – під публікацією є кнопка.
@tsadm
 1
Реєстрація https://letmeads.com/?friend=626</t>
  </si>
  <si>
    <t>Такий собі адмін</t>
  </si>
  <si>
    <t>12:34</t>
  </si>
  <si>
    <t>Монобанк Чат . Встречайте!!! https://bit.ly/2q94kRi
Монобанк чат | omono — Все о Монобанке
Довольный и самое главное постоянный клиент появляется в банке при соблюдении основных принципов качественного обслуживания, которые помимо быстрого и комфортного предоставления услуги предусматривают, реальное решение проблемных вопросов, возникающих во время эксплуатации финансового продукта.
https://bit.ly/2q94kRi</t>
  </si>
  <si>
    <t>Клуб инвесторов</t>
  </si>
  <si>
    <t>Оголошення Тернопіль</t>
  </si>
  <si>
    <t>Монобанк Чат . Встречайте!!! https://bit.ly/2q94kRi
Монобанк чат | omono — Все о Монобанке
https://bit.ly/2q94kRi</t>
  </si>
  <si>
    <t>кредит-онлайн Украина</t>
  </si>
  <si>
    <t>12:33</t>
  </si>
  <si>
    <t>Владимир Коваль</t>
  </si>
  <si>
    <t>12:32</t>
  </si>
  <si>
    <t>Но ведь не все у нас айтишники…
А что делать не айтишницам, которые заказывают через интернет карту с годовым обслуживанием в 800 гривен, а им всучивают карту за 2000 гривен в год.
https://minfin.com.ua/company/alfa-bank/review/115987/
Считаю, что Монобанк поступил совершенно верно, обнулив кредитный лимит клиенту, который без проблем платит за обслуживание пластика по 3000 гривен в год в другом банке.
Значит хватит денег воспользоваться услугой «кредит наличными» в любом укрбанке.</t>
  </si>
  <si>
    <t>12:28</t>
  </si>
  <si>
    <t>Тарас приглашает вас в monobank! Оформите карту, перейдя по персональной ссылке, и вы оба получите по 50 грн на счет кешбэка!
https://monobank.com.ua/r/RweR
monobank – банк без відділень</t>
  </si>
  <si>
    <t>Тарас Глухов</t>
  </si>
  <si>
    <t>12:27</t>
  </si>
  <si>
    <t>Обслуговування в українських банках (гарне і погане) - Monobank</t>
  </si>
  <si>
    <t>https://forum.finance.ua/viewtopic.php?p=4340526#p4340526    wig написав:
 https://forum.finance.ua/viewtopic.php?p=4340514#p4340514    Фантом написав:Спортмастером хвастались меньше, но идиотов в той группе хватает.
Чем там хвастаться, магазин не дешевый, 10% еще не известно, отобьется ли.
Моне по барабану дешёвый магазин или нет.</t>
  </si>
  <si>
    <t>Фантом</t>
  </si>
  <si>
    <t>12:26</t>
  </si>
  <si>
    <t>Никогда, ибо принципом   "два солдата из стройбата заменяют экскаватор"   пронизано все,  на всех уровнях,
как в государстве , так и в бизнесе .
У  создателей  экскаваторов    нет  никаких   шансов   показать свою   тактическую эффективность  эффективному менеджемнту   в   KPI .</t>
  </si>
  <si>
    <t>12:25</t>
  </si>
  <si>
    <t>В ООО «Металлург Юга» (Корабельный район) требуются на постоянную работу: - Администратор гостиницы Официальное</t>
  </si>
  <si>
    <t>приглашаю Вас в monobank!
Оформите карту, перейдя по персональной ссылке, и Вы получите 50 грн на счет кешбэка!
https://monobank.com.ua/r/2La9</t>
  </si>
  <si>
    <t>истории на английском языке от кота британского</t>
  </si>
  <si>
    <t>Наш Николаев!</t>
  </si>
  <si>
    <t>12:24</t>
  </si>
  <si>
    <t>https://forum.finance.ua/viewtopic.php?p=4340526#p4340526    wig написав:
 https://forum.finance.ua/viewtopic.php?p=4340514#p4340514    Фантом написав:Спортмастером хвастались меньше, но идиотов в той группе хватает.
Чем там хвастаться, магазин не дешевый, 10% еще не известно, отобьется ли.
И фирменный адидас тож как развлечения идет...</t>
  </si>
  <si>
    <t>guntherhouse777</t>
  </si>
  <si>
    <t>Администрация паблика не несет ответственности за размещенные благотворительные сборы. Перед оказанием помощи</t>
  </si>
  <si>
    <t>Николаев, я люблю тебя! [Типичный Николаев]</t>
  </si>
  <si>
    <t>Рубрика "Бюро находок" публикуется 1 раз в сутки. Нужно разместиться быстрее - goo.gl/PwXSbN подписывайcя и пиши в эту</t>
  </si>
  <si>
    <t>приглашаю Вас в monobank!
Оформите карту, перейдя по персональной ссылке, и Вы получите 50 грн на счет кешбэка!
https://monobank.com.ua/r/2La9
monobank – банк без відділень</t>
  </si>
  <si>
    <t>12:22</t>
  </si>
  <si>
    <t>Чем не нравится этот банк? Люди, которые стоят у основания банка - это бывшие председатели правления Приват банка. Монобанк https://monobank.com.ua/r/43mE реферальная программа позволяет зарабатывать деньги, где вы такие условия еще найдете? Главное - пользоваться услугами банка так, чтобы нравилось!</t>
  </si>
  <si>
    <t>maksshevcovw</t>
  </si>
  <si>
    <t>12:20</t>
  </si>
  <si>
    <t>Продаю Дебетовые карты с полным комплектом
В комплект входит все данные и сим карта.
Поключен смс банкинг и доступ к нему
Ощад без фамилии(лимитированный)-500
Ощад Банк -1600
ПриватБанк Голд-2000
А-банк (дочь Приватбанка)-1700
АльфаБанк Голд -1500
Райфайзен Голд -1600
УкрГазбанк -1100
Таскомбанк -1200
Кредобанк Голд -1600
ФорвардБанк-1100
Пумб Банк -1100
Укрсоцбанк -1100
Отп -1200
ВТб( руская дочка банка БТВ)-1200
Укрсиб Банк (дочка БНП париба Франция )-1900
Монобанк( под заказ )- 1800
Банк Пивденный - 1100
БАНК КРЕДИТ ДНЕПР -1100</t>
  </si>
  <si>
    <t>Diego Simeone</t>
  </si>
  <si>
    <t>DARKNET СНГ</t>
  </si>
  <si>
    <t>12:19</t>
  </si>
  <si>
    <t>https://forum.finance.ua/viewtopic.php?p=4340526#p4340526    wig написав:
 https://forum.finance.ua/viewtopic.php?p=4340514#p4340514    Фантом написав:Спортмастером хвастались меньше, но идиотов в той группе хватает.
Чем там хвастаться, магазин не дешевый, 10% еще не известно, отобьется ли.
Универсал предоставлял не более 200 грн за кешбек и было ровно 5% по категории , тут извините , но афера в кубе с кешбеком и категориями</t>
  </si>
  <si>
    <t>sens</t>
  </si>
  <si>
    <t>12:14</t>
  </si>
  <si>
    <t>Добрий вечір! Хто брав кредит..де можна взяти гроші в кредит до 5 тис.</t>
  </si>
  <si>
    <t>Поки що найкращий по кредитах банк. Без відсотків перші два місяці, надалі 3.2% в місяць.
Кредитний ліміт до 100 тисяч гривень.
https://monobank.com.ua/r/2NwP</t>
  </si>
  <si>
    <t>Міша Савка</t>
  </si>
  <si>
    <t>Людоньки, порадьте!</t>
  </si>
  <si>
    <t>Fintech Band (Monobank)</t>
  </si>
  <si>
    <t>Небольшой хинт по продлению грейса
Скрытый текст (для просмотра нужно зарегистрироваться):
У вас нет прав для просмотра скрытого текста.</t>
  </si>
  <si>
    <t>avnem</t>
  </si>
  <si>
    <t>red-forum.com</t>
  </si>
  <si>
    <t>Red Forum &gt; Финансы и платежные системы</t>
  </si>
  <si>
    <t>12:13</t>
  </si>
  <si>
    <t>Народ, хто знає, в якому банку саме вигідніше брати кредит?</t>
  </si>
  <si>
    <t>12:12</t>
  </si>
  <si>
    <t>05.04.2018 15:24</t>
  </si>
  <si>
    <t>Гайз, а расскажите за Монобанк, стоит заморачиваться?</t>
  </si>
  <si>
    <t>Анатолий (Эхо) Лукин</t>
  </si>
  <si>
    <t>Дві торби неабиякої шмалі</t>
  </si>
  <si>
    <t>Тру. В Европе есть один аспект, из-за которого мы в монобанке завидуем тамошним банкам и финтек-стартапам лютой завистью</t>
  </si>
  <si>
    <t>Тру.
В Европе есть один аспект, из-за которого мы в монобанке завидуем тамошним банкам и финтек-стартапам лютой завистью.
Европейские законы позволяют открыть счет / оформить карту удаленно, через интернет. Главное — провести идентификацию клиента по сути.
А у нас, к сожалению, законодательство все еще требует подписи на бумажных анкетах и заверение копий документов... Это совковое правило никого не защищает, но зато удорожает операционный менеджмент банкам.
Это, в свою очередь, выливается в лишние комиссии для украинцев.
Может, пришло время взять пример с Европы?</t>
  </si>
  <si>
    <t>Miroslav Aleksin</t>
  </si>
  <si>
    <t>12:09</t>
  </si>
  <si>
    <t>Доброго ранку.Скажіть будь ласка ,брали кредиту 7 000 в швидко гроші ,а за дві неділі сказали повернуть 14 000,чи може</t>
  </si>
  <si>
    <t>iGov перейде до Дніпропетровської ОДА - Дубілет</t>
  </si>
  <si>
    <t>Портал державних пслуг iGov перейде на баланс Дніпропетровської обласної державної адміністрації. Про це розповів співзасновник Monobank і натхненник iGov Дмитро Дубілет, передає ЛІГА. 
 «Проект буде розвиватися по всій Україні (незважаючи на те, що виявиться на балансі у регіону). Столиця iGov – це вже давно Дніпро, частково ще Херсон, Львів і Тернопіль. Це чотири області, де проект найкраще розвинений. На жаль, Київ і ряд інших міст пасуть задніх як за кількістю послуг, так і користувачів», – розповів він. 
 Дубілет також поділився, які послуги на сьогодні є найпопулярнішими у сервісі iGov: запит до реєстру транспорту (можна перевірити, які автомобілі закріплені за людиною), довідка про склад сім'ї, субсидії, допомога при народженні дитини та довідка про доходи від податкової; послуга онлайн-реєстрації бізнесу. 
 iGov – це волонтерський проект, який створено в рамках боротьби з корупцією в Україні та вдосконалення бізнес-процесів в державних органах  Стежте за актуальними новинами бізнесу та економіки у наших Telegram-каналах Mind.Live та Mind.UA , а також Viber-чаті</t>
  </si>
  <si>
    <t>mind.ua</t>
  </si>
  <si>
    <t>12:08</t>
  </si>
  <si>
    <t>ЛІГА.net Днепропетровская ОГА получит хороший подарок. Под ее контроль перейдет сервис iGov. И это только одна из</t>
  </si>
  <si>
    <t>ЛІГА.net
Днепропетровская ОГА получит хороший подарок. Под ее контроль перейдет сервис iGov.
И это только одна из новостей, которую рассказал в интервью Дмитрий Дубилет.
Как поделят прибыль Универсал банк и Monobank?
На какой проект Дубилет собирается привлечь 20 млн долларов в Лондоне?
Пойдет ли Дмитрий в политику?
Ответы на эти и другие вопросы ищите здесь:
Предприниматель раскрыл, на каких условиях работают Monobank и Универсал банк. И о глобальных планах - пойдет ли в политику, создаст ли единорога
http://biz.liga.net/all/it/interview/intervyu-s-dmitriem-dubiletom-komu-dostanetsya-igov</t>
  </si>
  <si>
    <t>платонова виктория</t>
  </si>
  <si>
    <t>Для британского аналога monobank уже выбирают название</t>
  </si>
  <si>
    <t>Дмитрий Дубилет раскрыл некоторые планы относительно нового мобильного банка По словам сооснователя monobank Дмитрия Дубилета, для нового мобильного банка в Великобритании уже выбирают название. Об этом он рассказал в интервью LIGA.net. Сообщается, что команда банка склоняется к тому, чтобы использовать какое-нибудь красивое украинское слово. Один из вариантов – Коло, Коло Кард. Другой – Кава. Однако […]
Запись Для британского аналога monobank уже выбирают название https://psm7.com/news/dlya-britanskogo-analoga-monobank-uzhe-vybirayut-nazvanie.html  впервые появилась PaySpace Magazine https://psm7.com .</t>
  </si>
  <si>
    <t>psm7.com</t>
  </si>
  <si>
    <t>12:06</t>
  </si>
  <si>
    <t>В понеділок монобанки працюють, ніхто не в курсі?</t>
  </si>
  <si>
    <t>Вони і в неділю в деяких містах працюють</t>
  </si>
  <si>
    <t>Danylo</t>
  </si>
  <si>
    <t>Monobank unofficial</t>
  </si>
  <si>
    <t>12:05</t>
  </si>
  <si>
    <t>Працюють
Уточніть місто</t>
  </si>
  <si>
    <t>12:01</t>
  </si>
  <si>
    <t>https://forum.finance.ua/viewtopic.php?p=4340514#p4340514    Фантом написав:
Спортмастером хвастались меньше, но идиотов в той группе хватает.
Чем там хвастаться, магазин не дешевый, 10% еще не известно, отобьется ли.</t>
  </si>
  <si>
    <t>wig</t>
  </si>
  <si>
    <t>https://forum.finance.ua/viewtopic.php?p=4340516#p4340516    clientage написав:
Вот-вот. Требую указывать МСС в описании операции!
шоб они убрали возможность играться категориями?
это только других можно обвинять в свинорыльстве.
а сами так и норовят как сделать бы побольше операций без кешбека.</t>
  </si>
  <si>
    <t>mephala</t>
  </si>
  <si>
    <t>11:59</t>
  </si>
  <si>
    <t>Ҝ Ҝ</t>
  </si>
  <si>
    <t>11:54</t>
  </si>
  <si>
    <t>https://forum.finance.ua/viewtopic.php?p=4340481#p4340481    IMPRINTER написав:
 https://forum.finance.ua/viewtopic.php?p=4340479#p4340479    wig написав: https://forum.finance.ua/viewtopic.php?p=4340474#p4340474    IMPRINTER написав:ну это ж горох ... обзывает народ свинорылами, а сам ведет себя так же ... пусть он определиться - он платит за мсс - если так то пусть платит за него при любой ситуации в пользу клиента или в пользу гороха - а так выходит как-то однобоко
У него все формулировки размытые.
Типа, если мы определим, что покупка была не покупкой, а переводом или фишками в казино - комиссия за счет кредитных.
для кешбека указаны четкие мсс за которые он платится
Вот-вот. Требую указывать МСС в описании операции!
Сказочники, а не банкиры</t>
  </si>
  <si>
    <t>clientage</t>
  </si>
  <si>
    <t>В мордокниге, каждый второй хвастался, что Амазон это категория Книги. Естественно это не осталось незамеченным. Странно что так долго продержались.
 https://forum.finance.ua/viewtopic.php?p=4340489#p4340489    wig написав:
 https://forum.finance.ua/viewtopic.php?p=4340488#p4340488    maxim2014 написав:Карабас уже путешествия %)
"Спортмастер", хоть, не пивная?
Спортмастером хвастались меньше, но идиотов в той группе хватает.</t>
  </si>
  <si>
    <t>11:48</t>
  </si>
  <si>
    <t>Монобанк, кстати, хочу попробовать</t>
  </si>
  <si>
    <t>Аmadey</t>
  </si>
  <si>
    <t>2ch /ukr/</t>
  </si>
  <si>
    <t>11:43</t>
  </si>
  <si>
    <t>#monobank</t>
  </si>
  <si>
    <t>instagram.com</t>
  </si>
  <si>
    <t>11:36</t>
  </si>
  <si>
    <t>https://forum.finance.ua/viewtopic.php?p=4340488#p4340488    maxim2014 написав:
Карабас уже путешествия %)
"Спортмастер", хоть, не пивная?</t>
  </si>
  <si>
    <t>11:35</t>
  </si>
  <si>
    <t>Кому достанется iGov. Интервью с Дмитрием Дубилетом На каких условиях работают Monobank и Универсал банк, и о глобальных</t>
  </si>
  <si>
    <t>Кому достанется iGov. Интервью с Дмитрием Дубилетом
На каких условиях работают Monobank и Универсал банк, и о глобальных планах - пойдет ли в политику, создаст ли единорога.
https://bin.ua/top/218871-komu-dostanetsya-igov-intervyu-s-dmitriem.html</t>
  </si>
  <si>
    <t>Анатолий Гулей</t>
  </si>
  <si>
    <t>https://forum.finance.ua/viewtopic.php?p=4340482#p4340482    wig написав:
 https://forum.finance.ua/viewtopic.php?p=4340478#p4340478    alexandr_kysil написав:Тю, уже Амазон не книги??
А то я книги выбрал и жду пока курс бакса опустят, чтобы насвинорылить..
А я спорт и развлекуху. Надеюсь, сюрпризов не будет. или ?
Карабас уже путешествия %)</t>
  </si>
  <si>
    <t>maxim2014</t>
  </si>
  <si>
    <t>11:33</t>
  </si>
  <si>
    <t>Дмитрий Дубилет раскрыл некоторые планы относительно нового мобильного банка По словам сооснователя monobank Дмитрия Дубилета, для нового мобильного банка в Великобритании уже выбирают название. 
 Команда банка склоняется к тому, чтобы использовать какое-нибудь красивое украинское слово. Payspace Magazine &gt;&gt;  сегодня,  11:08  Команда банка склоняется к тому, чтобы использовать какое-нибудь красивое украинское слово. Payspace Magazine &gt;&gt;  сегодня,  11:08</t>
  </si>
  <si>
    <t>Meta</t>
  </si>
  <si>
    <t>news.meta.ua</t>
  </si>
  <si>
    <t>11:29</t>
  </si>
  <si>
    <t>https://forum.finance.ua/viewtopic.php?p=4340478#p4340478    alexandr_kysil написав:
Тю, уже Амазон не книги??
А то я книги выбрал и жду пока курс бакса опустят, чтобы насвинорылить..
А я спорт и развлекуху. Надеюсь, сюрпризов не будет. или ?</t>
  </si>
  <si>
    <t>https://forum.finance.ua/viewtopic.php?p=4340479#p4340479    wig написав:
 https://forum.finance.ua/viewtopic.php?p=4340474#p4340474    IMPRINTER написав:ну это ж горох ... обзывает народ свинорылами, а сам ведет себя так же ... пусть он определиться - он платит за мсс - если так то пусть платит за него при любой ситуации в пользу клиента или в пользу гороха - а так выходит как-то однобоко
У него все формулировки размытые.
Типа, если мы определим, что покупка была не покупкой, а переводом или фишками в казино - комиссия за счет кредитных.
для кешбека указаны четкие мсс за которые он платится</t>
  </si>
  <si>
    <t>IMPRINTER</t>
  </si>
  <si>
    <t>11:27</t>
  </si>
  <si>
    <t>https://forum.finance.ua/viewtopic.php?p=4340474#p4340474    IMPRINTER написав:
ну это ж горох ... обзывает народ свинорылами, а сам ведет себя так же ... пусть он определиться - он платит за мсс - если так то пусть платит за него при любой ситуации в пользу клиента или в пользу гороха - а так выходит как-то однобоко
У него все формулировки размытые.
Типа, если мы определим, что покупка была не покупкой, а переводом или фишками в казино - комиссия за счет кредитных.</t>
  </si>
  <si>
    <t>Тю, уже Амазон не книги??
А то я книги выбрал и жду пока курс бакса опустят, чтобы насвинорылить..</t>
  </si>
  <si>
    <t>alexandr_kysil</t>
  </si>
  <si>
    <t>11:26</t>
  </si>
  <si>
    <t>Дмитрий Дубилет прогнозирует старт аналога Monobank в Великобритании уже этой осенью. В названии предполагается использовать какое то красивое украинское слово. Как вариант: Коло, Коло Кард.... https://psm7.com/news/dlya-britanskogo-analoga-monobank-uzhe-vybirayut-nazvanie.html</t>
  </si>
  <si>
    <t>Дмитрий Дубилет прогнозирует старт аналога Monobank в Великобритании уже этой осенью. В названии предполагается использовать какое то красивое украинское слово. Как вариант: Коло, Коло Кард.
https://psm7.com/news/dlya-britanskogo-analoga-monobank-uzhe-vybirayut-nazvanie.html
Для британского аналога monobank уже выбирают название
Дмитрий Дубилет раскрыл некоторые планы относительно нового мобильного банка</t>
  </si>
  <si>
    <t>11:23</t>
  </si>
  <si>
    <t>https://forum.finance.ua/viewtopic.php?p=4340471#p4340471    wig написав:
 https://forum.finance.ua/viewtopic.php?p=4340456#p4340456    IMPRINTER написав:они ответят что мсс книги но это ошибка поээхтому они исправляют типа зная об ошибке .. с новой почтой так же ж ...
Так можно и продукты исправить. Типа, мы просекли что на кассе вы взяли книжку по акции 7дней.
ну это ж горох ... обзывает народ свинорылами, а сам ведет себя так же ... пусть он определиться - он платит за мсс - если так то пусть платит за него при любой ситуации в пользу клиента или в пользу гороха - а так выходит как-то однобоко</t>
  </si>
  <si>
    <t>11:20</t>
  </si>
  <si>
    <t>https://forum.finance.ua/viewtopic.php?p=4340456#p4340456    IMPRINTER написав:
они ответят что мсс книги но это ошибка поээхтому они исправляют типа зная об ошибке .. с новой почтой так же ж ...
Так можно и продукты исправить. Типа, мы просекли что на кассе вы взяли книжку по акции 7дней.</t>
  </si>
  <si>
    <t>11:19</t>
  </si>
  <si>
    <t>Інвестиції ТА Фінанси Вітаю! Є такий український інвестиційний банкір, Ігор Мазепа. Тут його відповіді на довільні</t>
  </si>
  <si>
    <t>Інвестиції ТА Фінанси
Вітаю!
Є такий український інвестиційний банкір, Ігор Мазепа.
Тут його відповіді на довільні питання молодому бізнесмену.)
https://www.youtube.com/watch?v=DvrcE8KkkCk&amp;feature=youtu.be
 запрошує вас у monobank! Оформіть картку, перейшовши за персональним посиланням, і ви обидва отримаєте по 50 грн на рахунок кешбека!
https://monobank.com.ua/r/qkwQ
Во втором выпуске программы «Большие деньги» Игорь Мазепа, глава инвестиционной компании Concorde Capital, пообещал бизнес-консультацию человеку, задавшему ...
https://www.youtube.com/watch?v=DvrcE8KkkCk&amp;feature=youtu.be</t>
  </si>
  <si>
    <t>Startmaster GROUP</t>
  </si>
  <si>
    <t>11:18</t>
  </si>
  <si>
    <t>Бытовая химия║Побутова хімія - "Калинка"</t>
  </si>
  <si>
    <t>11:16</t>
  </si>
  <si>
    <t>@arturclancy @stanislavskiy Вам достаточно установить наше приложение monobank с AppStore/Play Market, отсканировать документы и получить карту. Присоединяйтесь, у нас круто</t>
  </si>
  <si>
    <t>11:13</t>
  </si>
  <si>
    <t>Команда банка склоняется к тому, чтобы использовать какое-нибудь красивое украинское слово Для британского аналога</t>
  </si>
  <si>
    <t>Команда банка склоняется к тому, чтобы использовать какое-нибудь красивое украинское слово
Для британского аналога monobank уже выбирают название
Дмитрий Дубилет раскрыл некоторые планы относительно нового мобильного банка
https://psm7.com/news/dlya-britanskogo-analoga-monobank-uzhe-vybirayut-nazvanie.html</t>
  </si>
  <si>
    <t>PaySpace Magazine</t>
  </si>
  <si>
    <t>11:12</t>
  </si>
  <si>
    <t>https://l.facebook.com/l.php?u=http%3A%2F%2Fbiz.liga.net%2Fall%2Fit%2Finterview%2Fintervyu-s-dmitriem-dubiletom-komu-dostanetsya-igov&amp;h=ATM9TxTrf6nNS7NOpCuSHgZi7SIrUg2MY_gSGV-8tI-TSLaw2wuuhlYTXGd639mf1Masf9C1uznJ8iw-_KdYn-rYcNpXW7QzLn8LtEwzB5U2QSmjnOdI7BV4qCQ
Интервью с Дмитрием Дубилетом: Кому достанется iGov
Предприниматель раскрыл, на каких условиях работают Monobank и Универсал банк. И о глобальных планах - пойдет ли в политику, создаст ли единорога
http://biz.liga.net/all/it/interview/intervyu-s-dmitriem-dubiletom-komu-dostanetsya-igov</t>
  </si>
  <si>
    <t>Елена Калениченко</t>
  </si>
  <si>
    <t>А как там идет процесс с Mobile-ID, Bank-ID и иже с ними?</t>
  </si>
  <si>
    <t>Anton Kovalev</t>
  </si>
  <si>
    <t>11:11</t>
  </si>
  <si>
    <t>Расшифровка:  "Шанцевые   тулзы"
https://uk.wikipedia.org/wiki/%D0%A8%D0%B0%D0%BD%D1%86%D0%B5%D0%B2%D0%B8%D0%B9_%D1%96%D0%BD%D1%81%D1%82%D1%80%D1%83%D0%BC%D0%B5%D0%BD%D1%82
Шанцевий інструмент — Вікіпедія
Ша́нцевий інструмент (англ. entrenching tool, нім. Schanzzeug) — ручний інструмент, який використовується особовим складом для самоокопування, зведення фортифікаційних ...</t>
  </si>
  <si>
    <t>11:08</t>
  </si>
  <si>
    <t>Для британского аналога monobank уже выбирают название https://goo.gl/Sz7MzN
Для британского аналога monobank уже выбирают название
Дмитрий Дубилет раскрыл некоторые планы относительно нового мобильного банка
https://goo.gl/Sz7MzN</t>
  </si>
  <si>
    <t>11:06</t>
  </si>
  <si>
    <t>Мелочная модернизация укросовка это смешно</t>
  </si>
  <si>
    <t>Vladimir Kaminskiy</t>
  </si>
  <si>
    <t>Oleksandr Kharchenko</t>
  </si>
  <si>
    <t>https://forum.finance.ua/viewtopic.php?p=4340453#p4340453    korovas2 написав:
Arh_ua написав:А чего Амазон в этом месяце не книги, а прочее стало?
Спросите в поддержке мсс на который подменяют амазон. Запишем в справочник по свинорыловедению.
они ответят что мсс книги но это ошибка поээхтому они исправляют типа зная об ошибке .. с новой почтой так же ж ...</t>
  </si>
  <si>
    <t>05.04.2018 15:22</t>
  </si>
  <si>
    <t>Дмитрий Дубилет рассказал в интервью LIGA.net, на каких условиях работают Monobank и Универсал банк, и о глобальных планах - пойдет ли в политику, создаст ли единорога https://goo.gl/4aSCAi
Кому достанется iGov. Интервью с Дмитрием Дубилетом
Предприниматель расcказал, на каких условиях работают Monobank и Универсал банк, и о глобальных планах - пойдет ли в политику, создаст ли единорога
https://goo.gl/4aSCAi</t>
  </si>
  <si>
    <t>ЛІГА.Бизнес</t>
  </si>
  <si>
    <t>Heorhii Yankevych</t>
  </si>
  <si>
    <t>11:05</t>
  </si>
  <si>
    <t>Константин Розум</t>
  </si>
  <si>
    <t>Arh_ua написав:
А чего Амазон в этом месяце не книги, а прочее стало?
Спросите в поддержке мсс на который подменяют амазон. Запишем в справочник по свинорыловедению.</t>
  </si>
  <si>
    <t>korovas2</t>
  </si>
  <si>
    <t>11:04</t>
  </si>
  <si>
    <t>https://forum.finance.ua/viewtopic.php?p=4340448#p4340448    IMPRINTER написав:
книги как и было, но горох спалил и подменяет фактическое мсс по данному мерчантц на выгодную ему категорию .. т.е. когда ошибка в мсс не в вашу пользу - они говорят а что мы можем сделать ... торговая точка так подала, что они не кино, а кафе ... а тут когда в вашу пользу - они делают как выгодно им выпилив конкретного мерчанта.
Это уже превращается в игру кто-кого.</t>
  </si>
  <si>
    <t>Мирослав Грищенко запрошує вас у monobank! Оформіть картку, перейшовши за персональним посиланням, і ви обидва отримаєте по 50 грн на рахунок кешбека!
http://monobank.com.ua/r/RHgu</t>
  </si>
  <si>
    <t>зажеванный парень с центра</t>
  </si>
  <si>
    <t>https://forum.finance.ua/viewtopic.php?p=4340448#p4340448    IMPRINTER написав:
 https://forum.finance.ua/viewtopic.php?p=4340439#p4340439    Arh_ua написав:А чего Амазон в этом месяце не книги, а прочее стало?
книги как и было, но горох спалил и подменяет фактическое мсс по данному мерчантц на выгодную ему категорию .. т.е. когда ошибка в мсс не в вашу пользу - они говорят а что мы можем сделать ... торговая точка так подала, что они не кино, а кафе ... а тут когда в вашу пользу - они делают как выгодно им выпилив конкретного мерчанта.
Так это уже Горох верблюда гонит!  
С кем поведёшьси, таво и наберёшьси</t>
  </si>
  <si>
    <t>11:03</t>
  </si>
  <si>
    <t>Днепропетровская ОГА получит хороший подарок. Под ее контроль перейдет сервис iGov. И это только одна из новостей,</t>
  </si>
  <si>
    <t>Днепропетровская ОГА получит хороший подарок. Под ее контроль перейдет сервис iGov.
И это только одна из новостей, которую рассказал в интервью Дмитрий Дубилет.
Как поделят прибыль Универсал банк и Monobank?
На какой проект Дубилет собирается привлечь 20 млн долларов в Лондоне?
Пойдет ли Дмитрий в политику?
Ответы на эти и другие вопросы ищите здесь:
Интервью с Дмитрием Дубилетом: Кому достанется iGov
Предприниматель раскрыл, на каких условиях работают Monobank и Универсал банк. И о глобальных планах - пойдет ли в политику, создаст ли единорога
http://biz.liga.net/all/it/interview/intervyu-s-dmitriem-dubiletom-komu-dostanetsya-igov</t>
  </si>
  <si>
    <t>11:02</t>
  </si>
  <si>
    <t>Днепропетровская ОГА получит хороший подарок. Под ее контроль перейдет сервис iGov.
И это только одна из новостей, которую рассказал в интервью с Дмитрий Дубилет.
Как поделят прибыль Универсал банк и Monobank?
На какой проект Дубилет собирается привлечь 20 млн долларов в Лондоне?
Пойдет ли Дмитрий в политику?
Ответы на эти и другие вопросы ищите здесь:
Интервью с Дмитрием Дубилетом: Кому достанется iGov
Предприниматель раскрыл, на каких условиях работают Monobank и Универсал банк. И о глобальных планах - пойдет ли в политику, создаст ли единорога
http://biz.liga.net/all/it/interview/intervyu-s-dmitriem-dubiletom-komu-dostanetsya-igov</t>
  </si>
  <si>
    <t>Stanislav Yurasov</t>
  </si>
  <si>
    <t>Мирослав Грищенко запрошує вас у monobank! Оформіть картку, перейшовши за персональним посиланням, і ви обидва отримаєте по 50 грн на рахунок кешбека!
https://monobank.com.ua/r/RHgu</t>
  </si>
  <si>
    <t>@arturclancy @privatbankua monobank в приложении показывает</t>
  </si>
  <si>
    <t>Samuel Vimes</t>
  </si>
  <si>
    <t>11:01</t>
  </si>
  <si>
    <t>https://forum.finance.ua/viewtopic.php?p=4340439#p4340439    Arh_ua написав:
А чего Амазон в этом месяце не книги, а прочее стало?
книги как и было, но горох спалил и подменяет фактическое мсс по данному мерчантц на выгодную ему категорию .. т.е. когда ошибка в мсс не в вашу пользу - они говорят а что мы можем сделать ... торговая точка так подала, что они не кино, а кафе ... а тут когда в вашу пользу - они делают как выгодно им выпилив конкретного мерчанта.</t>
  </si>
  <si>
    <t>10:58</t>
  </si>
  <si>
    <t>Насвинорилили.</t>
  </si>
  <si>
    <t>Кочевник</t>
  </si>
  <si>
    <t>10:56</t>
  </si>
  <si>
    <t>ЛІГА.net</t>
  </si>
  <si>
    <t>10:55</t>
  </si>
  <si>
    <t>А чего Амазон в этом месяце не книги, а прочее стало?</t>
  </si>
  <si>
    <t>Arh_ua</t>
  </si>
  <si>
    <t>Ну да, ну да… монобанк не банк, не все то золото что блестит и т.д. Только вот к «бесплатной» платине подвязывается такой кред. лимит, что даже сама мысль «сбегать в монобанк чисто за патихаткой чтобы сразу снять ее налом» даже в пьяном угаре не придет. Ну да ладно.</t>
  </si>
  <si>
    <t>rusgl</t>
  </si>
  <si>
    <t>10:51</t>
  </si>
  <si>
    <t>"Бери больше, бросай дальше" (С)  из  "европейской"   должностной   инструкции  менеджера   по инновациям  шанцевых тулзов   :)   :
https://www.evry.com/en/news/articles/psd2-the-directive-that-will-change-banking-as-we-know-it/
PSD2 - the directive that will change banking as we know it
2018 is set to be a game-changing year for retail banking. As the PSD2 (Revised Payment Service Directive) becomes implemented, banks’ monopoly on their customer’s account information and payment services is about to disappear. The new EU directive opens the door to any company interested in ...</t>
  </si>
  <si>
    <t>10:45</t>
  </si>
  <si>
    <t>Псевдо-платинум, тоже платинум) все зависит от условий и самого банка. Одна карта у меня для перелетов — там и лаунчзоны и компенсации по задержкам рейсов и страховка на круглую сумму в 180 странах, конвертации валют с минимальной комиссией и еще много-много чего — она 2000грн в год, вторая карта больше используется для расчетов внутри Украины — там упор на кешбеки и подарки при рассчетах и куча плюшек по переводам и прочее. — около 1000грн в год. А вот в бесплатных не знаю какие плюшки есть, может только название — и можно ходить с гордо поднятой головой и всем рассказывать, что у меня платинум)</t>
  </si>
  <si>
    <t>10:40</t>
  </si>
  <si>
    <t>В Монобанку. Там 3,2 % на місяць + до 60 днів пільгового періоду. Собі оформив і не скаржуся: https://www.facebook.com/card.fom.monobank/
Картка від Monobank
Картка у першому мобільному банку України!</t>
  </si>
  <si>
    <t>Максим Петров</t>
  </si>
  <si>
    <t>10:30</t>
  </si>
  <si>
    <t>#monobank - це не реклама, це - порада)) Переходь на тьомну сторону, поки немає черги, як за біометрикою)) @ Kyiv,</t>
  </si>
  <si>
    <t>#monobank - це не реклама, це - порада)) Переходь на тьомну сторону, поки немає черги, як за біометрикою)) @ Kyiv, Ukraine</t>
  </si>
  <si>
    <t>Sergii  Ponomarov</t>
  </si>
  <si>
    <t>10:29</t>
  </si>
  <si>
    <t>#monobank - це не реклама, це - порада)) Переходь на тьомну сторону, поки немає черги, як за біометрикою))</t>
  </si>
  <si>
    <t>10:28</t>
  </si>
  <si>
    <t>&gt;&gt; Ребята, обслуживание платинум карт в разных банках стоит он 800грн в год
Да ладно. Их уже давно бесплатно раздают тем же айтишникам.</t>
  </si>
  <si>
    <t>10:27</t>
  </si>
  <si>
    <t>Монобанк чат описание, вход в личный кабинет. Описание услуг Монобанка личная поддержка. http://monobank.biz/2018/04/04/монобанк-чат/</t>
  </si>
  <si>
    <t>Ivan Simonov</t>
  </si>
  <si>
    <t>Руслан Юсупов</t>
  </si>
  <si>
    <t>10:26</t>
  </si>
  <si>
    <t>Дмитрий Суд Бубенчика, подключайтесь! Это не просто суд над человеком, это схватка с Западным, Европейским способом</t>
  </si>
  <si>
    <t>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</si>
  <si>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Маріна Черкащенко</t>
  </si>
  <si>
    <t>10:25</t>
  </si>
  <si>
    <t>Що таке Monobank? І чому я його рекомендую? 1. Поповнення картки без комісій. 2. Поповнення телефону без комісії. 3.</t>
  </si>
  <si>
    <t>Що таке Monobank? І чому я його рекомендую?
1. Поповнення картки без комісій.
2. Поповнення телефону без комісії.
3. Перекази на будь-яку картку України без комісії.
4. Кешбек на картку від витрат.
5. Оплата комунальних платежів без комісії.
Запитаєте "Як?" - Все просто Monobank це банк без відділеннь, але з неймовірно швидкою службою підтримки.
Якщо говорити з юридичної точки зору, Monobank не є окремою банківською установою. Це — банківський продукт Monobank, розроблений для українського Universal Bank з орієнтацією на активних користувачів смартфонів.
Хочеш отримати 50 гривень на кешбек рахунок одразу - встановлюй додаток за посиланням: https://monobank.com.ua/r/vcLt</t>
  </si>
  <si>
    <t>Покупайка-продавайка Украина.</t>
  </si>
  <si>
    <t>10:23</t>
  </si>
  <si>
    <t>Киевстар предоставляет услугу пополнения счета по номеру 899. И очередной раз сервис "извините сервис не доступен,</t>
  </si>
  <si>
    <t>Самое удобное пополнение - через Monobank :)</t>
  </si>
  <si>
    <t>Kristina Volkova</t>
  </si>
  <si>
    <t>Pavel Kuzmin</t>
  </si>
  <si>
    <t>Бесплатные объявления Ирпень и Буча</t>
  </si>
  <si>
    <t>10:22</t>
  </si>
  <si>
    <t>Барахолка Оголошення безкоштовно Україна | Объявления бесплатно Украина</t>
  </si>
  <si>
    <t>10:21</t>
  </si>
  <si>
    <t>Мonobank</t>
  </si>
  <si>
    <t>Я держатель двух платиновых карт в разных банках, имеющий ряд «плюшек», гораздо более интересных нежели в монобанке. Зарегистрировал карту только ради быстрого кредитного лимита. У всех в жизни бывают ситуации, когда срочно нужно собрать определенную сумму. Как раз не хватало 500уе. Монобанк одобрил лимит кредита в 15000 гривен через час после открытия карты. Все, я со спокойной душой договариваюсь о сделке на вечер, уверенный в том, что сумма собрана. За час до сделки я пытаюсь снять кредит, и что я вижу — кредит 0. Соответственно сделка не состоялась, потенциальный убыток 1000уе. Ладно бы сразу отказали в кредите, я бы нашел деньги, есть куча альтернатив. Но такого, я нигде не встречал — захотели дали, захотели забрали!!! Никому не советую! Ребята, обслуживание платинум карт в разных банках стоит он 800грн в год. Там столько «плюшек», что банк обманщик монобанк и рядом не стоит. Один полет в другую страну или крупная покупка от 1000уе сразу отбивает все расходы на удержание платинума. Всем добра!</t>
  </si>
  <si>
    <t>10:18</t>
  </si>
  <si>
    <t>Краще об оформили картку в Монобанку. Там все зручно, встановлюєш додаток, реєструєшся і потім можеш забирати картку. Кредит без відсотків до кінця наступного місяця, далі 3.2 % на місяць. https://www.facebook.com/card.fom.monobank/
Картка від Monobank
Картка у першому мобільному банку України!</t>
  </si>
  <si>
    <t>10:15</t>
  </si>
  <si>
    <t>«Банк обманщик!!»</t>
  </si>
  <si>
    <t>Подтверждаю все вышеописанное!
Я держатель двух платиновых карт в разных банках, имеющий ряд «плюшек», гораздо более интересных нежели в монобанке. Зарегистрировал карту только ради быстрого кредитного лимита. У всех в жизни бывают ситуации, когда срочно нужно собрать определенную сумму. Как раз не хватало 500уе. Монобанк одобрил лимит кредита в 15000 гривен через час после открытия карты. Все, я со спокойной душой договариваюсь о сделке на вечер, уверенный в том, что сумма собрана. За час до сделки я пытаюсь снять кредит, и что я вижу — кредит 0. Соответственно сделка не состоялась, потенциальный убыток 1000уе. Ладно бы сразу отказали в кредите, я бы нашел деньги, есть куча альтернатив. Но такого, я нигде не встречал — захотели дали, захотели забрали!!! Никому не советую! Ребята, обслуживание платинум карт в разных банках стоит он 800грн в год. Там столько «плюшек», что банк обманщик монобанк и рядом не стоит. Один полет в другую страну или крупная покупка от 1000уе сразу отбивает все расходы на удержание платинума. Всем добра!</t>
  </si>
  <si>
    <t>10:10</t>
  </si>
  <si>
    <t>Зависит от категории товаров. На некоторые (продукты, АЗС, аптеки) кешбек 2-5%, на некоторые (типа кино, книг) 10-20%.</t>
  </si>
  <si>
    <t>Modestas Modestas</t>
  </si>
  <si>
    <t>10:07</t>
  </si>
  <si>
    <t>@exlusin @pshovgenov @privatbankua Вы можете подвязать карту монобанка к карте привита.</t>
  </si>
  <si>
    <t>Oleg poluektov</t>
  </si>
  <si>
    <t>09:56</t>
  </si>
  <si>
    <t>Смиявсь  
Пока что планируем запустить в Британии аналог Monobank в Украине с некоторыми ограничениями. Пока что мы там не будем кредитовать, потому что еще не очень понимаем рынок. Не будем там принимать депозиты. В основном это будет платежная функция. Плюс мы планируем сделать больше акцент на социальных связях, развлечении.
Источник http://biz.liga.net/all/it/interview/intervyu-s-dmitriem-dubiletom-komu-dostanetsya-igov</t>
  </si>
  <si>
    <t>dengon</t>
  </si>
  <si>
    <t>09:55</t>
  </si>
  <si>
    <t>Ви вже чули про Monobank? Якщо ще ні, то саме зараз час познайомитись з першим Online банком України, від колишнього топ менеджменту Приватбанка  Замовляйте зараз та отримайте 50грн. на рахунок кешбеку:
https://monobank.com.ua/r/yrRQ
Monobank - це надійно, зручно та сучасно!
Крім того це:
— Нуль відсотків за комісію по будь-яким операціям.
— Кредитний ліміт до 100тис. грн.
— Відсоткова ставка 3,2%
— Депозити до 15%
— КЕШБЕК ДО 20%
Оформіть безкоштовну картку за персональним посиланням та одразу отримайте 50грн на рахунок кешбеку:
monobank – банк без відділень
Ми не несемо витрати на відділення, і тому можемо дати вам найвигідніші умови!</t>
  </si>
  <si>
    <t>Анюта Дмитриева</t>
  </si>
  <si>
    <t>09:54</t>
  </si>
  <si>
    <t>Керсан Матрошэнко</t>
  </si>
  <si>
    <t>Завантаж офіційний додаток
- Зареєструйся (за посиланням в профілі)
- Отримай безкоштовну карту курьером та 50 гривень на рахунок.
.
.
@prilaga #monobank #monobanks #monobank_party #monobank #monobanksell #monobank_ua #monobank_no #monobank魚町店 #monobankua #monobanks #monobankssaidit #monobankstyle #monobanksdaughter #monobankthebest #prilaga #monobank_kr #monobanks</t>
  </si>
  <si>
    <t>Monobank</t>
  </si>
  <si>
    <t>09:52</t>
  </si>
  <si>
    <t>Егор Орлов</t>
  </si>
  <si>
    <t>09:51</t>
  </si>
  <si>
    <t>Давид Товмасян</t>
  </si>
  <si>
    <t>09:50</t>
  </si>
  <si>
    <t>Дидар Арыстанбек</t>
  </si>
  <si>
    <t>09:48</t>
  </si>
  <si>
    <t>Александра Соловьёва</t>
  </si>
  <si>
    <t>09:42</t>
  </si>
  <si>
    <t>https://forum.finance.ua/viewtopic.php?p=4340263#p4340263    emeta написав:
 https://forum.finance.ua/viewtopic.php?p=4340130#p4340130    Квесторе_поверніться написав: https://forum.finance.ua/viewtopic.php?p=4340107#p4340107    emeta написав:платежи в ОСББ за содержание дома и придомовых территорий можно оплачивать без комиссии кредитными?
Залежить яким макаром будете платити?
А як це робити потрібно?
в разделе другие платежи, коммуналка
забиваю реквизиты..
комиссия 0 грн
а что значит графа "За использование кредитных средств"?
Расклад такой:
В любом разделе оплата коммуналки с кредитных при наличии ранее введенных реквизитов моней - бесплатно.</t>
  </si>
  <si>
    <t>09:37</t>
  </si>
  <si>
    <t>Никита Соловьев но не все пользуются:(</t>
  </si>
  <si>
    <t>Yehor Popovych</t>
  </si>
  <si>
    <t>09:32</t>
  </si>
  <si>
    <t>ПАРАЛЕЛЬНИЙ СВІТ: Крипта vs гроші
Чому гроші не крипат, а крипта не гроші? І чи правильне це питання. Який статус криптовалюти в Україні та світі? Хто має це регулювати? Де купити крипту? Що можна купити за крипут і що вам за це буде? На всі ці питання спробуємо відповісти. Гості Паралельного світу - Емал Бахтарі, Керівник проектів і програм департаменту відкритих ринків НБУ та Михайло Чобанян, засновник агентства KUNA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переказів: +380963302229
Підтримай skrypin.ua криптою: http://skrypin.ua/help/
Bitcoin. Adress: 338E4EYVNBohzLg8zimAHEpL6rsyJADwzU
Litecoin. Adress: MTix58Y6qF9u8PhPhDLBWXB9xMbvMkniMv
Dash. Adress: XbBhf7fBq8UR6uZzib6A9QM3bHuiws21a9
Ethereum. Adress: 0x885069fd66272e2d874b77fd76c44993d00677a2
Підпишись на skrypin.ua у соціальних мережах:
Facebook: https://www.facebook.com/SKRYPIN.UA/
Telegram: https://t.me/SkrypinUA
Twitter: https://twitter.com/SkrypinUa
Instagram: https://www.instagram.com/skrypinua/
Слухай подкасти в iTunes:
skrypin.ua ➡️ https://goo.gl/mvGUgk
UMN  ➡️ https://goo.gl/LUUodu
Danylo Yanevsky  ➡️ https://goo.gl/1QTWGU
Skype для дзвінків у студію: hello@skrypin.ua / Етер Ether
www.skrypin.ua</t>
  </si>
  <si>
    <t>skrypin.ua</t>
  </si>
  <si>
    <t>youtube.com</t>
  </si>
  <si>
    <t>А чё не Понзи?</t>
  </si>
  <si>
    <t>09:30</t>
  </si>
  <si>
    <t>Банк имеет право на это в большинстве стран еврозоны. А дальше уже дело каждого банка, пользоваться или нет.</t>
  </si>
  <si>
    <t>Никита Соловьев</t>
  </si>
  <si>
    <t>09:25</t>
  </si>
  <si>
    <t>Mykola Dzham сами площадки много где регаются. А банки их обслуживающие - отдельно(те что пластик выпускают). Платежная система - не банк</t>
  </si>
  <si>
    <t>09:24</t>
  </si>
  <si>
    <t>Егор Попович это очень старая.</t>
  </si>
  <si>
    <t>Oleksandr Kharchenko все таки не изменяет. Нашёл ту карту - Бейлиз</t>
  </si>
  <si>
    <t>09:22</t>
  </si>
  <si>
    <t>и как скоро мы прийдем к такому?</t>
  </si>
  <si>
    <t>Денис Довженко</t>
  </si>
  <si>
    <t>Мабуть єдина незалежна медіа спільнота в Україні. Обіцяли – публікуємо. Але перед тим, як озвучити фінансовий звіт,</t>
  </si>
  <si>
    <t>Мабуть єдина незалежна медіа спільнота в Україні.
Обіцяли – публікуємо. Але перед тим, як озвучити фінансовий звіт, хочеться показати трохи цікавих цифр. За ще один місяць нашої невпинної роботи:
 вітаємо 5218 нових підписників на ютубі (привіт!)
 тепер нас ще більше! на трьох каналах вже 69+ тисяч фоловерів.
 ого, ви разом переглянули наші відео на 19,5 мільйонів хвилин.
 а це вже понад 1,2 мільйона переглядів всього за місяць.
 не спиняємось!
Така підтримка – надважлива. Навіть один коментар вдячності за програму дає нам сили працювати та розвиватися. Тому лойк-дизлойк-комент-шер :)
До речі про програми, минулого тижня запустили нову — «Паралельний світ» на skrypin.ua. Перший випуск про крипту і блокчейн. Хто вже бачив, напишіть як вам, будемо вдосконалювати. Хто не бачив – запрошуємо до перегляду.
А тепер переходимо до фінансів.
За березень нам вдалося зібрати донейтів на загальну суму: 128 908, 26 гривень.
ПриватБанк: ₴81 515 (від 1053 глядачів)
PayPal: €928 (від 54 глядачів)
IBAN: €94,99 (від 7 глядачів)
monobank: ₴11 019
Мобільні перекази: ₴1964,66
Для орієнтування. Ця сума — це 75% необхідного місячного бюджету skrypin.ua з урахуванням розвитку.
Мету, яку ми поставили – 200 тисяч гривень – ми не досягли. Але це не страшно і мотивує робити наші канали ще цікавішими, аби вам хотілося підтримати нас гривнею-євро-доларом чи навіть криптою! 200 тисяч гривень — це сума, яка б покрила наші витрати та дала б можливість створювати щось нове (і не перезавантажувати комп’ютер під час П’ятничного каналу).
Цього місяця нам переказували навіть 1 гривню, але і ця гривня — важлива. ДЯКУЄМО! А збудувати незалежний медіа-майданчик в Україні таки хочеться! Давайте це зробимо!
Налаштуй щомісячний платіж:
• pb.ua: 5363 5423 0168 4263
• monobank: 5375 4141 0021 8964
• paypal@skrypin.ua
• IBAN: DE11 1005 0000 6014 1157 71
• для збору мобільних переказів: +380963302229
• крипта: http://skrypin.ua/help/
Роман Скрипін, Данило Яневський, Kateryna Suprun, Bohdana Shevchenko, Sasha Eclair, Anton Dubovyk, Kocc Kazymko, with love ❤️</t>
  </si>
  <si>
    <t>Олег Скобло</t>
  </si>
  <si>
    <t>09:18</t>
  </si>
  <si>
    <t>Большинство этих хитрых площадок по конвертации и раздаче пластика регаются в Британии (revolut, ofx, transferwise вроде там же)</t>
  </si>
  <si>
    <t>Mykola Dzham</t>
  </si>
  <si>
    <t>09:17</t>
  </si>
  <si>
    <t>Было бы круто если бы регистрацию ФОПов начать через приложение, что бы это приложение было таким простым как моноб, ФОП24</t>
  </si>
  <si>
    <t>Дмитрий Музычук</t>
  </si>
  <si>
    <t>09:16</t>
  </si>
  <si>
    <t>Ощадбанк - сраный совок, чуть припудренный евроремонтом. Из 4 рабочих мест операционистов сотруднки сидят на двух, при</t>
  </si>
  <si>
    <t>тегни основных воротил банковских услуг в этом посте и посмотри как они будут жопу рвать доказывая преимущества своего банка( я такой цирк уже делал и видел). А лично рекомендую монобанк. пока что я очень доволен)</t>
  </si>
  <si>
    <t>Фёдор Карета</t>
  </si>
  <si>
    <t>Алексей Белонучкин</t>
  </si>
  <si>
    <t>09:15</t>
  </si>
  <si>
    <t>Досить платити за картку! Тепер картка платить вам! Напевно вже багато хто бачив пости про monobank! Від творців Приват</t>
  </si>
  <si>
    <t>Хотя все это развод на лохов. Кредетка в руках идиота это проблемы с возвратом денег для всей семьи</t>
  </si>
  <si>
    <t>Саша Ржавый</t>
  </si>
  <si>
    <t>Блог Анна Левчук</t>
  </si>
  <si>
    <t>09:14</t>
  </si>
  <si>
    <t>Ханна, вопрос тупой шкурки)</t>
  </si>
  <si>
    <t>09:13</t>
  </si>
  <si>
    <t>Таня, тобі платять за те що ти приведено клієнта банку.</t>
  </si>
  <si>
    <t>08:58</t>
  </si>
  <si>
    <t>И сколько надо прогнать через их карту для 400 грн в месяц кэшбека?</t>
  </si>
  <si>
    <t>Александр Шевченко</t>
  </si>
  <si>
    <t>Друзья, вы наверное уже много раз слышали про Monobank? Я тоже слышал, но все время пропускал мимо ушей. А зря, потому</t>
  </si>
  <si>
    <t>Сергій Нагорний ото ж бо й воно це єдина незручність, що не у всіх містах можна забрати картку</t>
  </si>
  <si>
    <t>Maxim Tsvetkov</t>
  </si>
  <si>
    <t>Сергій Нагорний</t>
  </si>
  <si>
    <t>08:50</t>
  </si>
  <si>
    <t>Хай йому грець!</t>
  </si>
  <si>
    <t>Сергей Мавроди)))</t>
  </si>
  <si>
    <t>Andrew Mikhaylovich</t>
  </si>
  <si>
    <t>08:48</t>
  </si>
  <si>
    <t>Сергій Нагорний у вихідні банк не працює )</t>
  </si>
  <si>
    <t>08:47</t>
  </si>
  <si>
    <t>Так можна ж просто зайти у відділення банку і забрати, нашо тобі кур'єр?</t>
  </si>
  <si>
    <t>08:46</t>
  </si>
  <si>
    <t>Кстати о Польше. Сюда не дошла «рекомендация» глобальным банкам, работающим в Эстонии массово закрывать счета нерезидентам из ex-СССР?</t>
  </si>
  <si>
    <t>Сергей Гавриленко</t>
  </si>
  <si>
    <t>08:42</t>
  </si>
  <si>
    <t>Кому достанется iGov. Интервью с Дмитрием Дубилетом</t>
  </si>
  <si>
    <t>Предприниматель расcказал, на каких условиях работают Monobank и Универсал банк, и о глобальных планах - пойдет ли в политику, создаст ли единорога 
 Дмитрий Дубилет, сооснователь Monobank и вдохновитель iGov, приехал на интервью без копейки денег в кармане. Пластиковую карточку своего fintech-детища случайно забыл в ресторане. Зато в том же ресторане позаботился о том, чтобы забытая там другая карточка Monobank вернулась к своему владельцу, лично уведомив его об этом. 
 Бизнесмен признался, что он интроверт, но при этом ведет один из наиболее популярных личных аккаунтов в украинском сегменте Facebook. У него уже более 100 000 подписчиков. Но в избирателей Дмитрий их конвертировать пока не собирается. В ближайшие годы в его амбициях - построить глобальный платежный проект с миллиардной капитализацией. 
 В видеоинтервью с LIGA.club и журналистом LIGA.net Дмитрий Дубилет рассказал, каким будет банк, который он запускает осенью в Британии, как обстоят дела с украинским проектом Monobank, насколько надежен его партнер - Универсал банк. Предприниматель также поведал, под чей контроль в ближайшее время перейдет самый успешный частный украинский проект по e-government. Речь, конечно же, об iGov. 
 Ниже - самые интересные моменты из интервью (в том числе не вошедшие в официальное видео) в виде тезисов и цитат. 
 О месте жительства 
 Я сейчас живу одновременно в трех городах: Днепр, Киев и Лондон. Днепр - потому что у нас там находится офис Fintech band: все разработчики, вся служба поддержки и так далее. В Лондоне мы запускаем новый банк. Поэтому я достаточно много времени провожу там. А в Киеве у меня живет жена. И поэтому я в Киеве обычно по выходным. Я пытаюсь жену периодически вытаскивать в Лондон к себе. Но в основном она в Киеве. У нее здесь бизнес - студия по дизайну интерьеров. 
 О политических амбициях 
 Если суммировать с друзьями, то подписчиков на Facebook уже более 100 000. Я не исключаю того, что в будущем меня может занести в политику. Но в ближайшие несколько лет я занимаюсь бизнесом. Я считаю, что чтобы идти в политику, нужно реализоваться в бизнесе - иметь достаточную финансовую подушку. Чтобы ничего не отвлекало, ничего не провоцировало и так далее. 
 «Если бы вы стали президентом, что бы вы поменяли?» 
 Я верю, что за счет информационных технологий в широком смысле этого слова можно очень круто и много чего изменить в государстве - начиная с той же коррупции как на бытовом, так и на высоком уровне и заканчивая просто эффективностью труда. 
 О переходе iGov на баланс государства 
 iGov - я им занимался, так как ловлю большой кайф от ощущения причастности к крупным полезным проектам, которые помогают людям и приносят им какие-то эмоции. Прибыль - это уже вторично. 
 Государство этим занимается много лет - пытается создать свой портал. У него не получается. Они больше тратят время на какие-то стратегии, синие, зеленые, красные книги, походы на какие-то симпозиумы, либо разговоры о Blockchain. 
 У iGov есть проблема. Он не принадлежит официально государству. И все-таки ряд госорганов колеблются и искренне переживают, что это какая-то непонятная конструкция. 
 Мы договорились, что в следующем месяце (интервью проводилось в конце марта. - Ред.) наконец-то перейдем на баланс к одному из государственных органов - в Днепропетровскую ОГА. Но проект будет развиваться по всей Украине (несмотря на то, что окажется на балансе у региона). Столица iGov - это уже давно Днепр, частично еще Херсон, Львов и Тернополь. Это четыре области, где проект лучше всего развит. К сожалению, Киев и ряд других городов пасут задних как по количеству услуг, так и пользователей. 
 Топ-5 услуг на iGov  : запрос в реестр транспорта (можно проверить, какие автомобили закреплены за человеком), справка о составе семьи, субсидии, помощь при рождении ребенка и справка о доходах от налоговой. И конечно же, услуга онлайн-регистрации бизнеса тоже популярна. 
 Идея от Дубилета: как ускорить выдачу паспортов 
 Сколько уже украинцы страдают, что долго выдают паспорта? Я считаю, что если бы наше государство дало возможность выпускать паспорта аккредитованным компаниям, точно так же, как банки сейчас выпускают платежные карты, то выиграли бы абсолютно все. Государство не заморачивалось бы созданием своих органов, а граждане получили бы предложение, которое соответствует спросу. 
 Про Monobank 
 Тьфу-тьфу, идет очень круто. Все развивается гораздо быстрее, чем мы предполагали даже в самых оптимистических сценариях. Клиенты получают около 2000 карт в день. Возможно, было бы даже больше - можно было бы и 3000. Но у наших сотрудников, которые доставляют карты, пропускная способность несколько ограничена. Банк уже открыл пользователям кредитные лимиты общим объемом в 3 млрд грн. 
 Универсал банк с объемами справляется, так как они были изначально предусмотрены в бизнес-плане. 
 Месяца полтора назад мы немного праздновали в Турции с командой - отмечали стотысячного клиента Monobank. Сейчас у нас 140 000. До конца года, надеюсь, 300 000 возьмем. 
 Как делите доход? 
 У нас с Универсалом договоренность: если он получает от Monobank достаточную прибыль, то делится этой прибылью с нами. Плюс у нас с ним контракт на предоставление текущих услуг. Это отдельные источники дохода. 
 Я рассчитываю, что на операционный ноль мы выйдем уже этим летом. В общей сложности все участники инвестировали в Monobank $2-3 млн. 
 Самое интересное о новом банке в Британии 
 Стартуем в Британии осенью, сейчас верстаем бюджет на миллиона два. Но мы там будем поднимать инвестиции. Сами не сможем. Рассматриваем вариант и seed-инвестиции тоже поднять. Но запустимся и потом проведем раунд A миллионов на 20 долларов. 
 Выбираем название для лондонского банка. Пока что мы склоняемся к тому, чтобы использовать какое-нибудь красивое украинское слово. Один из вариантов - Коло, Коло Кард. Другой - Кава. Но мы еще не провели исследования среди британцев. 
 Конкуренция в Британии будет за тех людей, которые застряли в средневековых банках. Мы рассчитываем до конца года получить 20 000 клиентов. 
 В Британии банк-партнер не понадобится. В отличие от Украины, там достаточно иметь не банковскую, а «облегченную» лицензию. Ее можно получить относительно быстро. Пока что планируем запустить в Британии аналог Monobank в Украине с некоторыми ограничениями. Пока что мы там не будем кредитовать, потому что еще не очень понимаем рынок. Не будем там принимать депозиты. В основном это будет платежная функция. Плюс мы планируем сделать больше акцент на социальных связях, развлечении. Банкинг - он должен быть не только выгодным и удобным, он еще не должен быть скучным. Попытаемся в Англии эту идею тоже продвинуть. 
 И я надеюсь, что в 2019 году мы пойдем в Европу и Америку. Цель - стать глобальной компанией. 
 «Универсал - это проба пера для вас?» 
 Нет, это не проба. Это отдельная история от всей этой заграничной истории. Здесь для нас это не венчур. Мы понимаем, как правильно запустить бизнес по кредитным картам. И мы сделали это вместе с этим банком. 
 «Если вдруг Универсал банка у Сергея Тигипко больше нет...» 
 Monobank является неотъемлемой частью Универсал банка. Это партнерский проект. Поэтому если вдруг, по какой-то причине, с Универсалом что-то случится, то нужно будет создавать новый проект. Подходы могут быть те же, команда может быть та же, технология может быть та же. Но, конечно, это другой бренд, другой проект. Но я не очень люблю в сослагательном наклонении говорить о том, что с Универсалом может что-то случиться. Потому что вообще даже близко нет никаких признаков. Нормативы у него замечательные, ресурсов достаточно, Нацбанк его любит. Поэтому все нормально. 
 О Corezoid (ядро системы, на которой работают сервисы Приват24) 
 Это международная компания, которая создана бывшим сотрудником ПриватБанка Александром Витязем. Сейчас они работают как с украинскими компаниями, так и с зарубежными. Ряд крупных компаний высказали свой предварительный интерес, чтобы купить их. ПриватБанк, по-моему, ничего не платит Coreziod за обслуживание. Возможно, там была оформлена какая-то разовая лицензия. Ну и вообще это какая-то скользкая тема. Тогда были причины, почему она была оформлена как отдельное юрлицо - для того чтобы оно было отделяемое. Но не хочется, чтобы сложилось впечатление, что это был способ после национализации выжимать у кого-то там деньги или что-то в этом духе. Для Привата нет никакого риска. 
 Об отце 
 Человек, который больше всего оказал на меня влияние, в том числе и с точки зрения бизнеса, - это мой отец (Александр Дубилет). Мы с ним каждый день общаемся. Потому что он один из партнеров, с которым мы запустили Monobank, соучредитель. 
 О себе 
 Я интроверт. Мне общение дается не так легко, как хотелось бы многим другим людям. Но в B-to-C бизнесе, когда нам надо оформлять карточки, от того, насколько много я буду общаться с людьми лично, успех не зависит.</t>
  </si>
  <si>
    <t>BIN.ua</t>
  </si>
  <si>
    <t>bin.ua</t>
  </si>
  <si>
    <t>08:41</t>
  </si>
  <si>
    <t>Давно пора! А то как динозавры с этими бумажками</t>
  </si>
  <si>
    <t>Наталия Дёминова</t>
  </si>
  <si>
    <t>Я зробив ще місяць назад, але забрати не можу, так як вибрав місто Львів. Там я буваю переважно на вихідних і це відбувається спонтанно, наприклад в суботу захотів і поіхав. Картку можна забрати і кур'єрською поштою по Львову, але потрібно попередити із за декілька днів до приізду. От так і брожу без карти по світу А взагалі думаю в майбутньому зайде більше електронних банків в Украіну і тарифи ще будуть нижчі</t>
  </si>
  <si>
    <t>08:34</t>
  </si>
  <si>
    <t>Дайте відповідь на коментар вище, від Михайла Доробкіна</t>
  </si>
  <si>
    <t>Serhii Yuryk</t>
  </si>
  <si>
    <t>Eugene Vakulenko вообще не могу понять о какой скорости идёт речь. К примеру перевод с банка Pekao на тот же банк PKO занимает в среднем полтора суток. Если речь идёт об одном банке, к примеру Pekao на Pekao, практически моментально согласен. Но даже тот же Pekao только совсем недавно обновил свой функционал-приложение, оно действительно было удобнее. Перед этим, было как в каменном веке. Единственные 2 польских банка которые действительно заслуживают уважение это Millennium и ING (Millennium наверное на первом месте). Взять тот же Украинский OTP, у них практически моментальные платежи через их сервис, конечно есть комиссия, но он проходит 5-10 мин а не долбанных полутора суток. За Приват и Моно я уже молчу.</t>
  </si>
  <si>
    <t>Valerii Dubykovskyi</t>
  </si>
  <si>
    <t>08:23</t>
  </si>
  <si>
    <t>Дмитрий Дубилет конкретно одного банка, все верно.</t>
  </si>
  <si>
    <t>08:14</t>
  </si>
  <si>
    <t>В догонку к комиссиям Привата. Я почему-то думал, что пополнять наличкой приватовскую карточку по её номеру в</t>
  </si>
  <si>
    <t>В догонку к комиссиям Привата. Я почему-то думал, что пополнять наличкой приватовскую карточку по её номеру в приватовских терминалах, будет бесплатно.
А оно начало брать по 2 гривны за каждую тысячу. Я сначала удивился и продолжил совать в кармашек банкноты. Но потом понял что не понимаю как туда ровную сумму загрузить, если терминал мелкие купюры не берет. Потом плюнул на это дело и остаток перевел в приват24.
Я вот сегодня удивился комиссии, которую взял приват когда я оттуда немного денег забрал на карту монобанка. Потом выяснили что в данном случае взялась минималочка в 5 гривен. Но я ж точно помню что поначалу когда монобанк начинал работать то с приватовских карточек деньги можно было брать и процент не брался.
Так же как сейчас с любыми другими банками украины, кроме привата (как они пишут). Вопрос а как это было и как это перестало работать.
Я так понимаю что монобанк с технической точки зрения делает не перевод средств а проводит оплату карточкой - поэтому и комиссии не было. Но приват как то умудрился именно для монобака сделать исключение в таких операциях чтобы таки брать свою комиссию?
Или как?</t>
  </si>
  <si>
    <t>Sergiy Shychynov</t>
  </si>
  <si>
    <t>08:02</t>
  </si>
  <si>
    <t>OLX я не жулик! Всем доброго времени суток помогите найти человека его завут Евгений Владимирович фамилию не помню! Он</t>
  </si>
  <si>
    <t>Артем Тарасов в киевстаре не могу востановить надо назвать 3ри номера на которые последний раз звонил и когда а я не могу этого вспомнить так-ка этот телефон был не основным! Я с кансультантом киевстар перепробовал все возможние номера и не чо не вышло.
А в приложении монобанк нет номера карты отправителя так как этот перевод был с какогото другова банка а номер карты показывается только если был перевод тоже с монобанка!!! И они не дают информацию о том кто мне делал перевод! Мол банковская тайна!
Бред какойто...(((</t>
  </si>
  <si>
    <t>Женька Романченко</t>
  </si>
  <si>
    <t>Единый Мариуполь</t>
  </si>
  <si>
    <t>07:56</t>
  </si>
  <si>
    <t>В приложении монобанк вы по этому платежу можете заказать выписку на эмейл .В ней будут реквизиты плательщика и получателя.Так же можете связаться с представителями монобанка по вайберу или смс.Либо зайти в отделение Универсалбанка. Платеж же приходил на Вашу карту(какая может быть тогда банковская тайна если вы получатель)</t>
  </si>
  <si>
    <t>Artem  Tarasov</t>
  </si>
  <si>
    <t>07:55</t>
  </si>
  <si>
    <t>Привет друзья !!! Хочу рассказать о самочувствии и настроение Костика. Подходит время к тому, что нужно ехать в Киев на</t>
  </si>
  <si>
    <t>Привет друзья !!!
Хочу рассказать о самочувствии и настроение Костика. Подходит время к тому, что нужно ехать в Киев на пункцию. Так не хочется, от одной только мысли об этом дрожь по коже. Костик все это тоже прекрасно понимает, через что ему нужно пройти. И этот маленький мальчик, в свои 5 лет различает все виды пункций,
 какую позу нужно принять, каким кремом нужно намазать, чтобы не было так больно. Но хоть Костюшка храбрится, я вижу страх и переживание в его маленьких глазках. Билеты на поезд уже куплены,  не хочется, а ехать обязательно нужно 3 апреля нас ждут в больнице.
Во вторник сдавали анализы, Костик эту процедуру проходит с лёгкостью, он не боится проколоть пальчик. А для меня вторник самый страшный день, весь день, как на иголках, пока дождешься результатов анализа. В этот раз показатели немного подскочили и нам назначили принимать 150% химии.
Утром Анечка идёт в школу, Максимка в садик, а у Костика один вопрос, почему мне нельзя в садик с братиком, я тоже хочу. И у меня сердце разрывается объясняя ему, что это все пройдёт, закончится это мучительное лечение. Я рассказываю Косте, как много нас поддерживают людей и помогают, чтобы он мог выздороветь, и вместе с Максимкой и Анечкой ходить в школу.
Спасибо вам больше,за понимание, за поддержку, за материальную помощь. Я  верю, что мы вместе с вами насобираем ту огромную и не подъёмную сумму и наш мальчик будет здоров.
monobank: 5375414100658151
пополнение во всех терминалах приват банка и ibox без комиссии (даже если выводит что с комиссией)
Приват Банка: 5168755111178048
Заиченко Иван Сергеевич
Тел:0953530745
Для переводов из России на карту Сбербанк : 4276380177214827  получатель Бубырь Денис (указывать наименование платежа)</t>
  </si>
  <si>
    <t>Natali  Kolomitc</t>
  </si>
  <si>
    <t>07:54</t>
  </si>
  <si>
    <t>С мамой Кости, Светой, мы познакомились в 2014 году в октябре, в отделении онкогематологии "охматдет", когда моей дочке</t>
  </si>
  <si>
    <t>С мамой Кости, Светой, мы познакомились в 2014 году в октябре, в отделении онкогематологии "охматдет", когда моей дочке поставили практически такой же диагноз как и Косте. Наши детки лечились вместе, жили в одном блоке, капались в  палатах, а большую голубую миску для купания, мы выносили на коридор блока, на ней они вместо стола играли в конструктор и лепили пластилином. Косте тогда было 2 года...
Они выписались раньше нас примерно на 2 месяца, мы попрощались, помню плакала, они уехали и я специально стерла телефон Светы, так я себе придумала... что если я это сделаю, то мы никогда больше не встретимся в таких вот обстоятельствах...
В Фейсбуке есть группа замечательных людей "Поделись своей улыбкой" они помогают деткам которые болеют, именно в этой группе буквально недавно  на фото я узнала Свету, шок, не передать словами, начала искать ее телефон по всем знакомым по нещастью. Написала Валентине Головко, именно она курирует "Поделись своей улыбкой" и через час номер Светы был у меня в сообщении.
Костя тогда проходил 8 блок высокодозной химиотерапии, он в ремиссии(Это когда раковых клеток ни в крови ни в костном мозге не обнаружено).
Родные Кости, сестричка Анечка, братик Максик(Так помню их всегда мама Света называет), папа, бабушки, дедушки, дяди, тети, словом вся огромная семья, ждали с нетерпением возвращения домой. И тут опять шок, нужна ТКМ от неродственного донора, вот такие вот коварные клетки у Кости мутировали, и его костный мозг не сможет обеспечить длительной ремиссии(((.
Объединились все кто хоть чем-то может помочь. Ведь сумма которую выставила клиника огромная-130 000€!!!На сегодняшний момент сделали группы помощи для Кости Вконтакте, Фейсбуке,Инстаграм, организовуют ярмарки,распродажи, словом все, что поможет в сборе средств для Кости!!Нужно спешить, время бежит быстро, Костя восстановиться после терапии и нужно делать ТКМ, а без 100% предоплаты, клиника Костю не примет на лечение.
 Прошу всех кто читает этот пост, помогите, не проходите мимо, давайте не будем жить с пониманием что с нами этого не случиться если мы не будем этих деток замечать!!!Это миф, случиться может с каждым, знаю по себе, папы и мамы которые прошли это или проходят знают о чем я говорю!!
Только в наших взрослых руках эта маленькая безценна жизнь!!!
monobank: 5375414100658151
пополнение во всех терминалах приват банка и ibox без комиссии (даже если выводит что с комиссией)
Приват Банка: 5168755111178048
Заиченко Иван Сергеевич
Тел:0953530745
Для переводов из России на карту Сбербанк : 4276380177214827  получатель Бубырь Денис (указывать наименование платежа)</t>
  </si>
  <si>
    <t>07:50</t>
  </si>
  <si>
    <t>Пойдите в офис киевстар и востановите номер. Это простая и быстрая регистрация.Так же в приложении монобанка вы можете посмотреть все движения по счету.</t>
  </si>
  <si>
    <t>07:08</t>
  </si>
  <si>
    <t>В Европе есть один аспект, из-за которого мы в монобанке завидуем тамошним банкам и финтек-стартапам лютой завистью.
Европейские законы позволяют открыть счет / оформить карту удаленно, через интернет. Главное — провести идентификацию клиента по сути.
А у нас, к сожалению, законодательство все еще требует подписи на бумажных анкетах и заверение копий документов... Это совковое правило никого не защищает, но зато удорожает операционный менеджмент банкам.
Это, в свою очередь, выливается в лишние комиссии для украинцев.
Может, пришло время взять пример с Европы?</t>
  </si>
  <si>
    <t>Петро Гальона</t>
  </si>
  <si>
    <t>07:03</t>
  </si>
  <si>
    <t>Viktor Poroshyn</t>
  </si>
  <si>
    <t>06:59</t>
  </si>
  <si>
    <t>Уважаемые фрилансеры! Объявляем акцию - встречай весну вместе с monobank и Weblancer. Все участники Weblancer, которые</t>
  </si>
  <si>
    <t>Уважаемые фрилансеры! Объявляем акцию - встречай весну вместе с monobank и Weblancer. Все участники  Weblancer, которые откроют карту monobank в период с 01.04.2018 - 31.05.2018 по ссылке https://www.monobank.com.ua/cpa?utm_source=Weblancer&amp;utm_medium=card примут участие в розыгрыше подарков от monobank и Masterсard.
Вас ждут:
рюкзаки - 5шт
PowerBank - 5шт
термочашки - 5шт
футболки - 5шт
C картой monobank Вы сможете:
 переводить средства без номера карточки - для этого отправителю и получателю достаточно потрясти смартфонами;
 получать выгодный кэшбек за покупки - ежемесячно выбирать удобные для вас категории;
 рассчитывайтесь смартфоном - приятно чувствовать себя человеком из будущего с Google Pay;
 оплачивать коммунальные услуги без комиссии - даже за счет кредитных средств;
открывать депозит онлайн - круглосуточно контролируйте начисления процентов по вкладу;
 покупать товары в рассрочку - в любых магазинах мира;
 осуществлять мечты с крутым кредитным лимитом - который можно получить, сидя на диване в домашних тапочках!
  выгодные SWIFT-переводы, разница покупки и продажи валюты в monobank только одна копейка.
Присоединяйтесь к нам - обещаем, впереди много интересного: https://www.monobank.com.ua/cpa?utm_source=Weblancer&amp;utm_medium=card</t>
  </si>
  <si>
    <t>Tatyana Slabieva</t>
  </si>
  <si>
    <t>06:46</t>
  </si>
  <si>
    <t>Монобанк!</t>
  </si>
  <si>
    <t>06:36</t>
  </si>
  <si>
    <t>Vitaliy Ponomarenko а по подробней</t>
  </si>
  <si>
    <t>06:09</t>
  </si>
  <si>
    <t>@pshovgenov @Olegpoluektov @privatbankua Техподдержка монобанка мне сказала, что я не могу получать зарплату на их карточку</t>
  </si>
  <si>
    <t>Andrey</t>
  </si>
  <si>
    <t>05:38</t>
  </si>
  <si>
    <t>Постійна рубрика "Чудеса ПриватБанк" Цього разу Найкраща Найбільша мережа банків України вирішила змусити мене змінити</t>
  </si>
  <si>
    <t>Переходи на Монобанк</t>
  </si>
  <si>
    <t>Phil Mishanin</t>
  </si>
  <si>
    <t>Divuar  LaCroix</t>
  </si>
  <si>
    <t>04:39</t>
  </si>
  <si>
    <t>Це в якому банку це "адская процедура"? Я кращого сервісу ніж в польських банках в плані простоти переказів, швидкості і ціни (стандартні перекази безкоштовні) ще не бачив.</t>
  </si>
  <si>
    <t>Eugene Vakulenko</t>
  </si>
  <si>
    <t>02:26</t>
  </si>
  <si>
    <t>"В Європі" монобанківців посадили б ще за мотивами приватівських пригод</t>
  </si>
  <si>
    <t>Anatoliy Nikolaychuk</t>
  </si>
  <si>
    <t>02:08</t>
  </si>
  <si>
    <t>Дмитрий Суд Бубенчика, подключайтесь! Репост! Подяка за стріми Monobank, Dmitriyev Dmitriy Mikhaylovich, 5375 4141 0005</t>
  </si>
  <si>
    <t>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</si>
  <si>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Александр Косяченко</t>
  </si>
  <si>
    <t>02:00</t>
  </si>
  <si>
    <t>Christina Yefimovich</t>
  </si>
  <si>
    <t>01:57</t>
  </si>
  <si>
    <t>Ничего вас не учит...</t>
  </si>
  <si>
    <t>01:55</t>
  </si>
  <si>
    <t>Анна Козик</t>
  </si>
  <si>
    <t>01:35</t>
  </si>
  <si>
    <t>Европа = понятие размытое. в Англии вот так. или можно и не ходить - но тут развелось невероятное количество мошенников претендующих на отмыв денег. так что лучше сходить разок, зафиксировать свою личность</t>
  </si>
  <si>
    <t>Alla Vetrovcova</t>
  </si>
  <si>
    <t>01:25</t>
  </si>
  <si>
    <t>Все плохо, я знаю. Но это же мотивационный пост!
Оно и так будет  - не скоро, не сразу и не все. И вопрос, если что-то будет.. Путевое и для людей.
Но.. Если даже не мечать! Даже не рассматривать позитивных примеров.. Если даже в призывах и постах, в идеях и требованиях ограничиваться неким "наихудшим арифметическим", "наименьшим общим делителем" от всех существующих в мире примеров.. То о чем тогда вообще говорить кроме "пора валить"? И зачем?</t>
  </si>
  <si>
    <t>Константин Титов</t>
  </si>
  <si>
    <t>01:18</t>
  </si>
  <si>
    <t>Послушай хотя бы Дубинского. Тут нахер не выгодно ничего внедрять. Тут выгодно на 60 процентах банков от государства построить пирамиду. Собирать бабло населения и выдавать пенсии. А погашать иностранными кредитами. Иностранные банки наоборот не заинтересованы брать депозиты. Они заинтересованы выдавать кредиты. Брать дешевые деньги там. И выдавать их нам под наши космические проценты.</t>
  </si>
  <si>
    <t>01:08</t>
  </si>
  <si>
    <t>Друзья! У нас немного непутевая страна, но может один из ее плюсов (который одновременно и минус и плюс) - она молодая, и тут надо все начинать с нуля! (образно говоря). Давайте выискивать крупицы здравого, полезного и приятного в опыте старших, бывалых, обустроенных соседей!
Есть ХОТЬ ГДЕ-НИБУДЬ в ЕС такая фишка - давайте призывать к ее внедрению, это круто! И даже если она ТАМ где-то не совсем такая, давайте внедрять сразу "ТАКУЮ"!
Давайте стремиться вперед и вверх! А не оглядываться на примеры и страны - где какая к этому какашка, минус или другой нюанс.
Поэтому подумав, я всецело одобряю этот пост-призыв и предлагаю видеть в нем МЕЧТУ. И не затюкиваться заблаговременно комплексами нервного подергивания "Ой, а ведь - не везде и не совсем и вообще..". Давайте мечтать, призывать, требовать, пробивать - все самое прогрессивное, здесь и сейчас!
Это куда круче, чем плестись в хвосте цивилизации!</t>
  </si>
  <si>
    <t>01:01</t>
  </si>
  <si>
    <t>Там от банка многое зависит. Где-то можно, где-то нет</t>
  </si>
  <si>
    <t>00:59</t>
  </si>
  <si>
    <t>Я вот что хочу сказать. Просто философское размышление на тему.
У Дубилета там многие отписались по поводу того, что с "европейским аспектом" далеко не все так просто и не в каждой стране, а кое-где и кое в чем с онлайн-банкингом все чуть ли ни хуже, чем у нас. Я тоже об этом слышал. Но все равно поставил лайк!
Давайте так: решим, что именно мы хотим взять из опыта западных стран в первую очередь?!
- свободы
- удобство
- комфорт
- возможности
- права человека
.. и тд?
Мы ведь это хотели бы побыстрей увидеть в нашей стране?
Или мы будем прищуриваться на каждый изъян каждой конкретной страны и говорить " а вот там - вот ЭТО говно и ЭТО вот - европейская практика"? Типа, давайте копирать все подряд. Или даже - давайте копировать все запретительные меры, все косяки, всю жесть, какую только сможем встретить в любой из стран ЕС?
На эту тему уже наплодилось очень много спекуляций. Пример - растаможка авто. Говорят "в ЕС это сложно и  дорого". А когда приводят контрпример Польши, где ЭТО - просто и дешево - начинают отговариваться "нет, нам это не подходит"..
И тд.  и тп..</t>
  </si>
  <si>
    <t>00:56</t>
  </si>
  <si>
    <t>Кстати, получил сегодня карту Монобанка :) Могу сказать, процесс прикольный, приложение очень прикольное. Из минусов и</t>
  </si>
  <si>
    <t>Andrew Shore в ПриватБанке лучше предложение. Если конечно я в свое время правильно посчитал. А если берешь на 12 месяцев, а закрываешь за 9 - то приват вообще намного круче</t>
  </si>
  <si>
    <t>Vadym Rom</t>
  </si>
  <si>
    <t>Andrew Shore</t>
  </si>
  <si>
    <t>00:54</t>
  </si>
  <si>
    <t>Ivan Petrov а при чем тут технари? Дубилет младший - ярко выраженный технарь.</t>
  </si>
  <si>
    <t>Ну на мой скромный взгляд, вот сразу после того как тигипко купил универсал, начались проблемы. Отвал корпоративных и частных клиентов тому подтверждение, и особенно удручил их "апгрейд" системы клиент-банка. Надеюсь, с монобанком хотя бы в плане предоставления сервисов будет лучше)</t>
  </si>
  <si>
    <t>Oleksandr Katykhin</t>
  </si>
  <si>
    <t>В Германии можно не ходить. На камеру фейс и удостоверение личности.</t>
  </si>
  <si>
    <t>Ruslana Hittsyhrat</t>
  </si>
  <si>
    <t>Егор Попович  изменяет.
Но это не изменяет сути поста.</t>
  </si>
  <si>
    <t>00:53</t>
  </si>
  <si>
    <t>Oleksandr Kharchenko пайонир вроде где-то в оффшорных зонах банки свои регает. Если мне память не изменяет (у меня оттуда карта была)</t>
  </si>
  <si>
    <t>А за что PwC дрючат? я напомню - https://lb.ua/economics/2018/04/02/394175_privatbank_podal_isk_protiv_pwc_3.html
Приватбанк подал иск против PwC на $3 млрд
Дело рассмотрит кипрский суд в Никосии.</t>
  </si>
  <si>
    <t>Ivan Petrov</t>
  </si>
  <si>
    <t>00:50</t>
  </si>
  <si>
    <t>Ivan Petrov Ой. С вот этими "150 ярдами" все мягко говоря сложнее, чем пытаются вам рассказать.
Владельцы "Универсалбанка" - Группа «ТАС»
А Дубилет как раз сделал Приват тем, что он есть, в информационном плане. Аналогов не было, и пока нет.</t>
  </si>
  <si>
    <t>00:47</t>
  </si>
  <si>
    <t>Надо считать, но под 1,9% в месяц на всю сумму даже при равномерном погашении на сегодня вроде бы нормальный процент.</t>
  </si>
  <si>
    <t>00:45</t>
  </si>
  <si>
    <t>Основатель монобанка - один из топменеджеров Привата в то время, когда Беня 150 ярдов из Украины намахивал. Я б из принципа не стал им пользоваться.</t>
  </si>
  <si>
    <t>00:44</t>
  </si>
  <si>
    <t>Я не призываю туда депозиты нести.
А кредитка - какие риски-то?</t>
  </si>
  <si>
    <t>00:43</t>
  </si>
  <si>
    <t>Чем?</t>
  </si>
  <si>
    <t>00:40</t>
  </si>
  <si>
    <t>стремный этот монобанк.</t>
  </si>
  <si>
    <t>00:38</t>
  </si>
  <si>
    <t>Mykola Dzham  так он и пишет, что в Украине это сложнее.
Мне нужен пластик. Чего я должен из села ехать в Киев и его получать?</t>
  </si>
  <si>
    <t>00:36</t>
  </si>
  <si>
    <t>Спасибо Yulia Tabachynska за присоединение к МОНОБАНКу в результате которого мы оба получили по 50 грн кэшбэка!
Давайте есть бесплатный сыр вместе ))
Весенний призыв в ряды моей МОНОБАНДЫ продолжается и доступен по этой ссылке https://monobank.com.ua/r/6cR5,
Каждому вступившему в ряды 5 золотых т.е. 50 грн по текущему курсу))
А если серьезно - это первая в Украине крутейшая инновация  в весьма консервативном банковском секторе !
Уж не знаю чего именно задумали отцы основатели Дмитрий Дубилет, Олег Гороховский и Михаил Рогальский, но пока я вижу это так - Монобанк это бренд - зонт,  под котором будут работать банки - партнеры.
Для банков-партнеров выгода очевидна:
- не надо "париться" с инновациями,
- есть приток рост клиентской базы за счет перетока клиентов - активно использующих банковские услуги (что не маловажно) от более консервативных банков,
Для Монобанка:
 - комиссии партнеров за привлечение Клиентов,
- не надо "париться" с НБУ
- не надо убеждать консервативных менеджеров, которые боятся что-либо менять и внедрять инновации).
Короче, почему лично я пользуюсь МОНОБАНКом
1) 0 грн комиссий за любой (я пока не обнаружил обратного) перевод  в т.ч. коммуналка!!!, мобильный, карта / счет друга в другом банке
2) Отправка и авторизация всех интернет платежей одним кликом
3) Простой, дружелюбный интерфейс  мобильного приложения (что собственно и есть Монобанк)
4) Современная и человеческая 24/7 клиентская поддержка в Viber, Telegram, FB Messenger. Но, это не будет интересно тем, кто любить слушать музыкальные заставки кол-центров и знать свой номер в очереди у оператора )
5) Плюшки в виде кеш-бэка (возврат за покупки) от 1% (продукты) до 20% (книги, кино). Но подозреваю что эта лафа скоро закончится ;-)
6) Они все просто крутые ребята! Со всеми с  кем я общался в реале (всего 1 раз!,  когда мне принесли домой карту!) и виртуале (служба поддержки см. выше) - все они на позитиве !
f6mq8.app.goo.gl
https://monobank.com.ua/r/6cR5</t>
  </si>
  <si>
    <t>00:35</t>
  </si>
  <si>
    <t>Mykola Dzham зачем мне в банк идти для сверки? ;))))</t>
  </si>
  <si>
    <t>00:31</t>
  </si>
  <si>
    <t>Oleksandr Kharchenko знать например затем, чтобы понимать банк это или нет, банковский это счёт или нет. И затем, чтобы, например, можно было зарплату туда получать. А пластик все подряд впраивают, это не делает всех сразу банками</t>
  </si>
  <si>
    <t>00:29</t>
  </si>
  <si>
    <t>Oleksandr Kharchenko Спроси у Alla Vetrovcova куда именно идти в части "визита в банк и остаточной сверки".</t>
  </si>
  <si>
    <t>00:28</t>
  </si>
  <si>
    <t>Mykola Dzham когда-то была карта. Зарегился и прислали. На неё можно было платить. И с неё можно было снимать. Многие юзают ее для апворк и тд.
Зачем мне в Украине знать есть ли у моей карты iban - я хз.</t>
  </si>
  <si>
    <t>00:26</t>
  </si>
  <si>
    <t>Oleksandr Kharchenko ты сначала изучи вопрос чем писать, а? Ты там зарегистрироваться? IBAN  счёта есть?</t>
  </si>
  <si>
    <t>00:23</t>
  </si>
  <si>
    <t>Mykola Dzham в пайонир идти? Как? Пешком? ;))))</t>
  </si>
  <si>
    <t>Жидяра и вор, ограбивший всю страну Коломойский (я так не думаю, процитировал мнение большинства приверженцев</t>
  </si>
  <si>
    <t>мы от него утикаем,Костя уже на монобанке, я в середине апреля иду прощаться,как раз действие карточки заканчивается,и не забывай-они оприлюднили и слили данные клиентов в рашу и там идет дело уголовное,державное ж стало</t>
  </si>
  <si>
    <t>Elena  Yavorovskaya</t>
  </si>
  <si>
    <t>Андрій Літвінов</t>
  </si>
  <si>
    <t>00:22</t>
  </si>
  <si>
    <t>Ну вот Вы сразу же и привели пример, опровергающий: в банк таки нужно идти для остаточной сверки</t>
  </si>
  <si>
    <t>00:20</t>
  </si>
  <si>
    <t>Мыкола, я напишу одно слово - Пайонир.</t>
  </si>
  <si>
    <t>00:18</t>
  </si>
  <si>
    <t>ничего не ложное обобщение. тучу бамажек можна он-лайн заполнить, отослать, самому все данные внести в анкету. пришлют по электронке приглашение на время - дату визита в банк и остаточной сверки. ну так это же экономия времени.</t>
  </si>
  <si>
    <t>00:12</t>
  </si>
  <si>
    <t>Требуются ДЕВУШКИ от 16 лет для консультации по краске ТМ
Schwarzkopf&amp;Henkel
Старт проекта: 13.04
Работаем в магазинах Космо, Ева, Простор
График работы: пт с 15:00-20:00
сб и вс с 12:00-17:00
ОПЛАТА 40 грн /час
Для записи пишем в лс "краски"
1) фио
2) номер телефона</t>
  </si>
  <si>
    <t>Julia Blackrich</t>
  </si>
  <si>
    <t>Работа в Киеве  JUST WORK KIEV</t>
  </si>
  <si>
    <t>00:05</t>
  </si>
  <si>
    <t>Я кредитку ПриватБанка не закрывал, а моно вроде кредитную выдал. Я прравда в этом не особо разбираюсь)</t>
  </si>
  <si>
    <t>00:03</t>
  </si>
  <si>
    <t>Это какая-то херня из ложных обобщений. Как живущий "в Европе" говорю</t>
  </si>
  <si>
    <t>04.04.2018</t>
  </si>
  <si>
    <t>23:57</t>
  </si>
  <si>
    <t>Идеальная база для работы #nails мастера!  ⠀  Komilfo Х-base  ⠀  Каучуковая эластичная база, очень удобной</t>
  </si>
  <si>
    <t>Идеальная база для работы #nails мастера!  ⠀
 Komilfo Х-base 
⠀
 Каучуковая эластичная база, очень удобной консистенции, практически повторяет консистенцию Rubber Base, но немного более жидкая. При этом Х-базу нельзя назвать жидкой. ⠀
 Основное отличие от Rubber Base - меньше печет в лампе. ⠀
 По стойкости сравнима с Rubber Base. Подходит для всех типов ногтей. Для очень мягких и слоящихся ногтей выравнивание ногтевой пластины базой является обязательным ⠀
 Идеально самовыравнивается, проста и удобна в работе. Быстрое и комфортное выравнивание
 Можно использовать в качестве базы под гель ⠀
 Прекрасно подходит для укрепления с акриловой пудрой и без ⠀
 Может быть использована для крепления слайдердизайна по принципу - слайдер - база, для перекрытия битого стекла, всех видов втирок, камифубук, для крепления на базу кристалл пикси, страз и объемного декора
 Растворимая ⠀
 Совместима с любыми гель-лаковыми системами
⠀
Цена: ⠀
8мл - 125грн ⠀
15мл - 199грн ⠀
30мл - 299грн ⠀
⠀
 Приобрести можно у нас в интернет-магазине или в магазине при студии (инфо в шапке профиля)⠀
⠀
✅ Бесплатная доставка от 300грн⠀
✅ Скидка от 500грн (до 10%)⠀
✅ Широкий ассортимент в наличии!⠀
⠀
 Доставка | Delivery:⠀
▫️Новая Почта⠀
▫️Укрпошта⠀
▫️Самовывоз⠀
▫️International air delivery ✈️⠀
⠀
 Оплата | Payment:⠀
▫️Наличными / терминал⠀
▫️Наложенным платежом⠀
▫️На карту ПриватБанк или monobank⠀
▫️International debit and credit cards ⠀
(VISA, MasterCard), PayPal, Swift and WU⠀</t>
  </si>
  <si>
    <t>Grace</t>
  </si>
  <si>
    <t>23:56</t>
  </si>
  <si>
    <t>Nail Shop &amp; Manufacture</t>
  </si>
  <si>
    <t>23:55</t>
  </si>
  <si>
    <t>В швейцарском UBS вполне все нормально. Так что не знаю где и что каменный век</t>
  </si>
  <si>
    <t>23:53</t>
  </si>
  <si>
    <t>Jevg Paros а как сотрудник банка сможет её проверить?</t>
  </si>
  <si>
    <t>Рекоммендую открыть совершенно бесплатно карту с возможностью оплат без комиссий! Доставка карты на адрес. Оформите</t>
  </si>
  <si>
    <t>Рекоммендую открыть совершенно бесплатно карту с возможностью оплат без комиссий! Доставка карты на адрес.
Оформите карту, перейдя по персональной ссылке, и вы оба получите по 50 грн на счет кешбэка!
f6mq8.app.goo.gl
https://monobank.com.ua/r/tUJv</t>
  </si>
  <si>
    <t>Игорь Жуда</t>
  </si>
  <si>
    <t>23:52</t>
  </si>
  <si>
    <t>Есть. Не дорого (входит в стоимость пакета)</t>
  </si>
  <si>
    <t>23:46</t>
  </si>
  <si>
    <t>Проверил карту монобанка. Все работает получил кешбека с покупок. С 30 гривен 1 грн. Вернулась на кешбека. Получил 50 гривен кешбека от  https://monobank.com.ua/r/EA6C Отличные условия дали 50000 лимита, приложение и условия отличные. Оформите карту, перейдя по персональной ссылке, и вы оба получите по 50 грн на счет кешбэка!</t>
  </si>
  <si>
    <t>Наташа Кудрявцева</t>
  </si>
  <si>
    <t>23:45</t>
  </si>
  <si>
    <t>Получил 50 гривен кешбека от  Отличные условия дали 50000 лимита, приложение и условия отличные. Оформите карту,</t>
  </si>
  <si>
    <t>Получил 50 гривен кешбека от  https://monobank.com.ua/r/EA6C Отличные условия дали 50000 лимита, приложение и условия отличные. Оформите карту, перейдя по персональной ссылке, и вы оба получите по 50 грн на счет кешбэка! Я уже получил 50 гривен.</t>
  </si>
  <si>
    <t>Наташа Дорогокупля</t>
  </si>
  <si>
    <t>Проверил карту. Все работает получил кешбека с покупок. С 30 гривен 1 грн. Вернулась на кешбека. Получил 50 гривен</t>
  </si>
  <si>
    <t>Проверил карту. Все работает получил кешбека с покупок. С 30 гривен 1 грн. Вернулась на кешбека. Получил 50 гривен кешбека от  https://monobank.com.ua/r/EA6C Отличные условия дали 50000 лимита, приложение и условия отличные. Оформите карту, перейдя по персональной ссылке, и вы оба получите по 50 грн на счет кешбэка!</t>
  </si>
  <si>
    <t>23:43</t>
  </si>
  <si>
    <t>Михаил Кудрявцев</t>
  </si>
  <si>
    <t>Получил 50 гривен кешбека от  https://monobank.com.ua/r/EA6C Отличные условия дали 50000 лимита, приложение и условия отличные. Оформите карту, перейдя по персональной ссылке, и вы оба получите по 50 грн на счет кешбэка! Я уже получил 50 гривен.
monobank – банк без відділень
https://monobank.com.ua/r/EA6C</t>
  </si>
  <si>
    <t>23:29</t>
  </si>
  <si>
    <t>Tetuana Mazur</t>
  </si>
  <si>
    <t>23:24</t>
  </si>
  <si>
    <t>Приятно порадовал сегодня Монобанк. Получил бонус 50 гривен. Спасибо Евгений Селивра (Yevgen Selivra). Вроде и не много, но приятно же :)</t>
  </si>
  <si>
    <t>23:21</t>
  </si>
  <si>
    <t>Дам важный совет - перед оформлением позакрывайте все  кредитки, даже если есть льготный период. МОНОБАНК дает запрос в УБКИ, и они из за кредитки подадут вас как должника и монобанк откажет в кредитной карте, а выдаст дебетную.</t>
  </si>
  <si>
    <t>Юра Клавішко</t>
  </si>
  <si>
    <t>23:12</t>
  </si>
  <si>
    <t>Ігор приглашает вас в monobank! Оформите карту, перейдя по персональной ссылке, и вы оба получите по 50 грн на счет кешбэка!
monobank – банк без відділень
Ми не несемо витрати на відділення, і тому можемо дати вам найвигідніші умови!
https://monobank.com.ua/r/gU74</t>
  </si>
  <si>
    <t>Игорь Хмарский</t>
  </si>
  <si>
    <t>Обіцяли – публікуємо. Але перед тим, як озвучити фінансовий звіт, хочеться показати трохи цікавих цифр. За ще один</t>
  </si>
  <si>
    <t>Обіцяли – публікуємо. Але перед тим, як озвучити фінансовий звіт, хочеться показати трохи цікавих цифр. За ще один місяць нашої невпинної роботи:
 вітаємо 5218 нових підписників на ютубі (привіт!)
 тепер нас ще більше! на трьох каналах вже 69+ тисяч фоловерів.
 ого, ви разом переглянули наші відео на 19,5 мільйонів хвилин.
 а це вже понад 1,2 мільйона переглядів всього за місяць.
 не спиняємось!
Така підтримка – надважлива. Навіть один коментар вдячності за програму дає нам сили працювати та розвиватися. Тому лойк-дизлойк-комент-шер :)
До речі про програми, минулого тижня запустили нову — «Паралельний світ» на skrypin.ua. Перший випуск про крипту і блокчейн. Хто вже бачив, напишіть як вам, будемо вдосконалювати. Хто не бачив – запрошуємо до перегляду.
А тепер переходимо до фінансів.
За березень нам вдалося зібрати донейтів на загальну суму: 128 908, 26 гривень.
ПриватБанк: ₴81 515 (від 1053 глядачів)
PayPal: €928 (від 54 глядачів)
IBAN: €94,99 (від 7 глядачів)
monobank: ₴11 019
Мобільні перекази: ₴1964,66
Для орієнтування. Ця сума — це 75% необхідного місячного бюджету skrypin.ua з урахуванням розвитку.
Мету, яку ми поставили – 200 тисяч гривень – ми не досягли. Але це не страшно і мотивує робити наші канали ще цікавішими, аби вам хотілося підтримати нас гривнею-євро-доларом чи навіть криптою! 200 тисяч гривень — це сума, яка б покрила наші витрати та дала б можливість створювати щось нове (і не перезавантажувати комп’ютер під час П’ятничного каналу).
Цього місяця нам переказували навіть 1 гривню, але і ця гривня — важлива. ДЯКУЄМО! А збудувати незалежний медіа-майданчик в Україні таки хочеться! Давайте це зробимо!
Налаштуй щомісячний платіж:
• pb.ua: 5363 5423 0168 4263
• monobank: 5375 4141 0021 8964
• paypal@skrypin.ua
• IBAN: DE11 1005 0000 6014 1157 71
• для збору мобільних переказів: +380963302229
• крипта: http://skrypin.ua/help/
Роман Скрипін, Данило Яневський, Kateryna Suprun, Bohdana Shevchenko, Sasha Eclair, Anton Dubovyk, Kocc Kazymko, with love ❤️</t>
  </si>
  <si>
    <t>Геннадій Мількович</t>
  </si>
  <si>
    <t>23:11</t>
  </si>
  <si>
    <t>Ирина Якушева Колотушко</t>
  </si>
  <si>
    <t>23:04</t>
  </si>
  <si>
    <t>https://forum.finance.ua/viewtopic.php?p=4340130#p4340130    Квесторе_поверніться написав:
 https://forum.finance.ua/viewtopic.php?p=4340107#p4340107    emeta написав:платежи в ОСББ за содержание дома и придомовых территорий можно оплачивать без комиссии кредитными?
Залежить яким макаром будете платити?
А як це робити потрібно?
в разделе другие платежи, коммуналка
забиваю реквизиты..
комиссия 0 грн
а что значит графа "За использование кредитных средств"?</t>
  </si>
  <si>
    <t>emeta</t>
  </si>
  <si>
    <t>23:03</t>
  </si>
  <si>
    <t>При замене двух карт GOLD ПРИВАТБАНКА , у которых срок действия заканчивается, сотрудник банка начал требовать оригинал</t>
  </si>
  <si>
    <t>Я отказался от Привата, когда они отказали выдать дополнительно карту для выплат. Теперь использую карту Монобанка, гораздо интереснее.</t>
  </si>
  <si>
    <t>Александр Филатов</t>
  </si>
  <si>
    <t>Андрей Черный</t>
  </si>
  <si>
    <t>Константин Вертоградский</t>
  </si>
  <si>
    <t>Ольга БОГОМОЛЕЦЬ на 16+ YouTube: Donate  ОЛЬГА БОГОМОЛЕЦЬ | 16+</t>
  </si>
  <si>
    <t>Сподобався ефір? Підтримай skrypin.ua фінансово:
• pb.ua: 5363 5423 0168 4263 ➡️ https://goo.gl/is9RSo
• monobank: 5375 4141 0021 8964
• paypal@skrypin.ua
• IBAN: DE11 1005 0000 6014 1157 71
• для збору мобільних переказів: +380963302229
• крипта: http://skrypin.ua/help
Дякуємо за кожен внесок! ❤️
Переводы денег с карты на карту. Перевести деньги на карточку онлайн
Если Вам нужно перечислить деньги с карты на карту онлайн или сделать перевод денег на карточку в короткие сроки,воспользуйтесь сервисом банковских переводов ...</t>
  </si>
  <si>
    <t>А вот это точно надо сделать, а не пасочки посылать. Дорогой фейсбук. Когда ты, может быть случайно, бываешь на нуле, ты</t>
  </si>
  <si>
    <t>А вот это точно надо сделать, а не пасочки посылать.
Дорогой фейсбук. Когда ты, может быть случайно, бываешь на нуле, ты понимаешь, что наши парни курят.
Нет, есть те, кто аватарит, в том числе и по наркоте.  Но, в основном, люди курят. Они наливают в металлическую чашку растворимый кофеец. Они выходят из блиндажа и смотрят в подаренный вами теплик, запаривают присланный вами кофе, и закуривают. Причем закуривают лютую жесть. Дичку какую-то. Убитое говно а-ля папиросы «Ватра».
Покурить на фронте - это как приготовить вкусное мясо в сытом тылу. Это расслабон. Это когда ты ждешь российские грады, но тебе надо быть в форме. Тебе надо н-а-б-л-ю-д-а-т-ь.
Так вот. Так вот.
Большинство наших хлопцев курят лютую дрочь из-за технических причин доставки и экономии. Впереди - Пасха. Сами пасочки для ребят передаст суперсильный волонтёрский фактор наших женщин. На мясо я собираю три раза в год.
Отже.
Будь ласка. Давайте нашвыряем денег на три позиции: сиги, сладкая шипучка и шоколадные батончики.
Хотелось бы накрыть всех друзей из ЗСУ: ДШВ из 79, арту из «Донбасс-Украина», и морпехов из 36.
5363 5423 0708 8857 - карта привата
5375 4141 0050 5386 - карта монобанка.
4790 7010 0214 9655 -  карта ощадбанка
По вопросам денежных переводов из-за рубежа обращаться в личку.
Дякую за відгук. Та дякую за репост.
Слава Україні.</t>
  </si>
  <si>
    <t>Людмила Копейка</t>
  </si>
  <si>
    <t>23:00</t>
  </si>
  <si>
    <t>Если покупать с карточки монобанка остров за 1000000 $ то на кешбэк можно купить Украину</t>
  </si>
  <si>
    <t>Ant</t>
  </si>
  <si>
    <t>22:59</t>
  </si>
  <si>
    <t>Мы рады объявить о старте совместной акции «monовесна» с Monobank! Для участия в акции необходимо лишь оформить карту</t>
  </si>
  <si>
    <t>Мы рады объявить о старте совместной акции «monовесна» с Monobank!
Для участия в акции необходимо лишь оформить карту monobank. Вы гарантировано становитесь участником розыгрыша полезных призов от monobank.
Подарки пользователям Freelancehunt:
— 5 вместительных рюкзаков;
— 5 мощных PowerBank;
— 5 функциональных термокружек;
— 5 стильных футболок.
Ознакомиться подробнее с условиями проведения акции и зарегистрироваться можно на промо-странице — https://freelancehunt.com/promo/monospring</t>
  </si>
  <si>
    <t>Александр Куланов</t>
  </si>
  <si>
    <t>22:57</t>
  </si>
  <si>
    <t>Валерий Костоглодов</t>
  </si>
  <si>
    <t>22:51</t>
  </si>
  <si>
    <t>Карточка от Monobank выглядит настолько круто, и упакована как Apple, что ею хочется обладать. Дизайн-мышление</t>
  </si>
  <si>
    <t>в них раніше був один загальний % повернення коштів
умовно 3%
а потім вони розвели % кешбеку за користування кредитними коштами і власними, де фактично залишили той % який був раніше щодо кредитних коштів, а щодо власних зменшили
допустимо, ти як я, плануєш її юзати як додаткову
щоб закинути на неї кошти треба шукати термінал відповідний (щоб без комісії)
якщо будеш через приват (в тому числі приват24) скидати, то будеш платити комісію
фактично якщо кидаєш не через термінал, то втрачаєш кошти, а кешбек компенсує ту комісію</t>
  </si>
  <si>
    <t>Вадим Годованюк</t>
  </si>
  <si>
    <t>Irina Gorbunova</t>
  </si>
  <si>
    <t>22:48</t>
  </si>
  <si>
    <t>Перекличка Алихархов ХФ</t>
  </si>
  <si>
    <t>когда лимит кешбека в монобанке поднимут выше 500 грн - поговорим.</t>
  </si>
  <si>
    <t>LV10</t>
  </si>
  <si>
    <t>22:44</t>
  </si>
  <si>
    <t>Кому карту monobank с 50 грн на счету? Оформление и обслуживание бесплатно. Налетай: monobank – банк без відділень Ми</t>
  </si>
  <si>
    <t>500 - налоги</t>
  </si>
  <si>
    <t>Nickolay Bazhenov</t>
  </si>
  <si>
    <t>Anton Ivanov</t>
  </si>
  <si>
    <t>22:30</t>
  </si>
  <si>
    <t>Это заслуга банков (конкретно — одного банка), а не законов</t>
  </si>
  <si>
    <t>22:29</t>
  </si>
  <si>
    <t>Марія Барложецька</t>
  </si>
  <si>
    <t>22:20</t>
  </si>
  <si>
    <t>Вооот, ты напомнил мне написать в монобанк с напоминанием докрутить то, что держит в привате) Оплата коммуналки не запрашивает показания счетчиков)</t>
  </si>
  <si>
    <t>Yevgeny Zhytnyuk</t>
  </si>
  <si>
    <t>22:11</t>
  </si>
  <si>
    <t>Viktor Тактические очки "DAISY C5" (replica) 306 грн  Наш сайт - Обеспечивают надежную защиту глаз от фронтальных</t>
  </si>
  <si>
    <t>Viktor
Тактические очки "DAISY C5"  (replica)
306 грн 
Наш сайт - https://ma-market.prom.ua/p657045645-takticheskie-ochki-daisy.html
Обеспечивают надежную защиту глаз от фронтальных и боковых угроз.
Практичны в активных видах спорта.
Оправа изготовлена из прочного ацетата
Материал линз - поликарбонат, 2мм.
В комплект входит:
-четыре пары сменных линз
-страховочный ремень
-мягкий чехол.
Очки поставляются в защитном кейсе.
☎️ 073422-02-36
☎️ 097257-72-82
Оплата товара наложенным платежом или на карту Приват Банка / Монобанк.
https://www.facebook.com/groups/1941446979474544/permalink/2098303667122207/?sale_post_id=2098303667122207</t>
  </si>
  <si>
    <t>Алик Полинин</t>
  </si>
  <si>
    <t>22:05</t>
  </si>
  <si>
    <t>А в чем проблема получить подписи на бумажных анкетах и заверение копий документов, если для получения карты у клиента банка есть две опции от Монобанка (я думаю, что речь в посте идет именно о нем): "доставка карты сотрудником банка или заберите ее в ближайшей точке выдачи". И в том, и в том случае клиент может поставить подписи на необходимых документах. Все равно при передаче карты должна быть произведена аутентификация клиента. Нет подписей, нет карты. Более того, незнаю как сейчас, а в недавнем славном прошлом при оформлении зарплатной карточки в Привате, в обязательном порядке клиенту "втюхивали" универсальную кредитную карту. Заметьте, не требуя даже согласия на ее открытие. По моему мнению, проблема имеет надуманный характер.</t>
  </si>
  <si>
    <t>Oleg Sokhan</t>
  </si>
  <si>
    <t>22:00</t>
  </si>
  <si>
    <t>Ви вже чули про Monobank? Якщо ще ні, то саме зараз час познайомитись з першим Online банком України, від колишнього топ</t>
  </si>
  <si>
    <t>Хорош реклама от админа. А можно я тоже реф ссылку кину?</t>
  </si>
  <si>
    <t>Сергей Старчик</t>
  </si>
  <si>
    <t>Барахолка Кременчуг | Доска объявлений</t>
  </si>
  <si>
    <t>21:58</t>
  </si>
  <si>
    <t>Власик Украинес</t>
  </si>
  <si>
    <t>21:57</t>
  </si>
  <si>
    <t>Могу сказать что В Украине все намного проще... в той же Польше чтобы сделать перевод между банками это прям адская процедура, у нас же все в 3 клика, что делает просто не забываемо удобным пользование банком. Так что, мы должны гордится за то, что имеем уже</t>
  </si>
  <si>
    <t>Yuriy Laptiy это да, согласен. В Европе даже не на резидентность больше смотрят, а на связь со страной, и, имея свою компанию в стране, являясь ее учредителем, ведя даже бизнес в ней, не всегда это является банкам подтверждением наличия связи со страной.</t>
  </si>
  <si>
    <t>21:51</t>
  </si>
  <si>
    <t>Определение резидентности в Украине в законодательстве очень расходится. Банки руководствуются Декретом 93 года О валюте. Таможня инструкциями своими. Но никто не хочет руководствоваться статьями Налогового кодекса.</t>
  </si>
  <si>
    <t>Yuriy Laptiy</t>
  </si>
  <si>
    <t>21:44</t>
  </si>
  <si>
    <t>наивные вы...вот-вот возьми да подай вам,регистрацию и идентификацию по любому "левому"документу. Сказано ай ди или паспорт книжка.  И все.. .остальным -давай досвидания. ..</t>
  </si>
  <si>
    <t>21:40</t>
  </si>
  <si>
    <t>Проблеммы--многих наших институций (банковских и не только),что в своей деятельности они руководствуются не сводом законов,а сводом инструкций (и в частности инструкция от 2003 года об открытии счетов). И они пойдут на что угодно лишь бы выполнить инструкцию...</t>
  </si>
  <si>
    <t>21:37</t>
  </si>
  <si>
    <t>Валентина Возна</t>
  </si>
  <si>
    <t>21:30</t>
  </si>
  <si>
    <t>Да...</t>
  </si>
  <si>
    <t>Yuriy Pometun</t>
  </si>
  <si>
    <t>21:27</t>
  </si>
  <si>
    <t>Напрасно:)</t>
  </si>
  <si>
    <t>Oleksii Loveikin</t>
  </si>
  <si>
    <t>Да, но хотя бы с мани грем начать) ато мне з-за границы не могут деньги сьросить</t>
  </si>
  <si>
    <t>Valera VZ</t>
  </si>
  <si>
    <t>21:21</t>
  </si>
  <si>
    <t>Ага, особенно в Германии....  У нас с этим всё гораздо проще!!!</t>
  </si>
  <si>
    <t>Stanislav Met</t>
  </si>
  <si>
    <t>Заробітчани їдуть на батьківщину. Скільки заробила баба Наташа в Італії за 2 місяці Реєструйся по цій силці і отримаєш</t>
  </si>
  <si>
    <t>Заробітчани їдуть на батьківщину. Скільки заробила баба Наташа в Італії за 2 місяці
Реєструйся по цій силці і отримаєш 50 грн: https://monobank.com.ua/r/oFd6 Інстаграм: https://www.instagram.com/x6andre/ Канал Віталіка: ...
https://www.youtube.com/attribution_link?a=JD7JVE1ykb0&amp;u=/watch?v=4gi50AfHfyE&amp;feature=share</t>
  </si>
  <si>
    <t>Ира Ижаковская</t>
  </si>
  <si>
    <t>21:17</t>
  </si>
  <si>
    <t>приходите в терминал?)</t>
  </si>
  <si>
    <t>Vlad Koval</t>
  </si>
  <si>
    <t>21:16</t>
  </si>
  <si>
    <t>И paypal... и applepay)</t>
  </si>
  <si>
    <t>Сергей Карпенко</t>
  </si>
  <si>
    <t>21:05</t>
  </si>
  <si>
    <t>Не знаю, как в Европе, но могу рассказать об Африке. Открыл счёт в FNB за 30 минут, пришёл с нужными документами (2 бумаги, work permit и подтверждение места проживания). Дальше - все онлайн, включая свифт платежи. Онлайн апп - осваивается интуитивно, количество опций впечатляет.
Улетая, ради интереса оформил карту Монобанка. Угадайте, что мне рассказал сотрудник универсалбанка в ответ на мои вопросы (как перебросить денег семье, и все такое)?</t>
  </si>
  <si>
    <t>21:00</t>
  </si>
  <si>
    <t>Inna Ringis</t>
  </si>
  <si>
    <t>mihasik
Может, стрельнет. То же такси, вдруг скидочные купоны закончатся а ехать - надо.</t>
  </si>
  <si>
    <t>20:59</t>
  </si>
  <si>
    <t>верно</t>
  </si>
  <si>
    <t>Ivan Prokhorenko</t>
  </si>
  <si>
    <t>20:55</t>
  </si>
  <si>
    <t>https://forum.finance.ua/viewtopic.php?p=4340134#p4340134    wig написав:
 https://forum.finance.ua/viewtopic.php?p=4340120#p4340120    Skiw написав:В супермаркете много чего под видом продуктов можно взять. 3%+4% у меня в марте было а теперь 3%+3% - обжираться придется
3% грязными не интересно совсем. Лучше экзот категорию выбрать.
Если пользоваться,то да, а если нет~смысл?!</t>
  </si>
  <si>
    <t>mihasik</t>
  </si>
  <si>
    <t>20:53</t>
  </si>
  <si>
    <t>Дізнатися про те, що ти переміг в університетській олімпіаді з агрономії - done. Стримати свої емоції дізнавшись, що</t>
  </si>
  <si>
    <t>Олег Загородній Маск запускає безпровідний інтернет з космосу по всьому світу, додаток monobank повністю замінює будь який банк та візити у відділення, Google розвиває штучний інтелект, а Аваль "дбає про своїх клієнтів" в такий інноваційний час.</t>
  </si>
  <si>
    <t>Mykhailo Shuban</t>
  </si>
  <si>
    <t>Oleg  Zagorodniy</t>
  </si>
  <si>
    <t>А как же ЭЦП,  BankID,  MobileID?</t>
  </si>
  <si>
    <t>Morgunov  Oleg</t>
  </si>
  <si>
    <t>20:52</t>
  </si>
  <si>
    <t>Ще не розібралась з кешбеком, а чому не правильно? Згорають кошти накопичені, чи що?</t>
  </si>
  <si>
    <t>мені треба чийсь номер, в кого монобанку нема і знати чи смс прийде)</t>
  </si>
  <si>
    <t>Ростислав Лойко</t>
  </si>
  <si>
    <t>Львівський чатик  аррр</t>
  </si>
  <si>
    <t>20:51</t>
  </si>
  <si>
    <t>вони трохи не правильно політику свою ведуть з кешбеком, як по мені
відкрив картку, місяць покористувався, змінилася політика, картка втратила актуальність</t>
  </si>
  <si>
    <t>20:49</t>
  </si>
  <si>
    <t>в кого нема монобанку</t>
  </si>
  <si>
    <t>20:48</t>
  </si>
  <si>
    <t>Ох, в Европе очень от страны зависит, как и в придвинутом Гонконге только с личным присутствием</t>
  </si>
  <si>
    <t>Tatyana Misiyuk</t>
  </si>
  <si>
    <t>20:43</t>
  </si>
  <si>
    <t>20:40</t>
  </si>
  <si>
    <t>Приложение супер вообще!</t>
  </si>
  <si>
    <t>20:39</t>
  </si>
  <si>
    <t>Мы долго сопротивлялись</t>
  </si>
  <si>
    <t>И удобная самое главное</t>
  </si>
  <si>
    <t>20:38</t>
  </si>
  <si>
    <t>Славко Зюк</t>
  </si>
  <si>
    <t>У меня такая одна из первых:)</t>
  </si>
  <si>
    <t>20:37</t>
  </si>
  <si>
    <t>Ревизор На своих тренингах по личным финансам я всегда показываю, как можно эффективно использовать современные</t>
  </si>
  <si>
    <t>Ревизор
На своих тренингах по личным финансам я всегда показываю, как можно эффективно использовать современные финансовые инструменты, такие как кредитные карты,  чтобы не только не платить  проценты по кредитам,  но еще   и зарабатывать на этом.  Естественно я рекомендую только то, что проверил лично.  Последние карты, которые я  оформил для такой проверки – это были карты Монобанка и банка ПУМБ.   Сегодня я расскажу о своем опыте пользования  кредитной картой банка ПУМБ,  на которую   я,  повелся из-за рекламы, которая гласила,   что снятие наличных с кредитной карты под «0».
Я, конечно же, не поверил  в это,   но заявку на сайте  на всякий случай оставил. Буквально через несколько минут мне перезвонили и рассказали про эту супер-карту.  На мой вопрос о снятии наличных под «0»,  консультант ничуть не смущаясь сказал,  мол «все правильно  все под «0».   И хотя я привык оплачивать все покупки картой,   но наличные иногда нужны.  Я сказал, что мне такая карта подходит   и мне назначили встречу,  в ближайшем отделении банка.  В банке тоже было все мило и красиво,   пока не дали мне на подпись договор. Как банковский работник со стажем я точно знаю,   что в договоре нужно читать только то, что написано мелким шрифтом,   именно там заложено все «кидалово».    И, вот оно, ЧУДО!  Мелким шрифтом я разглядел,  какие-то страховки. Честно говоря,   мне казалось, что таким  «разводняком» банки уже давно не занимаются,  но оказалось,  что я ошибался. Моя природная скромность и некоторые основы воспитания,  не  позволили  мне бросить  карту в лицо  менеджеру.
Все на что меня хватило  - это задать вопрос: «А где же обещанное снятие под «0»?
- Как Вас уже консультировали ранее,   банк не берет комиссию за снятие наличных,  а только страховку  жизни  в размере 5,6%.
- Во-первых, мне не говорили о страховке,  а во-вторых,  с каких это пор операции по снятию наличных  стали угрожать моей жизни?
- Ну это у нас программа такая,  обязательно нужна страховка,  оправдывался  менеджер банка.
Расстроенный  тем, что мне пришлось потратить  полчаса своей жизни, я ушел,   из банка, точно   для себя решив,  что картой  пользоваться не буду.   Но на этом мое общение с банком не закончилось.  В течении следующего месяца   мне активно названивали сотрудники банка и предлагали,  как можно скорее воспользоваться картой,  хотя бы на 50 грн.  Опять  таки, моя скромность сыграла со мной злую шутку,   вместо того, чтобы послать их куда подальше,   я все-таки оплатил в магазине товар на сумму примерно 300 грн,   в расчете на то, что у меня 60 дней бесплатный период.  Но каково же было мое удивление,   когда при сверке баланса я недосчитался еще почти 4 грн.   Открыв свой договор я еще раз прочитал   и обнаружил,  что даже при оплате в торговой сети,  с меня взимается страховка 1,2%. Такого я точно не ожидал,   т.к.  на операциях  в торговой сети даже ПриватБанк не додумывался  зарабатывать деньги с пользователей карт (только с торговца по договору эквайринга).  На этом мое пользование кредитной картой банка ПУМБ   было   ОКОНЧАТЕЛЬНО ЗАВЕРШЕНО!
В общем,  говоря словами классиков: «Ревизор не рекомендует пользоваться кредитными картами банка ПУМБ.  На рынке есть предложения более интересные».
Но это  уже будут совсем другие  истории…….</t>
  </si>
  <si>
    <t>Михайло Гінкул</t>
  </si>
  <si>
    <t>Bitcoinstar</t>
  </si>
  <si>
    <t>EST</t>
  </si>
  <si>
    <t>20:36</t>
  </si>
  <si>
    <t>20:34</t>
  </si>
  <si>
    <t>Олексій Лисков</t>
  </si>
  <si>
    <t>ГО "НР "Перший спалах м.Бердянськ"</t>
  </si>
  <si>
    <t>Олексій Миколайович Лисков</t>
  </si>
  <si>
    <t>20:30</t>
  </si>
  <si>
    <t>Это не больно)</t>
  </si>
  <si>
    <t>20:29</t>
  </si>
  <si>
    <t>все, меня проверяют))</t>
  </si>
  <si>
    <t>Oxana  Alexandrova</t>
  </si>
  <si>
    <t>20:23</t>
  </si>
  <si>
    <t>Спасибо! Очень спас кредитній лимт, за 2 часа получила карту! Скоро Приватбанк канет в небытие) Monobank предоставляет</t>
  </si>
  <si>
    <t>Спасибо! Очень спас кредитній лимт, за 2 часа получила карту!
Скоро Приватбанк канет в небытие) Monobank предоставляет халявные 50 гривен всем, кто зарегистрируется по ссылке и получит карту с офигенным кешбеком (да-да, 400-500 гривен в месяц можно получать просто рассчитываясь картой). А, ну и мобильный пополняется без комиссии)
Собственно, ссылка: https://goo.gl/1WxnVL</t>
  </si>
  <si>
    <t>Ira Lisunova</t>
  </si>
  <si>
    <t>20:21</t>
  </si>
  <si>
    <t>Оформите карту, перейдя по ссылке, и получите 50 грн на счет кешбэка!
https://monobank.com.ua/r/5dvF
#money #bank #bonus #акции #monobank</t>
  </si>
  <si>
    <t>Игорь Белов</t>
  </si>
  <si>
    <t>20:12</t>
  </si>
  <si>
    <t>качаю :)</t>
  </si>
  <si>
    <t>emeta написав:
платежи в ОСББ за содержание дома и придомовых территорий можно оплачивать без комиссии кредитными?
В марте новые добавили - мой жек появился</t>
  </si>
  <si>
    <t>Інкогніто</t>
  </si>
  <si>
    <t>20:10</t>
  </si>
  <si>
    <t>:)</t>
  </si>
  <si>
    <t>Все мы на него давно смотрим)</t>
  </si>
  <si>
    <t>20:09</t>
  </si>
  <si>
    <t>кстати, давно на него смотрю</t>
  </si>
  <si>
    <t>Ви вже чули про Monobank? Якщо ще ні, то саме зараз час познайомитись з першим Online банком України, від колишнього топ менеджменту Приватбанка  Замовляйте зараз та отримайте 50грн. на рахунок кешбеку: https://monobank.com.ua/r/xfuA
Monobank - це надійно, зручно та сучасно!
Крім того це:
— Нуль відсотків за комісію по будь-яким операціям.
— Кредитний ліміт до 100тис. грн.
— Відсоткова ставка 3,2%
— Депозити до 15%
— КЕШБЕК ДО 20%
Оформіть безкоштовну картку за персональним посиланням та одразу отримайте 50грн на рахунок кешбеку: https://monobank.com.ua/r/xfuA
monobank – банк без відділень
https://monobank.com.ua/r/xfuA</t>
  </si>
  <si>
    <t>20:00</t>
  </si>
  <si>
    <t>Дякую, друже) Дали 15 тисяч кредитного ліміту на картку одразу) Зараз доречно, ти знаєш) Рекомендую усім!) Скоро</t>
  </si>
  <si>
    <t>Дякую, друже) Дали 15 тисяч кредитного ліміту на картку одразу) Зараз доречно, ти знаєш) Рекомендую усім!)
Скоро Приватбанк канет в небытие) Monobank предоставляет халявные 50 гривен всем, кто зарегистрируется по ссылке и получит карту с офигенным кешбеком (да-да, 400-500 гривен в месяц можно получать просто рассчитываясь картой). А, ну и мобильный пополняется без комиссии)
Собственно, ссылка: https://goo.gl/1WxnVL</t>
  </si>
  <si>
    <t>Nazar Makaev</t>
  </si>
  <si>
    <t>19:45</t>
  </si>
  <si>
    <t>Yurii Symonenko</t>
  </si>
  <si>
    <t>Ще б пак, з початку 2018</t>
  </si>
  <si>
    <t>Dima Stoliarenko</t>
  </si>
  <si>
    <t>Артём Осипюк</t>
  </si>
  <si>
    <t>19:44</t>
  </si>
  <si>
    <t>Dima Stoliarenko, ти також вже з монобанком?)</t>
  </si>
  <si>
    <t>19:43</t>
  </si>
  <si>
    <t>не )
разве что идентификация, как в каких-то сайтах знакомств (там дают задание что-то типа попрыгайте на правой ноге или покажите 7 пальцев, что-то такое)
но всё равно, лучше не надо )</t>
  </si>
  <si>
    <t>Nikolay  Oleynik</t>
  </si>
  <si>
    <t>19:42</t>
  </si>
  <si>
    <t>Так, реально</t>
  </si>
  <si>
    <t>Запрошую вас у monobank! Оформіть картку, перейшовши за персональним посиланням, і ми обидва отримаємо по 50 грн на рахунок кешбека!
monobank – банк без відділень
https://monobank.com.ua/r/Vwdm</t>
  </si>
  <si>
    <t>Маша Постова</t>
  </si>
  <si>
    <t>19:41</t>
  </si>
  <si>
    <t>Суд Бубенчика, подключайтесь! Репост! Подяка за стріми Monobank, Dmitriyev Dmitriy Mikhaylovich, 5375 4141 0005 0599.</t>
  </si>
  <si>
    <t>Закарпаття  з вами</t>
  </si>
  <si>
    <t>Михайло Янчик</t>
  </si>
  <si>
    <t>Дмитрий Дмитриев</t>
  </si>
  <si>
    <t>E Awards 2018: украинцы выбирают лучших в сфере e-commerce. Проголосовать может каждый</t>
  </si>
  <si>
    <t>Стартовал второй этап Всеукраинского конкурса интернет-проектов Ukrainian E-Commerce Awards 2018, в котором потребители выберут лучших игроков рынка e-commerce. 
 Читайте українською 
 В этом году заявки на участие в конкурсе подали более 300 интернет-проектов, работающих в Украине. В 2017 году желающих побороться за награды было около 200. Это свидетельствует о том, что сфера электронной коммерции в Украине на стадии активного роста: участников становится больше, e-commerce становится более профессиональным и активным. 
 По правилам конкурса, 30 членов экспертного жюри — авторитетные деятели украинского e-commerce бизнеса, инвестиционных и сервисных компаний — сформировали short-листы номинантов для голосования потребителей.  «Выбор Потребителей»  Согласно решению жюри, в блоке  «Выбор Потребителей»  в номинации  «Лучший Маркетплейс/Прайс-агрегатор/Электронная доска объявлений/Аукцион»  представлены:  rozetka.com.ua  kabanchik.ua  hotline.ua  olx.ua  В номинации  «Лучший интернет-супермаркет»  представлены:  modnakasta.ua  leboutique.com  comfy.ua  В номинации  «Лучший Интернет-магазин»  представлены:  в категории  «Бытовая техника, компьютерная техника и электроника»  :  filter.ua  secur.ua  gstore.ua  в категории  «Одежда, обувь и аксессуары»  :  intertop.ua  helen-marlen.com  answear.ua  в категории  «Косметика, парфюмерия, товары для здоровья»  :  eva.ua  jerelia.com  medmag.ua  в категории  «Товары для детей (одежда, обувь, игрушки и т.д.)»  :  pampik.com  bi.ua  garnamama.com.ua  в категории  «Украшения и подарки (ювелирные изделия, часы, бижутерия, зажигалки и т.п.)»  :  gold.ua  zlato.ua  e-pandora.com.ua  в категории  «Книги (в печатном виде), мультимедийный контент»  :  yakaboo.ua  kniga.biz.ua  book24.ua  в категории  «Строительные материалы, мебель, товары для дома и сада»  :  mebelok.com  matla-flowers.com.ua  promenu.ua  в категории  «Автотовары»  :  avtozvuk.ua  asiaparts.com.ua  avto-sila.com.ua  в категории  «Товары для спорта и туризма (тренажеры, велосипеды, ролики, коньки, палатки и т.п.)»  :  veliki.com.ua  sportmarket.ua  terraincognita.com.ua  в категории  «Билеты (транспорт, путешествия, развлекательные и другие мероприятия), купоны на получение услуг»  :  karabas.com  bodo.ua  multiplex.ua  в категории  «Страховые продукты»  :  giraf.ua  luckywood.ua  uniqua.com  в категории  «Другие категории товаров»  :  tk.ua  ua.mofy.life  vchehle.ua  mywatershop.com  В номинации  «Лучшее мобильное приложение»  в категории  «Лучшее мобильное приложение торгового e-commerce проекта»  представлены:  rozetka.com.ua  olx.ua  modnakasta.ua  в категории  «Лучшее мобильное приложение сервисного В2С проекта»  представлены:  monobank.com.ua  privat24.ua  novaposhta.ua  В номинации  «Лучший форвардер (покупка/доставка из зарубежных интернет-магазинов)»  представлены:  npshopping.com  mymeest.com  unitrade-express.com  Традиционно проголосовать за свой любимый интернет-магазин, сервис или приложение может каждый, кто хоть раз пользовался услугами номинантов. Для этого достаточно заполнить короткую анкету http://rating.e-awards.com.ua/ 
 Открытое голосование потребителей продлится со 02.04 по 16.04. 
 Параллельно с голосованием потребителей, команда жюри и интернет-проекты, подавшие заявки на участие в конкурсе, определят  «Лучший В2В продукт для  e  -commerce»  . Этот блок представлен тремя номинациями —  «Лучший логистический продукт для  e  -commerce», «Лучший финансовый продукт для e-commerce», «Полезные решения (все, что не относится к логистике и финансам)»  . 
 Также участники конкурса и экспертное жюри определят одного игрока рынка e-commerce, который сделал существенный прорыв в 2017 году, благодаря реализации новой идеи, сервиса и т.д., за что и одержит победу в номинации  «Прорыв года»  , и совместными усилиями выберут победителя в номинации  «Человека года в Е-commerce»  . 
 «Конкурс E-Awards 2018 является отображением развития украинского рынка электронной торговли, который ежегодно приобретает все больший вес. Появляются новые направления, новые услуги и продукты. И наш конкурс позволяет потребителям их объективно оценить,  —  подчеркивает CEO Ukrainian E-commerce Expert  Артем Рудько  . —  В 2017 году в голосовании приняли участие более 20 000 потребителей, а номинанты конкурса активно боролись за награды. Надеемся, что в этом году потребители будут не менее активно голосовать за своих любимцев». 
 Торжественная церемония награждения победителей Ukrainian E-Commerce Awards 2018 состоится 20 апреля в Концерт-холле FREEDOM. 
 Подробнее о правилах конкурса, номинациях и голосовании читайте на сайте премии https://www.e-awards.com.ua/ 
 Генеральный партнер E-Awards 2018:  Нова пошта 
 Международный логистический партнер:  Meest Group 
 Партнеры:  Deloitte, UAPAY, Document.Online, 25h8.com, OMNIC, Weblium, FRESHPR 
 Страховой партнер:  UNIQA 
 Авто партнер:  Renault 
 Генеральный телепартнер  : 5 канал 
 Генеральный радио-партнер:  Радио «Голос Столицы» 
 Генеральный новостной партнер:  ИА «Интерфакс-Украина» 
 FinTech-медиа партнер:  PaySpace Magazine 
 Информационные и медиа-партнеры:  Logist.FM, Ukrainian Retail Association, Price.UA, Liga.net, Деловая столица, LB.ua, Минфин, Finance.ua, Международный институт бизнеса, ХОРОШОП, 8P, СУП 
 Справка  .  Ukrainian E-Commerce Awards  — независимая профессиональная премия, присуждаемая лучшим игрокам рынка e-commerce. Главная цель награды – создать силами отраслевого сообщества знак отличия, гарантирующий конечному покупателю надежность услуги и безопасность покупки. А также выделить неординарные достижения игроков e-commerce в Украине за последний год.</t>
  </si>
  <si>
    <t>rau.ua</t>
  </si>
  <si>
    <t>Дмитрий, скажИте, в монобанке планируется (так же, как это было в привате, а потом убрали) привлечение в кредитованию денег физ особ?</t>
  </si>
  <si>
    <t>Tatyana  Kramnik</t>
  </si>
  <si>
    <t>19:38</t>
  </si>
  <si>
    <t>Всьо проплачено депутатам з другої фракції</t>
  </si>
  <si>
    <t>19:37</t>
  </si>
  <si>
    <t>Volodymyr Fedoriv</t>
  </si>
  <si>
    <t>Привет всім хочу сказати що поки ця влада буде українців будуть обкрадати</t>
  </si>
  <si>
    <t>19:36</t>
  </si>
  <si>
    <t>Мода | Барахолка Кременчуг</t>
  </si>
  <si>
    <t>19:35</t>
  </si>
  <si>
    <t>Продолжение истории с говносервисом #portmone. Спустя 36 часов после проведения операции портмоне всё-таки решается</t>
  </si>
  <si>
    <t>Monobank в помощь</t>
  </si>
  <si>
    <t>Yeugen Logvinovski</t>
  </si>
  <si>
    <t>Віталій Литвин</t>
  </si>
  <si>
    <t>Типичный Кременчуг | Типовий Кременчук</t>
  </si>
  <si>
    <t>#Петропавловская Борщаговка #Чайки.Нова дошка оголошень</t>
  </si>
  <si>
    <t>19:34</t>
  </si>
  <si>
    <t>Восени 2017 року ми розпочали випуск крутезних карток World Black Edition ⭐ Справжня «чорна» картка надає багато</t>
  </si>
  <si>
    <t>Алексей, приватизировать черные карты это такое, все давно придумано до нас.
Бонус Плюс скорее аналог кэшбэка.
И, кстати, кэшбэк это тоже не откровение от Монобанка. То что парни запустили его на украинском рынке, сделали модным, и теперь эту услугу естественно будут внедрять и остальные - то от клиентов заслуженное спасибо.</t>
  </si>
  <si>
    <t>Александр Рябец</t>
  </si>
  <si>
    <t>ПриватБанк</t>
  </si>
  <si>
    <t>19:32</t>
  </si>
  <si>
    <t>Неоднократно рекомендовали обзавестись монобанком. Кто в курсе, что за зверь？Лучше/хуже ли Привата и чем？ Monobank Ми</t>
  </si>
  <si>
    <t>спасибо</t>
  </si>
  <si>
    <t>Marina Petukhova</t>
  </si>
  <si>
    <t>19:28</t>
  </si>
  <si>
    <t>https://forum.finance.ua/viewtopic.php?p=4340120#p4340120    Skiw написав:
В супермаркете много чего под видом продуктов можно взять. 3%+4% у меня в марте было а теперь 3%+3% - обжираться придется
3% грязными не интересно совсем. Лучше экзот категорию выбрать.</t>
  </si>
  <si>
    <t>19:27</t>
  </si>
  <si>
    <t>19:24</t>
  </si>
  <si>
    <t>Алексей Кудрявцев</t>
  </si>
  <si>
    <t>19:18</t>
  </si>
  <si>
    <t>https://forum.finance.ua/viewtopic.php?p=4340107#p4340107    emeta написав:
платежи в ОСББ за содержание дома и придомовых территорий можно оплачивать без комиссии кредитными?
Залежить яким макаром будете платити?</t>
  </si>
  <si>
    <t>Квесторе_поверніться</t>
  </si>
  <si>
    <t>приглашает вас в monobank! Оформите карту, перейдя по персональной ссылке, и вы оба получите по 50 грн на счет кешбэка!
https://monobank.com.ua/r/p1SJ</t>
  </si>
  <si>
    <t>Богдан Реученко</t>
  </si>
  <si>
    <t>19:10</t>
  </si>
  <si>
    <t>18:58</t>
  </si>
  <si>
    <t>Друзья, регистрируемся и получаем кеш бек от покупок. приглашает вас в monobank! Оформите карту, перейдя по</t>
  </si>
  <si>
    <t>Друзья, регистрируемся и получаем кеш бек от покупок.
 приглашает вас в monobank! Оформите карту, перейдя по персональной ссылке, и вы оба получите по 50 грн на счет кешбэка!
f6mq8.app.goo.gl
https://monobank.com.ua/r/ZQ2K</t>
  </si>
  <si>
    <t>Слава Савельев</t>
  </si>
  <si>
    <t>18:56</t>
  </si>
  <si>
    <t>https://forum.finance.ua/viewtopic.php?p=4340031#p4340031    mihasik написав:
 https://forum.finance.ua/viewtopic.php?p=4339415#p4339415    alexandr_kysil написав: https://forum.finance.ua/viewtopic.php?p=4339385#p4339385    mihasik написав:это о том, что КБ по продуктам 30 вместо 40 с 1к это куда менее приятно, чем 190 вместо 200 за книги
и я с этим согласен. в этом месяце кб выгребаю книгами, продукты тарю с б5
У меня таких сумм на продукты нет,чтоб 1% сильно играл роль.
А так,у меня 3%, у жены 4% можно и с одной скупаться 
В супермаркете много чего под видом продуктов можно взять. 3%+4% у меня в марте было а теперь 3%+3% - обжираться придется</t>
  </si>
  <si>
    <t>Skiw</t>
  </si>
  <si>
    <t>18:55</t>
  </si>
  <si>
    <t>Проверил карту монобанка. Все работает получил кешбека с покупок. С 30 гривен 1 грн. Вернулась на кешбека. Получил 50</t>
  </si>
  <si>
    <t>Проверил карту монобанка. Все работает получил кешбека с покупок. С 30 гривен 1 грн. Вернулась на кешбека. Получил 50 гривен кешбека от  https://monobank.com.ua/r/EA6C Отличные условия дали 50000 лимита, приложение и условия отличные. Оформите карту, перейдя по персональной ссылке, и вы оба получите по 50 грн на счет кешбэка!
https://www.instagram.com/p/BhJ3_TyAKQY/?igref=okru
Проверил карту монобанка. Все работает получил кешбека с покупок. С 30 гривен 1 грн. Вернулась на кешбека. Получил 50 гривен кешбека от  https://monobank.com.ua/r/EA6C Отличные условия дали 50000 лимита, приложение и условия отличные. Оформите карту, перейдя по персональной ссылке, и вы оба получите по 50 грн на счет кешбэка!</t>
  </si>
  <si>
    <t>ok.ru</t>
  </si>
  <si>
    <t>18:54</t>
  </si>
  <si>
    <t>Проверил карту монобанка. Все работает получил кешбека с покупок. С 30 гривен 1 грн. Вернулась… https://www.instagram.com/p/BhJ3_TyAKQY/</t>
  </si>
  <si>
    <t>18:52</t>
  </si>
  <si>
    <t>18:39</t>
  </si>
  <si>
    <t>платежи в ОСББ за содержание дома и придомовых территорий можно оплачивать без комиссии кредитными?</t>
  </si>
  <si>
    <t>18:35</t>
  </si>
  <si>
    <t>Норвегія хоч і не зовсім Європа, але там бюрократії в банківькій сфері ой як багато)</t>
  </si>
  <si>
    <t>Тарас Буга</t>
  </si>
  <si>
    <t>18:33</t>
  </si>
  <si>
    <t>Европейские банки - это центр бюрократизма и идиотизма. Во многих из них без личного присутствия клиента в отделении счет даже не откроют. Точнее может и откроют, но распоряжаться поступившими средствами нельзя. А новомодное требование европейских банков предоставлять для открытия расчетного (!!!) счета бизнес план? Наша банковская система при всех ее недостатках всё-такие на голову выше Европы. Нормальный европейский банкинг закончился в марте 2013 года.</t>
  </si>
  <si>
    <t>Victor Soroka</t>
  </si>
  <si>
    <t>18:32</t>
  </si>
  <si>
    <t>1. Скачал приложение Monzo
2. Верифицировался в нем через e-mail
3. След.шаг - ввод ФИО, даты рождения, адрес
4. Приложение поставило меня в лист ожидания.
С учётом того, что банк открывает счета только резидентам GB , ожидаю отказ в открытии счета.
По политике конфиденциальности банк  имеет доступ к моим фото, записям, аккаунту и всему,что есть в телефоне.
Возможно, что при подтверждении в электронной базе данных, моей идент. информации проводится дополнительная верификация для подтверждения, что инициатором обращения является именно лицо, временное в приложение.
Для реализации такого в Украине, я бы начал с Законодательных инициатив, которые бы позволили по клиентам, имеющим паспорта с эл.данными (отпечаток пальца, фото, ФИО...) проводить удалённую идентификацию.
Так же нужен доступ банков к эл.реестру паспортов и мест проживания...</t>
  </si>
  <si>
    <t>Vladimir Korenjak</t>
  </si>
  <si>
    <t>18:31</t>
  </si>
  <si>
    <t>Алексей Вертегел</t>
  </si>
  <si>
    <t>18:27</t>
  </si>
  <si>
    <t>Не розумію як так можна заробляти цікаво</t>
  </si>
  <si>
    <t>Таня Боднар</t>
  </si>
  <si>
    <t>18:26</t>
  </si>
  <si>
    <t>Здравствуйте, Денис. Меня зовут Виталий. Поддержка Монобанк.
 Ранее обращались к нам с вопросом, что у вас при проведении платежа с карты, которая сохранена, при введении любых цифр CVV кода платеж проходит.
Мы уточнили информацию, ввод CVV кода запрашивает именно банк эмитент.
Даже если код указан неверный, платеж может проходить, так как банк эмитент разрешает проведения этого перевода.
Возможно даже банк Агриколь не проводит распознавание CVV в данной ситуации. При первом добавлении карты в приложение CVV вы указали правильный, видимо из-за этого банк эмитент и не проводит распознавание по CVV.</t>
  </si>
  <si>
    <t>Denis Nechepurenko</t>
  </si>
  <si>
    <t>18:24</t>
  </si>
  <si>
    <t>Aleksander  Fomenko</t>
  </si>
  <si>
    <t>18:21</t>
  </si>
  <si>
    <t>Отримала вчора картку від Monobank, особливо подобається дизайн, в мобільному додатку все просто і прикольно! Наклейки в</t>
  </si>
  <si>
    <t>Користуємось одні з перших , чудовий і простий в користуванні monobank , і кашбек завжди радує.</t>
  </si>
  <si>
    <t>Хомутовська Світлана</t>
  </si>
  <si>
    <t>Ілона Мурзова</t>
  </si>
  <si>
    <t>18:20</t>
  </si>
  <si>
    <t>Николай приглашает вас в monobank! Оформите карту, перейдя по персональной ссылке, и вы оба получите по 50 грн на счет кешбэка!
https://monobank.com.ua/r/e7zA
monobank – банк без відділень</t>
  </si>
  <si>
    <t>Николай Котов</t>
  </si>
  <si>
    <t>18:17</t>
  </si>
  <si>
    <t>Людмила Сусло</t>
  </si>
  <si>
    <t>Ярослав Козуб</t>
  </si>
  <si>
    <t>18:15</t>
  </si>
  <si>
    <t>Друзі хто яким банком користується для обслуговування свого ФОП ??? Які переваги і недоліки ?</t>
  </si>
  <si>
    <t>Також пропоную картку monobank я працюю вул  Федьковича 51</t>
  </si>
  <si>
    <t>Святослав Возний</t>
  </si>
  <si>
    <t>Тарас Косар</t>
  </si>
  <si>
    <t>18:13</t>
  </si>
  <si>
    <t>Jevg Paros паспорт Украины</t>
  </si>
  <si>
    <t>Ed Montevideo</t>
  </si>
  <si>
    <t>18:08</t>
  </si>
  <si>
    <t>Налаштував щомісячний платіж в 15 грн. Для мене не помітно, а для проекту вже щось. Надайте і ви підтримку громадському</t>
  </si>
  <si>
    <t>Налаштував щомісячний платіж в 15 грн. Для мене не помітно, а для проекту вже щось. Надайте і ви підтримку громадському ЗМІ, може у Романа і вийде створити щось гарне. Я в це вірю :)
Обіцяли – публікуємо. Але перед тим, як озвучити фінансовий звіт, хочеться показати трохи цікавих цифр. За ще один місяць нашої невпинної роботи:
 вітаємо 5218 нових підписників на ютубі (привіт!)
 тепер нас ще більше! на трьох каналах вже 69+ тисяч фоловерів.
 ого, ви разом переглянули наші відео на 19,5 мільйонів хвилин.
 а це вже понад 1,2 мільйона переглядів всього за місяць.
 не спиняємось!
Така підтримка – надважлива. Навіть один коментар вдячності за програму дає нам сили працювати та розвиватися. Тому лойк-дизлойк-комент-шер :)
До речі про програми, минулого тижня запустили нову — «Паралельний світ» на skrypin.ua. Перший випуск про крипту і блокчейн. Хто вже бачив, напишіть як вам, будемо вдосконалювати. Хто не бачив – запрошуємо до перегляду.
А тепер переходимо до фінансів.
За березень нам вдалося зібрати донейтів на загальну суму: 128 908, 26 гривень.
ПриватБанк: ₴81 515 (від 1053 глядачів)
PayPal: €928 (від 54 глядачів)
IBAN: €94,99 (від 7 глядачів)
monobank: ₴11 019
Мобільні перекази: ₴1964,66
Для орієнтування. Ця сума — це 75% необхідного місячного бюджету skrypin.ua з урахуванням розвитку.
Мету, яку ми поставили – 200 тисяч гривень – ми не досягли. Але це не страшно і мотивує робити наші канали ще цікавішими, аби вам хотілося підтримати нас гривнею-євро-доларом чи навіть криптою! 200 тисяч гривень — це сума, яка б покрила наші витрати та дала б можливість створювати щось нове (і не перезавантажувати комп’ютер під час П’ятничного каналу).
Цього місяця нам переказували навіть 1 гривню, але і ця гривня — важлива. ДЯКУЄМО! А збудувати незалежний медіа-майданчик в Україні таки хочеться! Давайте це зробимо!
Налаштуй щомісячний платіж:
• pb.ua: 5363 5423 0168 4263
• monobank: 5375 4141 0021 8964
• paypal@skrypin.ua
• IBAN: DE11 1005 0000 6014 1157 71
• для збору мобільних переказів: +380963302229
• крипта: http://skrypin.ua/help/
Роман Скрипін, Данило Яневський, Kateryna Suprun, Bohdana Shevchenko, Sasha Eclair, Anton Dubovyk, Kocc Kazymko, with love ❤️</t>
  </si>
  <si>
    <t>Вадим Кузубов</t>
  </si>
  <si>
    <t>18:02</t>
  </si>
  <si>
    <t>Самый ужасный банк! Хуже и тупее службы поддержки я еще не встречала. Именно сегодня, когда мне нужно перевести деньги и</t>
  </si>
  <si>
    <t>Рекомендую Монобанк)</t>
  </si>
  <si>
    <t>Bogdan Pashchenko</t>
  </si>
  <si>
    <t>ILona  Rassel</t>
  </si>
  <si>
    <t>17:57</t>
  </si>
  <si>
    <t>Tanya Panasenko</t>
  </si>
  <si>
    <t>Лена Шишкина</t>
  </si>
  <si>
    <t>Комітет Визволення Політв'язнів</t>
  </si>
  <si>
    <t>17:54</t>
  </si>
  <si>
    <t>17:53</t>
  </si>
  <si>
    <t>!!!!!!!!!!!! 04.04.2018р. адресу змiнено iхати метро Арсенальна Хрестовий провулок 4. вiдбудеться суд над Героем Майдану</t>
  </si>
  <si>
    <t>!!!!!!!!!!!! 04.04.2018р. адресу змiнено iхати метро Арсенальна Хрестовий провулок 4. вiдбудеться суд над Героем Майдану, !!!!!!!!!!!!!!!!!!!! https://www.facebook.com/DmitrijDmitrievv/videos/1810497115924747/?hc_ref=ARR7OFnnVQhE1C_EjyBaNUJeBHkZqyGfoJF9VBpZxFcVrXPMU3tUGhZqMQtCnWf8-uQ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</si>
  <si>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Lyudmyla Teplyuk</t>
  </si>
  <si>
    <t>Совість та Честь України</t>
  </si>
  <si>
    <t>Jevg Paros ТАк же..НУжно доказывать и желательно юротделу,что ты не верблюд...А потом уже они дадут команду на открытие счета и  банковского обслуживания..</t>
  </si>
  <si>
    <t>17:45</t>
  </si>
  <si>
    <t>Monobank — первый в Украине мобильный банк без отделений. Чтобы стать клиентом, нужно иметь смартфон на Android или iOS. Большой кэшбэк за оплату картой и лучшая альтернатива Privat24 на сегодняшний день! Следует упомянуть, что МоноБанк работает по лицензии Universal Bank, который в свою очередь уже более 20-и лет работает на рынке Украины.
Хотите иметь карту с большим лимитом кредитных средств, с которых при покупки вы получаете кэшбэк, с маленьким процентом за использование не своих денег, с возможностью получить выгодную рассрочку, пользоваться ею за рубежом, удобные мобильное приложение? Тогда вы попали туда куда нужно!
MonoBank – банк без отделений, кэшбэк и альтернатива Privat24
https://ibuyonline.ru/monobank-bank-cashback/</t>
  </si>
  <si>
    <t>Максим Михайловский</t>
  </si>
  <si>
    <t>Так і по Закону ідентифікація клієнта має відбуватись при його фізичній присутності, а не через Інтернет.</t>
  </si>
  <si>
    <t>Victor Tuchak</t>
  </si>
  <si>
    <t>17:42</t>
  </si>
  <si>
    <t>Вitcoinstar</t>
  </si>
  <si>
    <t>17:41</t>
  </si>
  <si>
    <t>Надя Клинова</t>
  </si>
  <si>
    <t>УКРАЇНОМОВНА СПІЛЬНОТА - НЕНЬКО УКРАЇНО - МИ ТВОЇ ДІТИ</t>
  </si>
  <si>
    <t>17:34</t>
  </si>
  <si>
    <t>Простите за оффтоп: когда монобанк планирует подключить маниГрем?</t>
  </si>
  <si>
    <t>17:31</t>
  </si>
  <si>
    <t>@Olegpoluektov @privatbankua У монобанка нет зарплатной карты и хотя бы поэтому он всем быть не может</t>
  </si>
  <si>
    <t>17:23</t>
  </si>
  <si>
    <t>СЛАВА УКРАИНЕ!  СЛАВА ГЕРОЯМ МАЙДАНА!</t>
  </si>
  <si>
    <t>17:22</t>
  </si>
  <si>
    <t>Дивують українські банки: щоб отримати карту з безконтактним розрахунком ти ще мусиш заплатити... Це їх рівень</t>
  </si>
  <si>
    <t>Ярослав Хауляк тут 50 на 50. Маю дотичність. Там також так. Є монстри з дорогими тарифами, а є доганяючі з демпінгом. У нас також вже згаданий Монобанк. На тобі відсоток на залишок, на тобі кешбек за покупку, на тобі безконтакт, на тобі найкращий курс при розрахунках за кордоном, на тобі 15% на депозит, і це ще не все і безконтакт і найкращий додаток, у Польщі нема і близько нічого. А є Укрсиб з мінімум 30 грн щоби картку просто мати.</t>
  </si>
  <si>
    <t>Igor Gumeniuk</t>
  </si>
  <si>
    <t>Ярослав Хауляк</t>
  </si>
  <si>
    <t>Вот у нас в Израиле совсем недавно появились аналоги монобанка от нескольких крупных игроков - если интерестно посмотрите Pepper ...так вот рега в банке через телефон...карта приходит по почте...механизмы ид. Клиентов схожие...но доступ у фин. Учереждений к личным данным гораздо больше...нет отделений..нет сотрудников...как-то так! Если кому интерестно - в личке расскажу подробнее.</t>
  </si>
  <si>
    <t>Jevg Paros</t>
  </si>
  <si>
    <t>17:18</t>
  </si>
  <si>
    <t>Влад Спесивец везунчик)</t>
  </si>
  <si>
    <t>Саша Сушко</t>
  </si>
  <si>
    <t>Freelancehunt</t>
  </si>
  <si>
    <t>17:12</t>
  </si>
  <si>
    <t>Natalya Samuilenkova</t>
  </si>
  <si>
    <t>+</t>
  </si>
  <si>
    <t>Владимир Круглий</t>
  </si>
  <si>
    <t>17:11</t>
  </si>
  <si>
    <t>Да уж...вспомнилась давняя история с приватбанком....пришел поменять 100долл сша...они говорят нужен паспорт и ид. Код....я даю загран в котором выбит ид. Код...говорят нет - совсем не подходит...нужен код на бумажке...я принес...говорят нет же - у вас оригинал, а нужен дубликат...ну и такая же история с загранником!!! От большого ума все это!!! Было давно - щас не знаю как))) при этом я уже был давним клиентом привата...наличие карт...смс не помогло...видимо тогда еще к этому не пришли)))</t>
  </si>
  <si>
    <t>17:09</t>
  </si>
  <si>
    <t>Юлия Морозенко</t>
  </si>
  <si>
    <t>17:08</t>
  </si>
  <si>
    <t>В замы возьмете??? )))</t>
  </si>
  <si>
    <t>получше чем наш---все что в долларе мониторят США,все чтов Евро---Германия...</t>
  </si>
  <si>
    <t>17:07</t>
  </si>
  <si>
    <t>И еще там идентификация по любому документу--а не только по старому паспорту или ай ди карте..А и по правам,по загран паспорту по инострпанному паспорту (не гражданина стран Европы)--лишь бы статут нахождения в Европейской стране был ЛЕГАЛЕН.... КАк то так..И это не в упрек--а то забаните еще...</t>
  </si>
  <si>
    <t>17:05</t>
  </si>
  <si>
    <t>https://forum.finance.ua/viewtopic.php?p=4339415#p4339415    alexandr_kysil написав:
 https://forum.finance.ua/viewtopic.php?p=4339385#p4339385    mihasik написав:это о том, что КБ по продуктам 30 вместо 40 с 1к это куда менее приятно, чем 190 вместо 200 за книги
и я с этим согласен. в этом месяце кб выгребаю книгами, продукты тарю с б5
У меня таких сумм на продукты нет,чтоб 1% сильно играл роль.
А так,у меня 3%, у жены 4% можно и с одной скупаться</t>
  </si>
  <si>
    <t>Jevg Paros согласен, сойдемся на 1% им кушать тоже нужно)</t>
  </si>
  <si>
    <t>Evgenev Evgen</t>
  </si>
  <si>
    <t>17:03</t>
  </si>
  <si>
    <t>А Гройсмана куда? На Моно пересунути? ;)</t>
  </si>
  <si>
    <t>Mstyslav Dubchak</t>
  </si>
  <si>
    <t>17:02</t>
  </si>
  <si>
    <t>ага, і це все при повному різноманітті ЦСК і т.п. фіч. Звичайно, що хтось може хотіти прийти особисто, але більшість монобанковських клієнтів легко би підписалася ключем і отримала картку поштою)</t>
  </si>
  <si>
    <t>Спасибо за информацию. Это интересный опыт, посмотрю как они это делают</t>
  </si>
  <si>
    <t>17:00</t>
  </si>
  <si>
    <t>Evgenev Evgen Слишком усложнять процесс идентификации клиентов - тоже не выход! никто не будет открывать счета такие!!!)))</t>
  </si>
  <si>
    <t>16:59</t>
  </si>
  <si>
    <t>Я думаю, якщо не буде кого рекламити, буду рекламувати "банк для котиків"</t>
  </si>
  <si>
    <t>Напиши Дмитрию Дубилету , он в монобанке тему котов продвигает, может купит рекламу у тебя на коте</t>
  </si>
  <si>
    <t>Andrey Babenko</t>
  </si>
  <si>
    <t>ResourceNET | Мережа ресурсів</t>
  </si>
  <si>
    <t>Vladimir Korenjak В ЕУ хватает мини банков - где можно открыть удаленно!</t>
  </si>
  <si>
    <t>Marichka Schevchuk</t>
  </si>
  <si>
    <t>16:56</t>
  </si>
  <si>
    <t>Роман Кот</t>
  </si>
  <si>
    <t>16:51</t>
  </si>
  <si>
    <t>ФинМона на них нет</t>
  </si>
  <si>
    <t>Володя Кузнецов</t>
  </si>
  <si>
    <t>Dmitriy Kalishchak речь об идентификации</t>
  </si>
  <si>
    <t>Vladimir Korenjak в Вб можно . Монзо, n26</t>
  </si>
  <si>
    <t>16:48</t>
  </si>
  <si>
    <t>ПАТРІОТИ УКРАЇНИ| НОВИНИ АТО| ПОЛІТИКА</t>
  </si>
  <si>
    <t>Kyiv Київ Киев</t>
  </si>
  <si>
    <t>ЄвроМайдан - Українська Революція Честі й Гідності Нації.</t>
  </si>
  <si>
    <t>ЄДИНА, СОБОРНА УКРАЇНА !</t>
  </si>
  <si>
    <t>Диванна сотня</t>
  </si>
  <si>
    <t>Ψ | МИ ПАТРІОТИ УКРАЇНИ | Ψ</t>
  </si>
  <si>
    <t>16:46</t>
  </si>
  <si>
    <t>Ой  тут от мокрой печати на чеках никак не уйдем...</t>
  </si>
  <si>
    <t>Anna Tikhomirova</t>
  </si>
  <si>
    <t>16:45</t>
  </si>
  <si>
    <t>Когда в метро видишь человека с чёрной картой MonoBank - всегда думаешь «Мы с тобой одной крови, Bro!” :). А мне ещё</t>
  </si>
  <si>
    <t>Можно Боню использовать ))) такие фото будут!</t>
  </si>
  <si>
    <t>Ірина Дідковська</t>
  </si>
  <si>
    <t>Victoria Strakhova</t>
  </si>
  <si>
    <t>Yuriy Bondarenko</t>
  </si>
  <si>
    <t>16:42</t>
  </si>
  <si>
    <t>Semigulin Konstantin</t>
  </si>
  <si>
    <t>та куда там.. война же..</t>
  </si>
  <si>
    <t>Слава Коломієць</t>
  </si>
  <si>
    <t>Дорогой фейсбук. Когда ты, может быть случайно, бываешь на нуле, ты понимаешь, что наши парни курят. Нет, есть те, кто</t>
  </si>
  <si>
    <t>Дорогой фейсбук. Когда ты, может быть случайно, бываешь на нуле, ты понимаешь, что наши парни курят.
Нет, есть те, кто аватарит, в том числе и по наркоте.  Но, в основном, люди курят. Они наливают в металлическую чашку растворимый кофеец. Они выходят из блиндажа и смотрят в подаренный вами теплик, запаривают присланный вами кофе, и закуривают. Причем закуривают лютую жесть. Дичку какую-то. Убитое говно а-ля папиросы «Ватра».
Покурить на фронте - это как приготовить вкусное мясо в сытом тылу. Это расслабон. Это когда ты ждешь российские грады, но тебе надо быть в форме. Тебе надо н-а-б-л-ю-д-а-т-ь.
Так вот. Так вот.
Большинство наших хлопцев курят лютую дрочь из-за технических причин доставки и экономии. Впереди - Пасха. Сами пасочки для ребят передаст суперсильный волонтёрский фактор наших женщин. На мясо я собираю три раза в год.
Отже.
Будь ласка. Давайте нашвыряем денег на три позиции: сиги, сладкая шипучка и шоколадные батончики.
Хотелось бы накрыть всех друзей из ЗСУ: ДШВ из 79, арту из «Донбасс-Украина», и морпехов из 36.
5363 5423 0708 8857 - карта привата
5375 4141 0050 5386 - карта монобанка.
4790 7010 0214 9655 -  карта ощадбанка
По вопросам денежных переводов из-за рубежа обращаться в личку.
Дякую за відгук. Та дякую за репост.
Слава Україні.</t>
  </si>
  <si>
    <t>Tatyana  Shcherbina</t>
  </si>
  <si>
    <t>16:39</t>
  </si>
  <si>
    <t>Дмитрий Вас надо на Премьра продвинуть и тогда мы все вместе быстро наведем порядок!</t>
  </si>
  <si>
    <t>Вячеслав Нездымовский</t>
  </si>
  <si>
    <t>16:36</t>
  </si>
  <si>
    <t>Вообще, не в каждой Европе))</t>
  </si>
  <si>
    <t>Светлана Илюхина</t>
  </si>
  <si>
    <t>16:35</t>
  </si>
  <si>
    <t>в 2011 получал мультивалютную UK карту от revolut.com, почтой в Украину. С минимальной идентификацией  по карте были и  лимиты,  но   сам факт..Сейчас в бывшее СНГ не отправляют их, совсем.
Your Digital Banking Alternative | Revolut
A world beyond banking - a secure, mobile-based current account that allows you to hold, exchange and transfer without fees in 25 different currencies.</t>
  </si>
  <si>
    <t>Max Grishko</t>
  </si>
  <si>
    <t>WeChat (вейсин) месенджер в Китае используется и как платежная система, и в этом году вроде как дорос до такого уровня что его планируют сделать официальной идентификационный системой
Релиз был в 2011, и вот за 7 лет дорос до идентификационной системы.</t>
  </si>
  <si>
    <t>Vadym Volos</t>
  </si>
  <si>
    <t>16:31</t>
  </si>
  <si>
    <t>Без идентификации (в Украине ) никак. Посмотрел сайты GB baks , та же ситуация.</t>
  </si>
  <si>
    <t>16:27</t>
  </si>
  <si>
    <t>Lina Sartinska</t>
  </si>
  <si>
    <t>16:25</t>
  </si>
  <si>
    <t>Пропонуємо до обговорення:
Все, що потрібно знати про найгучнішу новинку осені-2017
monobank. Останні кілька днів це слово ви, напевно, зустрічали в соціальних мережах і на фінансових сайтах найчастіше. Команда екс-менеджерів Приватбанку почала видавати картки. Поки що monobank працює в тестовому режимі. Редакція Finance.ua отримала картку, уважно вивчила умови її обслуговування і перевірила, як вона працює.
Дивися повний текст Чи потрібна картка monobank? https://finance.ua/ua/cards/nuzhna-li-karta-monobank</t>
  </si>
  <si>
    <t>D2</t>
  </si>
  <si>
    <t>16:24</t>
  </si>
  <si>
    <t>Было время. На почту в ящик приходили кажду неделю кредитки  уже готовые к использованию от разных банков. И как-то не очень хочеться, чтобы у нас банк мог выпустить кредитку, которая будет работать без моей подписи, но на мое имя. Хорошо, что тогда надо было прийти в отделение и отдать им комплект документов с подписями сначала.</t>
  </si>
  <si>
    <t>Sasha Demidov</t>
  </si>
  <si>
    <t>16:22</t>
  </si>
  <si>
    <t>Ой да! А мы в ответ можем идей для новых наклеек накидать )))</t>
  </si>
  <si>
    <t>Ирина Гнатюк</t>
  </si>
  <si>
    <t>16:21</t>
  </si>
  <si>
    <t>Marina Pomikalova</t>
  </si>
  <si>
    <t>16:20</t>
  </si>
  <si>
    <t>Ирина Гнатюк Олег Гороховский пора наклейки в подарки и продажу (скажем что Кот Дубилета снимался)</t>
  </si>
  <si>
    <t>16:18</t>
  </si>
  <si>
    <t>Удаленно позволяет ведь резидентам страны! Нерезидентам все равно, первый визит лично для идентификации. А в будущем, да, и карту можно и счет.</t>
  </si>
  <si>
    <t>16:17</t>
  </si>
  <si>
    <t>«Первое впечатление о монобанке»</t>
  </si>
  <si>
    <t>Чё за бред ты несеш??? Банк точнее эта помойка!!! Принимающая вас не как клиента а потенциального лоха! ребята начните давать качественные услуги!!! ЛОХИ заканчиваются</t>
  </si>
  <si>
    <t>ddimih</t>
  </si>
  <si>
    <t>Говорю ж - одной крови )))</t>
  </si>
  <si>
    <t>А карта Моно есть?</t>
  </si>
  <si>
    <t>16:16</t>
  </si>
  <si>
    <t>Ой, и я хочу котиков!
П.С.: мы с тобой одной крови )))</t>
  </si>
  <si>
    <t>Peter Miller</t>
  </si>
  <si>
    <t>16:15</t>
  </si>
  <si>
    <t>Мне показалось, или с Монобанка в AdWords не берет комиссию?!)) Если это так, то вот вам полезность</t>
  </si>
  <si>
    <t>Супер!)</t>
  </si>
  <si>
    <t>Oleg  Piddubny</t>
  </si>
  <si>
    <t>MonoBank – банк без отделений, кэшбэк и альтернатива Privat24
MonoBank – банк без отделений, кэшбэк и альтернатива Privat24
https://monobank.com.ua/r/wmbU - получи 50 гривен за регистрацию по этой ссылке
Моя карта МоноБанк для Донатов :-) 5375-4141-0146-9293
Статья: https://ibuyonline.ru/monobank-bank-cashback/
Monobank — первый в Украине мобильный банк без отделений. Чтобы стать клиентом, нужно иметь смартфон на Android или iOS. Большой кэшбэк за оплату картой и лучшая альтернатива Privat24 на сегодняшний день! Следует упомянуть, что МоноБанк работает по лицензии Universal Bank, который в свою очередь уже более 20-и лет работает на рынке Украины.
Хотите иметь карту с большим лимитом кредитных средств, с которых при покупки вы получаете кэшбэк, с маленьким процентом за использование не своих денег, с возможностью получить выгодную рассрочку, пользоваться ею за рубежом, удобные мобильное приложение? Тогда вы попали туда куда нужно!
————————————————————————————
 Сайт про отношения ➜ https://lovewhy.ru/
 Мой личный блог ➜ https://seosait.com
 Поддержи канал ₽ ➜ http://www.donationalerts.ru/r/maxoperator
————————————————————————————
Кэшбэк сервисы возвращают % обратно за совершенные покупка на AliExpress и других магазинах:
Кэшбэк и CashBack сервисы: Что это такое? ► https://ibuyonline.ru/cash-bach-what-is-it
Кэшбэк MegaBonus ► https://goo.gl/Y2T1F3
Кэшбэк ePN  ► https://goo.gl/PJo5GD
Кэшбэк LetyShops  ► https://goo.gl/JsogHH
Кэшбэк украинский Moneta.ua  ► https://goo.gl/h5cUFm
Кэшбэк украинский payback.ua  ► https://goo.gl/W7548j
————————————————————————————
Связаться со мной:
Личная:
✔ FB ► https://www.facebook.com/maxoperator
✔ VK ► https://vk.com/id9344398
✔ OK ►https://ok.ru/profile/159504672776
✔ ASK ►  https://ask.fm/maxoperator
✔ Twitter ► https://twitter.com/Maxoperator
✔ Instagram ► https://www.instagram.com/maxoperator
✔ E-mail ► maxoperator@ukr.net
Отношения:
✔ FB ► https://www.facebook.com/bloglovewhy/
✔ VK ► https://vk.com/lovewhy
✔ OK ►https://ok.ru/group/55250170937352
————————————————————————————
Денюшки:
Если вы пылаете энтузиазмом поддержать меня материально для развитие моего блога seosait.com и YouTube канала вы можете сделать это через интернет сервисы:
ПОДДЕРЖАТЬ КАНАЛ МОЖНО
 Поддержи канал ₽ ➜ http://www.donationalerts.ru/r/maxoperator
✝ Yandex Wallet ► 410014851652678
✝ Privat24 ► 5168 7555 0940 9922
✝ Paypal ► maxoperator@mail.ru
Web-Money:
✔ R334162836466
✔ U794738191443
✔ Z203739691249
✔ E402906973776
Делитесь этим видео в соц сетях!</t>
  </si>
  <si>
    <t>16:11</t>
  </si>
  <si>
    <t>Olexiy Dubilet в Украине и воровать не надо, бомжей много на них оформить можно все что угодно.</t>
  </si>
  <si>
    <t>16:09</t>
  </si>
  <si>
    <t>Olexiy Dubilet угу, цифровой ключ и скан сетчатки глаза будет счастье...</t>
  </si>
  <si>
    <t>16:08</t>
  </si>
  <si>
    <t>ДЕКЛАРУЙ, НЕ ДЕКЛАРУЙ...
Декларування для громадських активістів. Потрібно чи ні? Відміняти чи не відміняти? + Олексій Панич, філософ, перекладач, 
член українського ПЕН-клубу.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переказів: +380963302229
Підпишись на нас у соціальних мережах:
Facebook: https://www.facebook.com/UkrMediaNetwork
Twitter: https://twitter.com/UkrMediaNetwork
Telegram: https://t.me/SkrypinUA
Слухай подкасти в iTunes:
UMN  ➡️ https://goo.gl/LUUodu
skrypin.ua ➡️ https://goo.gl/mvGUgk
Danylo Yanevsky  ➡️ https://goo.gl/1QTWGU
Skype для дзвінків у студію: hello@skrypin.ua / Етер Ether
www.umn.com.ua</t>
  </si>
  <si>
    <t>UMN</t>
  </si>
  <si>
    <t>DKB в Германии, easybank в Австрии (тебя заверяет работник почты)</t>
  </si>
  <si>
    <t>Ruslan Bes</t>
  </si>
  <si>
    <t>16:06</t>
  </si>
  <si>
    <t>Vladimir Korenjak как можно открыть счёт без идентификации ?</t>
  </si>
  <si>
    <t>Olexiy Dubilet</t>
  </si>
  <si>
    <t>16:05</t>
  </si>
  <si>
    <t>Evgenev Evgen в Украине все равно воруют паспорта и открывают на них счета/кредиты и тд. Даже очная верификация пользователя не даёт 100% защиты от мошенников.</t>
  </si>
  <si>
    <t>16:02</t>
  </si>
  <si>
    <t>Валентина Проценко</t>
  </si>
  <si>
    <t>15:59</t>
  </si>
  <si>
    <t>Идентификация происходит на почте. Где ты получаешь пин код по документу, это если нет BankID</t>
  </si>
  <si>
    <t>Alexander Anfinogenov</t>
  </si>
  <si>
    <t>15:58</t>
  </si>
  <si>
    <t>Приват24, Ощад24, монобанк...не путайте идентификацию и открытие счета.</t>
  </si>
  <si>
    <t>15:53</t>
  </si>
  <si>
    <t>Ну у нас таких шахрайств купа і без дистанційного відкриття рахунків.</t>
  </si>
  <si>
    <t>Vitaliy Frosinyak</t>
  </si>
  <si>
    <t>Jevg Paros можно, вот он и будет 1%) видео чат это как раз социальная инженерия которая будет слабым местом для 1%</t>
  </si>
  <si>
    <t>Sergey Mishchenko  bank Norwegian по всей Скандинавии  https://www.banknorwegian.se
Lån och kreditkort från Bank Norwegian
Bank som erbjuder blancolån och kreditkort. Låna pengar snabbt och enkelt. Få Bank Norwegians kreditkort utan årsavgift!</t>
  </si>
  <si>
    <t>Прям как азбука звучит))) Некоторые ее знают!)</t>
  </si>
  <si>
    <t>15:52</t>
  </si>
  <si>
    <t>Monobank Ми вклали весь свій досвід у те, щоб зробити найзручніший мобільний додаток. Прості перекази, оплата комуналки,</t>
  </si>
  <si>
    <t>Monobank
Ми вклали весь свій досвід у те, щоб зробити найзручніший мобільний додаток. Прості перекази, оплата комуналки, функціональна виписка, налаштування картки, заради яких раніше доводилося ходити у відділення, — тепер у вашій кишені!</t>
  </si>
  <si>
    <t>Катерина Лотоцька</t>
  </si>
  <si>
    <t>А где это? Где можно удаленно открыть счета в Украине?</t>
  </si>
  <si>
    <t>Dmitriy Kalishchak Понятно))) А операции есть по счету? Движения?</t>
  </si>
  <si>
    <t>15:51</t>
  </si>
  <si>
    <t>Skandia banken в Швеции</t>
  </si>
  <si>
    <t>Можно сделать макс. усилий и уменьшить FRAUD до 1%)))</t>
  </si>
  <si>
    <t>По-моему это реальное покращення, без кавычек.
Раньше добрался до лимита, и совсем нельзя было мобильник пополнить. А теперь хоть за 3 грн, но можно.
Да и планка раньше была 2 000 грн, а теперь 10 000. Ограничение по количеству пополнений не изменилось.
Прикрепленные изображения</t>
  </si>
  <si>
    <t>SHURICK76</t>
  </si>
  <si>
    <t>4pda.ru</t>
  </si>
  <si>
    <t>4PDA &gt; Android - Программы Офисные программы</t>
  </si>
  <si>
    <t>15:48</t>
  </si>
  <si>
    <t>Харків з вами</t>
  </si>
  <si>
    <t>Елена Швыдкая</t>
  </si>
  <si>
    <t>15:47</t>
  </si>
  <si>
    <t>я пользуюсь, нет не берет. Не знаю почему</t>
  </si>
  <si>
    <t>Denis  Remishevsky</t>
  </si>
  <si>
    <t>15:45</t>
  </si>
  <si>
    <t>Дмитрий Дубилет "Открыть счет, в том числе пройти процесс идентификации личности по видео-чату" Вы думайте это не слабое месть?</t>
  </si>
  <si>
    <t>15:42</t>
  </si>
  <si>
    <t>Есть еще электронная подпись. Некоторые ей владеют.</t>
  </si>
  <si>
    <t>Миха Юрковский</t>
  </si>
  <si>
    <t>Законодательство Европы.по идентификации ещё более консервативное,нежели  украинское. А удаленно счета и карты у нас давно открываются. Для резидентов - проще, для нерезидентов - порядком сложнее.</t>
  </si>
  <si>
    <t>15:40</t>
  </si>
  <si>
    <t>Jevg Paros Я карту "Ключ к счету" забрал в отделении, но никаких бумаг не подписывал.</t>
  </si>
  <si>
    <t>Dmitriy Kalishchak</t>
  </si>
  <si>
    <t>15:38</t>
  </si>
  <si>
    <t>И счет досихпор работает???))) Не просили прийти в отделение? Странно...значит еще не время)))</t>
  </si>
  <si>
    <t>15:37</t>
  </si>
  <si>
    <t>Я недавно открывал счет в Привате как ФЛП - все онлайн, с помощью сертификата и цифровой подписи.</t>
  </si>
  <si>
    <t>Alexandr Karachun в monobank пока нельзя</t>
  </si>
  <si>
    <t>Inessa Shanovskaya</t>
  </si>
  <si>
    <t>15:36</t>
  </si>
  <si>
    <t>можно и без пмж и даже без внж.</t>
  </si>
  <si>
    <t>Alexandr Karachun</t>
  </si>
  <si>
    <t>))))))))</t>
  </si>
  <si>
    <t>Дмитрий Дубилет это 2 самых прогрессивных банка Европы. И они очень рискуют беря на себя эти обязательства. Вероятнее всего они будут нести потери в случае чего. Остальные 99% банков насколько я знаю не берут на себя такие риски.</t>
  </si>
  <si>
    <t>Sergey Mishchenko</t>
  </si>
  <si>
    <t>15:34</t>
  </si>
  <si>
    <t>вместо смс приходит уведомление в приложение банка. разницы не вижу.
а вообще заплатил и лови СМС</t>
  </si>
  <si>
    <t>15:33</t>
  </si>
  <si>
    <t>разберитесь глубже</t>
  </si>
  <si>
    <t>Отримав картку Монобанку. Безконтактна. Безкоштовна. Поповнення без комісії. Кешбек. Дуже задоволений. Обирайте правильний банк</t>
  </si>
  <si>
    <t>Pavel Timofeev</t>
  </si>
  <si>
    <t>Дмитрий Дубилет да, возможно...</t>
  </si>
  <si>
    <t>Kirill Boicheniuk</t>
  </si>
  <si>
    <t>Дмитрий, в юриспруденции есть спорный вопрос, который существует с момента написания первого закона: Что первично, Закон или отношения? Я, когда заканчивал ВУЗ получил значек, на котором написано на латыни - Закон первичен и это реальная позиция, одного из ведущих Вузов Москвы, преподователи которого пишут законы для РФ. То-есть, если смотреть глубже, новая элита юристов, которая появилась после революции 1917г., была воспитана, в русле "свободы" совка. Они издавали труды и писали книги, чем прививали нам именно такую позицию. Вы же, человек имеющий зарубежное образование и общающийся с людьми не "совковой" ментальности, понимаете, что первичны отношения, а законы пишутся потом, как инструмент регуляции этих отношений!</t>
  </si>
  <si>
    <t>Roman Podolinnyi</t>
  </si>
  <si>
    <t>Это уже вопрос к средневековым банкам, а не законам )</t>
  </si>
  <si>
    <t>15:32</t>
  </si>
  <si>
    <t>Oleg Helg Да вроде как в Польше тоже просто все...были и предоплаченные карты в свободной продаже, аналого дебетовок + счет для всех желающих, и через интернет....но надо искать))) Сталкивался года 3 назад)))</t>
  </si>
  <si>
    <t>15:31</t>
  </si>
  <si>
    <t>Вы так хотите оформления на вымышленных людей кредитов?</t>
  </si>
  <si>
    <t>Pavlo Dragobetskij А если вот ID-шка левая??? Как сотрудник почты сможет ее проверить? Были случаи - тупо печатаются левые доки и проводят идентификацию! Главное понимать цену вопроса и для чего)))</t>
  </si>
  <si>
    <t>15:30</t>
  </si>
  <si>
    <t>Société générale - щаз</t>
  </si>
  <si>
    <t>15:28</t>
  </si>
  <si>
    <t>жду дня, когда можно открыть карту без гражданского паспорта, но с постоянным видим на жительство</t>
  </si>
  <si>
    <t>15:26</t>
  </si>
  <si>
    <t>Эд, все зависит от того, какой страны у вас паспорт))) Вариантов есть много)))</t>
  </si>
  <si>
    <t>15:25</t>
  </si>
  <si>
    <t>А зачем -обычно апка банкинга такая что и смс не надо ..</t>
  </si>
  <si>
    <t>Volodymyr Danylyuk</t>
  </si>
  <si>
    <t>15:24</t>
  </si>
  <si>
    <t>Jevg Paros дуже грамотно там працюють з такими картами. Півроку проводили дрібні транзакції, поповнювали невеликими платежами, і згодом після збільшення кредитного ліміту зняли за день всю доступну суму.</t>
  </si>
  <si>
    <t>Pavlo Musiienko</t>
  </si>
  <si>
    <t>Например ING-DiBa, Netbank, Wüstenrot и многие другие...</t>
  </si>
  <si>
    <t>Evgeniy  Tatarov</t>
  </si>
  <si>
    <t>У німеччині - зайти у відділення пошти з паспортом і роздрукованою формою. Працівник звіряє фейс, форму і документ і надсилає форму</t>
  </si>
  <si>
    <t>Pavlo Dragobetskij</t>
  </si>
  <si>
    <t>MBank в словакии, airbank в Чехии .</t>
  </si>
  <si>
    <t>15:23</t>
  </si>
  <si>
    <t>Забрал карту Отличные условия дали 50000 лимита, приложение и условия отличные. Оформите карту, перейдя по персональной</t>
  </si>
  <si>
    <t>Забрал карту https://monobank.com.ua/r/EA6C Отличные условия дали 50000 лимита, приложение и условия отличные. Оформите карту, перейдя по персональной ссылке, и вы оба получите по 50 грн на счет кешбэка! Я уже получил 50 гривен.</t>
  </si>
  <si>
    <t>ВСМИСЛЄ? Тільки в трьох екземплярах і тільки з мокрими печатками</t>
  </si>
  <si>
    <t>Ruslan Khavriuta</t>
  </si>
  <si>
    <t>15:22</t>
  </si>
  <si>
    <t>Jevg Paros банк Wells Fargo. Карту дійсно вислали на адресу в США. В мене на руках всі виписки, коли і як витрачалися кошти) Що саме не сходиться?</t>
  </si>
  <si>
    <t>Тогда придется  за ненадобностью распустить всех  валютчиков-смотрящих с базаров и закрыть ломбарды скупающих драгметаллы вдвое дешевле.  Тогда и совок рухнет))) А как будет существовать вся пирамида коррупции, если "нижний камушнк" выдернуть?  Так отож...</t>
  </si>
  <si>
    <t>Андрей Ситников</t>
  </si>
  <si>
    <t>Микола Козак</t>
  </si>
  <si>
    <t>15:21</t>
  </si>
  <si>
    <t>не в швеции так точно. тут в интернетбанке можно только платежи оформлять и все. больше никаких услуг нет.</t>
  </si>
  <si>
    <t>Yana Taranenko</t>
  </si>
  <si>
    <t>Vitaliy Frosinyak ))) Единственное что может быть - это открытие вирт. карты в каком-либо банке, если у челика действительно были счета))) Но это смешно - там лимит не будет большим и их выдают за счет средств, которые есть на Checking)))</t>
  </si>
  <si>
    <t>Valerii Kindzerski так а что в Польше удаленно онлайн без доков открывают счета? Сейчас могу открыть с кома? как например Payoneer?</t>
  </si>
  <si>
    <t>Oleg Helg</t>
  </si>
  <si>
    <t>15:20</t>
  </si>
  <si>
    <t>@privatbankua перед переходом на monobank заюзал. Пополнял мобильный счёт. Деньги списались, пополнения не было. Средства то вернулись через 3 свток, но юзать его перехотелось</t>
  </si>
  <si>
    <t>Влад</t>
  </si>
  <si>
    <t>Pavlo Musiienko Данного это какого банка вы были клиентом??? Что-то совсем не сходится....))) Может вы путаете SSN с ITIN???))) Второе, как могли открыть карту на ваше имя??? Ее должны высылать на адресс в ЮСА, затем высылают отдельным письмом пин коды к ней, активируют ну и т.д у разных банков, разные условия! Как могли потратить деньги по кредитному лимиту???))))</t>
  </si>
  <si>
    <t>Valerii Kindzerski может быть, в польше не открывал счета, я как мин говорю за Венгрию Швейцарию, учитывая что их банки тесно связаны с Италией и Германией и Францией то думаю там то же самое</t>
  </si>
  <si>
    <t>15:18</t>
  </si>
  <si>
    <t>не согласен, pko polski bank, крутое приложение и есть много фич очень удобных, каких в приват нет</t>
  </si>
  <si>
    <t>Valerii Kindzerski</t>
  </si>
  <si>
    <t>Jevg Paros ocь відповідь банку :)</t>
  </si>
  <si>
    <t>Віра Богатиренко</t>
  </si>
  <si>
    <t>Наши законы точно так же позволяют открывать счета с использованием ЭЦП. Нам не на законы надо сетовать, а думать над популяризацией электронной подписи. Сделать максимально простым использование цифровой подписи. Последний закон об ЭЦП урегулировал вопросы центров выполняющих функцию верификации владельца ЭЦП (часть задач законом возлежена и на НБУ) - это на стадии внедрения в течении 2018 года. Но всё равно, для обывателя необходим простой способ наложения ЭЦП (карточный чип, мобильный телефон, облако…), вот куда есть смысл сейчас инвестировать.</t>
  </si>
  <si>
    <t>Денис Гарасюта</t>
  </si>
  <si>
    <t>Михаил Джамаль</t>
  </si>
  <si>
    <t>15:17</t>
  </si>
  <si>
    <t>Igor Panchenko Ну да, особенно после событий 11 сентября, они приняли акт, который запрещает открытие счетов без личного присутсвия, ну либо по почте!!!</t>
  </si>
  <si>
    <t>я молчу про приват24, им такое и не снилось, каменный век</t>
  </si>
  <si>
    <t>Добрый день, Дмитрий. Скажите, что означает "... провести идентификацию клиента по сути"?</t>
  </si>
  <si>
    <t>Тимофій Дудін</t>
  </si>
  <si>
    <t>в банках каких стран? и каких банках? там где я открывал везде как и у нас, это Венгрияя Швейцария были, и сервис намного хуже чем в том же привате..</t>
  </si>
  <si>
    <t>15:15</t>
  </si>
  <si>
    <t>Ed Montevideo Загрузка ID-шек - далеко не идент. по сути)</t>
  </si>
  <si>
    <t>Дмитрий, есть законопроект. Но все никак</t>
  </si>
  <si>
    <t>Oleksandr Kramarenko</t>
  </si>
  <si>
    <t>Есть один хороший лайфхак: покупаешь early bird ticket, а потом не просишь про скидку в день вечеринки. Попробуйте:</t>
  </si>
  <si>
    <t>Дима, тебе нормально живется после того, как ты по сути украл у Антон Момот шутку про cash back от Monobank?)</t>
  </si>
  <si>
    <t>Aleksey Smushkov</t>
  </si>
  <si>
    <t>есть стоят денег, но они есть</t>
  </si>
  <si>
    <t>15:14</t>
  </si>
  <si>
    <t>BankID в помощь!</t>
  </si>
  <si>
    <t>Polina  Savinova</t>
  </si>
  <si>
    <t>Дмитрий,  почему  Вы  не  введете  открытие  виртуальной  карты  для  интернет  оплат,  чтобы  обезопасить  клиента  и   физическую  карту  Монобанка - для  удобства  и  полной  безопасности ????    Ведь  в  других  банках  это  существует  и  оформляется  за  пару  минут ...</t>
  </si>
  <si>
    <t>Ирина Прокопенко</t>
  </si>
  <si>
    <t>15:13</t>
  </si>
  <si>
    <t>Дмитрий Дубилет спасибо, пойду смотреть</t>
  </si>
  <si>
    <t>15:12</t>
  </si>
  <si>
    <t>Приглашаю вас в monobank! Оформите карту, перейдя по персональной ссылке, и вы оба получите по 50 грн на счет кешбэка!
monobank – банк без відділень
https://monobank.com.ua/r/odmx</t>
  </si>
  <si>
    <t>Алексей Ляшук</t>
  </si>
  <si>
    <t>но, например, в Европе нет моментальных смс о списывании денег со счета) если есть, то дорого</t>
  </si>
  <si>
    <t>Lena  Zenasni</t>
  </si>
  <si>
    <t>15:11</t>
  </si>
  <si>
    <t>Зрада</t>
  </si>
  <si>
    <t>Андрей Тугай</t>
  </si>
  <si>
    <t>Sveta Semanyuk</t>
  </si>
  <si>
    <t>Даааа!!</t>
  </si>
  <si>
    <t>Andy Demos</t>
  </si>
  <si>
    <t>15:10</t>
  </si>
  <si>
    <t>Monzo, N26</t>
  </si>
  <si>
    <t>15:08</t>
  </si>
  <si>
    <t>Забрал карту https://monobank.com.ua/r/EA6C Отличные условия дали 50000 лимита, приложение и условия отличные. Оформите карту, перейдя по персональной ссылке, и вы оба получите по 50 грн на счет кешбэка! Я уже получил 50 гривен.
f6mq8.app.goo.gl
https://monobank.com.ua/r/EA6C</t>
  </si>
  <si>
    <t>Не знаю что было в совке, в Канаде без визита в отделение карту не получить. Даже если все сделать онлайн, все равно требуется один раз появиться и подписать бумаги.</t>
  </si>
  <si>
    <t>Olexiy Tyshchenko</t>
  </si>
  <si>
    <t>Jevg Paros Мне тоже интересно, для открытия счета в США, нужно быть либо резидентом (тогда по почте придут карты), либо очное присутствие в банке.</t>
  </si>
  <si>
    <t>Igor Panchenko</t>
  </si>
  <si>
    <t>Например у Revolut в мобильном приложении загружаешь свою ID карту , и через несколько часов они тебя идентифицируют , можно заказать Карты , но  Revolut это не банк</t>
  </si>
  <si>
    <t>Vitaliy Frosinyak кредитні кошти.</t>
  </si>
  <si>
    <t>Andrij Knjaz</t>
  </si>
  <si>
    <t>Jevg Paros так, у мене є американський ssn. Я був клієнтом даного банку, але всі свої рахунки закрив кілька років тому. Тим не менше, рік тому на моє ім'я була відкрита кредитна карта через онлайн-заявку. З неї зняли суму в межах кредитного ліміту. Після чого банк звернувся до суду про стягнення з мене заборгованості. Гроші - не мої. Справа - моя)</t>
  </si>
  <si>
    <t>Варіанти можуть бути різні: BankID, ЕЦП...</t>
  </si>
  <si>
    <t>15:04</t>
  </si>
  <si>
    <t>Это в каких же банках  Европы можно удаленно по интернет открыть счёт ? Можно хотяб парочку</t>
  </si>
  <si>
    <t>Теж цікаво... Навіть якщо відкрили, як заволоділи коштами?</t>
  </si>
  <si>
    <t>Для начала надо понимать, что такое "идент. по сути" для каждой страны, для ЮК это одно, для ЮСА - совсем другое, для Украины - это вообще дно! Люди, которые хотят получить биом. загран. (жители регионов, где проводиться АТО) - вообще не могут быть идент. в гос. органах даже при наличии десятка документов!!! Вот и думайте)))</t>
  </si>
  <si>
    <t>Два года назад они предлагали сотрудничество Приватбанку))
https://www.webid-solutions.de/en/
WebID – Your True Identity Company
Our world is becoming digital daily, online businesses are shaping our everyday lives. With the patented Videoidentverfahren the WebID can identify consumers immediately and safely - always, from anywhere and with any Internet-enabled device.</t>
  </si>
  <si>
    <t>Viorel Khankevych</t>
  </si>
  <si>
    <t>только кредитные карты виртуальных банков так можно оформить. А если обычную банковскую, то бумаг больше, чем у нас. Даже паспорт жены/мужа копию ксерят)</t>
  </si>
  <si>
    <t>Oksana Milz</t>
  </si>
  <si>
    <t>А как на ваше имя можно было открыть счет в ЮСА банке? Вы имеете ЮСА гражданство, номер соц. страхования? Ну доустим открыли на ваше имя счет - а что дальше? Откуда там будут "ваши" деньги??? Или они просто на вас кредитку оформили??? Пишите подробнее))))</t>
  </si>
  <si>
    <t>15:01</t>
  </si>
  <si>
    <t>MobileID не внесёт никаких изменений своим появлением?</t>
  </si>
  <si>
    <t>Олег Мироненко</t>
  </si>
  <si>
    <t>Саме таким чином (віддалено, через інтернет) в американському банку шахраї відкрили рахунок на моє ім'я і заволоділи сумою в кільканадцять тисяч доларів. Банк відповідає мені, що "ідентифікація по суті" була проведена.</t>
  </si>
  <si>
    <t>там ещё есть open banking, когда одни у других с этого года могу забирать клиентов без лишних операционных расходов :) вот это бы немного встрясло местный рынок</t>
  </si>
  <si>
    <t>Andrey Gidulyan</t>
  </si>
  <si>
    <t>14:59</t>
  </si>
  <si>
    <t>Так побыстрее бы уже!</t>
  </si>
  <si>
    <t>Dmitriy  Belous</t>
  </si>
  <si>
    <t>А как выглядит "идентификация по сути"?</t>
  </si>
  <si>
    <t>Strukov Maksym</t>
  </si>
  <si>
    <t>Да</t>
  </si>
  <si>
    <t>Aleksandr Periel</t>
  </si>
  <si>
    <t>14:58</t>
  </si>
  <si>
    <t>зяяяя.....</t>
  </si>
  <si>
    <t>Володимир Кравченко</t>
  </si>
  <si>
    <t>14:57</t>
  </si>
  <si>
    <t>А куда ж деть 100500 млн бюрократов?</t>
  </si>
  <si>
    <t>Roman Dochkin</t>
  </si>
  <si>
    <t>ні ні ні</t>
  </si>
  <si>
    <t>Savva Kuzmenko</t>
  </si>
  <si>
    <t>14:56</t>
  </si>
  <si>
    <t>Перевод с моно на ПБ без комиссии, если с ПБ на моно 0.5% от суммы мин.5 грн( комиссия ПБ)</t>
  </si>
  <si>
    <t>14:49</t>
  </si>
  <si>
    <t>Внимание вопрос. У меня карта монобанк и интернет Ситилайт. Через 15 мин отключат интернет. Как пополнить ? Ах да, нужно</t>
  </si>
  <si>
    <t>Юлия Харченко Сделка совершена.</t>
  </si>
  <si>
    <t>Jeka Gorodiskiy</t>
  </si>
  <si>
    <t>14:45</t>
  </si>
  <si>
    <t>ОЛЬГА БОГОМОЛЕЦЬ | 16+
16+ проект для тих, кому набридла нескінченна політична порнографія. Ніжна м’ясорубка для найапетитніших шматочків українського соціуму.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переказів: +380963302229
Підтримай skrypin.ua криптою: http://skrypin.ua/help/
Bitcoin. Adress: 338E4EYVNBohzLg8zimAHEpL6rsyJADwzU
Litecoin. Adress: MTix58Y6qF9u8PhPhDLBWXB9xMbvMkniMv
Dash. Adress: XbBhf7fBq8UR6uZzib6A9QM3bHuiws21a9
Ethereum. Adress: 0x885069fd66272e2d874b77fd76c44993d00677a2
Підпишись на skrypin.ua у соціальних мережах:
Facebook: https://www.facebook.com/SKRYPIN.UA/
Telegram: https://t.me/SkrypinUA
Twitter: https://twitter.com/SkrypinUa
Instagram: https://www.instagram.com/skrypinua/
Слухай подкасти в iTunes:
skrypin.ua ➡️ https://goo.gl/mvGUgk
UMN  ➡️ https://goo.gl/LUUodu
Danylo Yanevsky  ➡️ https://goo.gl/1QTWGU
Skype для дзвінків у студію: hello@skrypin.ua / Етер Ether
www.skrypin.ua</t>
  </si>
  <si>
    <t>14:42</t>
  </si>
  <si>
    <t>Jeka Gorodiskiy так получилось) почему бы не затащить)) пиши адрес, номер)</t>
  </si>
  <si>
    <t>Yulia Kharchenko</t>
  </si>
  <si>
    <t>ОЛЬГА БОГОМОЛЕЦЬ | 16+ | анінс 4 квітня
Ольга​ БОГОМОЛЕЦЬ  сьогодні о 21:30 на 16+.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переказів: +380963302229
Підтримай skrypin.ua криптою: http://skrypin.ua/help/
Bitcoin. Adress: 338E4EYVNBohzLg8zimAHEpL6rsyJADwzU
Litecoin. Adress: MTix58Y6qF9u8PhPhDLBWXB9xMbvMkniMv
Dash. Adress: XbBhf7fBq8UR6uZzib6A9QM3bHuiws21a9
Ethereum. Adress: 0x885069fd66272e2d874b77fd76c44993d00677a2
Підпишись на skrypin.ua у соціальних мережах:
Facebook: https://www.facebook.com/SKRYPIN.UA/
Telegram: https://t.me/SkrypinUA
Twitter: https://twitter.com/SkrypinUa
Instagram: https://www.instagram.com/skrypinua/
Слухай подкасти в iTunes:
skrypin.ua ➡️ https://goo.gl/mvGUgk
UMN  ➡️ https://goo.gl/LUUodu
Danylo Yanevsky  ➡️ https://goo.gl/1QTWGU
Skype для дзвінків у студію: hello@skrypin.ua / Етер Ether
www.skrypin.ua</t>
  </si>
  <si>
    <t>14:41</t>
  </si>
  <si>
    <t>Юлия Харченко Ты хантишь клиентов?) Тогда заявку онлайн оформим</t>
  </si>
  <si>
    <t>Lidiia  Shevcenko</t>
  </si>
  <si>
    <t>14:40</t>
  </si>
  <si>
    <t>Як з США перевести гроші на Приватбанківський рахунок?</t>
  </si>
  <si>
    <t>В монобанку взагалі багато кльових фішок. Якщо ви наприклад перейдете по моєму рефералу, за відкриття карти нам обом по 50 грн. кешбеку. Раз на місяць вибираєте статті на кешбек і вам постійно повертається за витрати відсоток (це вагомо). Всі операції в смартфоні, бо банк без відділень. Комісій майже немає. Хвалю коротше.</t>
  </si>
  <si>
    <t>Katia Pankiv</t>
  </si>
  <si>
    <t>Faina Kaplan</t>
  </si>
  <si>
    <t>14:39</t>
  </si>
  <si>
    <t>Помните с утра толпы у касс и терминалов по продаже жетончиков? Это они новую рекламу Google Pay не видели. Google сняли</t>
  </si>
  <si>
    <t>А ещё УкрСиб, ПУМБ, Пивденный, ТАС, Monobank, Альфа-Банк.</t>
  </si>
  <si>
    <t>Артём Бобок</t>
  </si>
  <si>
    <t>bit.ua</t>
  </si>
  <si>
    <t>14:36</t>
  </si>
  <si>
    <t>Но, разумеется, это не должно помешать нам восхищаться инновационностью сервисов несравненного Приват-24, финансовым</t>
  </si>
  <si>
    <t>Но, разумеется, это не должно помешать нам восхищаться инновационностью сервисов несравненного Приват-24, финансовым гением Игоря Валерьевича, а также восходящей звездой финтех-рынка Украины - монобанком.
Финансовая пирамида. НАБУ оценило ущерб государства от Приватбанка
Национальное антикоррупционное бюро (НАБУ) установило ущерб по делам Приватбанка в размере 150 млрд грн.
https://biz.nv.ua/finance/finansovaja-piramida-nabu-otsenilo-ushcherb-hosudarstvu-ot-privatbanka-2462065.html</t>
  </si>
  <si>
    <t>Alexander Smirnov</t>
  </si>
  <si>
    <t>Ihor Yurts</t>
  </si>
  <si>
    <t>Когда в метро видишь человека с чёрной картой MonoBank - всегда думаешь «Мы с тобой одной крови, Bro!” :). А мне ещё коллекция котиков приехала :)</t>
  </si>
  <si>
    <t>14:11</t>
  </si>
  <si>
    <t>Свавілля влади проти народу</t>
  </si>
  <si>
    <t>14:10</t>
  </si>
  <si>
    <t>Збори ініціативних груп Майдану</t>
  </si>
  <si>
    <t>Українська Координаційна Рада</t>
  </si>
  <si>
    <t>Общественный совет народного доверия Луганщины</t>
  </si>
  <si>
    <t>НАРОД УКРАЇНИ</t>
  </si>
  <si>
    <t>РУХ НОВИХ СИЛ ДНІПРОПЕТРОВЩИНИ</t>
  </si>
  <si>
    <t>14:09</t>
  </si>
  <si>
    <t>Микола Карпюк. Слава Україні без шпигунів Путіна ригов і їх обслуги!</t>
  </si>
  <si>
    <t>Одесса за Саакашвили</t>
  </si>
  <si>
    <t>Единая Украина / Єдина УкраЇна</t>
  </si>
  <si>
    <t>УКРАЇНА, ЯКУ БУДУЄМО САМІ</t>
  </si>
  <si>
    <t>Комитет солидарности с Майданом</t>
  </si>
  <si>
    <t>Группа поддержки АТО в Украине</t>
  </si>
  <si>
    <t>Украина SOS !!!</t>
  </si>
  <si>
    <t>УКРАИНА ГОТОВА РАССТАТЬСЯ С ОЛИГАРХАТОМ</t>
  </si>
  <si>
    <t>UKRAINIAN CHICAGO-Українці Чікаго</t>
  </si>
  <si>
    <t>14:08</t>
  </si>
  <si>
    <t>Волинь</t>
  </si>
  <si>
    <t>Mikheil Saakashvili - Прем'єр-міністр України</t>
  </si>
  <si>
    <t>Михайло Саакашвілі і Рух Нових Сил — благословенний шанс України</t>
  </si>
  <si>
    <t>14:00</t>
  </si>
  <si>
    <t>Rost  Demkiv</t>
  </si>
  <si>
    <t>13:58</t>
  </si>
  <si>
    <t>Сообщение от FlashUA
Подскажите пожалуйста, пополняя карту через терминал Привата, деньги на карту заходят сразу?
в конце марта зашли сразу</t>
  </si>
  <si>
    <t>Vint</t>
  </si>
  <si>
    <t>13:56</t>
  </si>
  <si>
    <t>Забрал карту monobankа! Отличные условия дали 50 лимит приложение и условия отличные. Оформите карту, перейдя по</t>
  </si>
  <si>
    <t>Забрал карту monobankа! Отличные условия дали 50 лимит приложение и условия отличные. Оформите карту, перейдя по персональной ссылке, и вы оба получите по 50 грн на счет кешбэка!
f6mq8.app.goo.gl
https://monobank.com.ua/r/EA6C</t>
  </si>
  <si>
    <t>13:55</t>
  </si>
  <si>
    <t>Українська Діаспора в Італії</t>
  </si>
  <si>
    <t>13:50</t>
  </si>
  <si>
    <t>Monobank ! Реєструйся по ссилці, отримуй круту карту і 50 грн на кешбэк  f6mq8.app.goo.gl</t>
  </si>
  <si>
    <t>Monobank ! Реєструйся по ссилці, отримуй круту карту і 50 грн на кешбэк 
f6mq8.app.goo.gl
https://monobank.com.ua/r/RMoN</t>
  </si>
  <si>
    <t>Savkevych Mykola</t>
  </si>
  <si>
    <t>Краще відкрити монобанк і по свіфту</t>
  </si>
  <si>
    <t>13:39</t>
  </si>
  <si>
    <t>Severin Art</t>
  </si>
  <si>
    <t>13:36</t>
  </si>
  <si>
    <t>Olena  Potoka</t>
  </si>
  <si>
    <t>Елена Лавренчук</t>
  </si>
  <si>
    <t>13:34</t>
  </si>
  <si>
    <t>приглашает вас в monobank! Оформите карту, перейдя по персональной ссылке, и вы оба получите по 50 грн на счет кешбэка!
https://monobank.com.ua/r/Et9D</t>
  </si>
  <si>
    <t>Вениамин Коновалов</t>
  </si>
  <si>
    <t>ВП | КУПЛЮ | ПРОДАМ</t>
  </si>
  <si>
    <t>Best Piar (пиар реклама просмотры)</t>
  </si>
  <si>
    <t>приглашает вас в monobank! Оформите карту, перейдя по персональной ссылке, и вы оба получите по 50 грн на счет кешбэка!
https://monobank.com.ua/r/C8ed</t>
  </si>
  <si>
    <t>Ярослав Матюха</t>
  </si>
  <si>
    <t>13:32</t>
  </si>
  <si>
    <t>БИРЖА РЕКЛАМЫ 24/7</t>
  </si>
  <si>
    <t>13:26</t>
  </si>
  <si>
    <t>Віктор Котовський</t>
  </si>
  <si>
    <t>13:25</t>
  </si>
  <si>
    <t>Jeka Gorodiskiy переподключение бесплатное) за 1-2 справимся)</t>
  </si>
  <si>
    <t>13:24</t>
  </si>
  <si>
    <t>Руслан Буратинский</t>
  </si>
  <si>
    <t>Volodymyr Lutsenko</t>
  </si>
  <si>
    <t>13:13</t>
  </si>
  <si>
    <t>Приглашаю вас в monobank! Оформите карту, перейдя по персональной ссылке, и мы оба получим по 50 грн на счет кешбэка!
https://monobank.com.ua/r/g2cc
monobank – банк без відділень</t>
  </si>
  <si>
    <t>Діма Кордюк</t>
  </si>
  <si>
    <t>13:12</t>
  </si>
  <si>
    <t>Yurii Romanuk</t>
  </si>
  <si>
    <t>13:09</t>
  </si>
  <si>
    <t>Анастасия Епинина</t>
  </si>
  <si>
    <t>У меня линк, просто на другой квартире ситилайт.
Проклинаю его, еще и за настройку роутера просят деньги</t>
  </si>
  <si>
    <t>13:02</t>
  </si>
  <si>
    <t>Eugene Boyko</t>
  </si>
  <si>
    <t>12:52</t>
  </si>
  <si>
    <t>Elena Vlasovna Novikova</t>
  </si>
  <si>
    <t>12:49</t>
  </si>
  <si>
    <t>Хвалил Монобанк за солидный кешбек, но, увы, у нас всему приходит быстрый конец. Как бетатестер был в особом восторге. А</t>
  </si>
  <si>
    <t>Дмитрий Дубилет, как делать репост моей хвалебной публикации, так "да", а как ответить на вопрос с критикой, так "извините"?</t>
  </si>
  <si>
    <t>Nikita Koval</t>
  </si>
  <si>
    <t>12:48</t>
  </si>
  <si>
    <t>Подскажите пожалуйста, пополняя карту через терминал Привата, деньги на карту заходят сразу?</t>
  </si>
  <si>
    <t>FlashUA</t>
  </si>
  <si>
    <t>12:36</t>
  </si>
  <si>
    <t>С Привата на Монобанк берется комиссия 5 грн. В обратную сторону не знаю.</t>
  </si>
  <si>
    <t>Yaroslava Vernikovska</t>
  </si>
  <si>
    <t>12:30</t>
  </si>
  <si>
    <t>Перевод с привата на монобанк и с монобанка на приват как тарифицируется?</t>
  </si>
  <si>
    <t>Denis Shutka</t>
  </si>
  <si>
    <t>Зробіть коротенький відео туторіал як налаштувати автоматичний платіж в пріват24 та монобанк і показуйте перед або після</t>
  </si>
  <si>
    <t>Зробіть коротенький відео туторіал як налаштувати автоматичний платіж в пріват24 та монобанк і показуйте перед або після звіту.
У якості зразка: 
Уроки Приват 24. Подключение регулярного платежа на карту Юниора.
Подключение регулярного платежа на карту Юниора. Пишите в комментариях какие обучающие видео еще необходимы
https://youtu.be/MPp9F227TTw</t>
  </si>
  <si>
    <t>Mykola Dyachenko</t>
  </si>
  <si>
    <t>12:23</t>
  </si>
  <si>
    <t>Кожен активний реферал отримає від мене 100 грн на карту ПриватБанку чи monobank'у.
https://t.me/tsadm/15
Такий собі адмін
 телеграмщики!
Сьогодні я розповім вам про сервіс, який допоможе вам швидко почати співпрацювати з такими провідними компаніями, як АльфаБанк, ПриватБанк, monobank, O'STIN, METRO UA, Sneakerhead, Фокстрот, TEZ TOUR, Готівочка, moneyveo, ROZETKA, і ще багато інших.
Це сайт-посередник, який дозволяє швидко отримати реферальне посилання будь-якої з цих компаній, і почати співпрацювати.
Для початку нам потрібно зареєструватись:
Моє реферальне посилання:
https://www.admitad.com/ru/promo/?ref=mqt4h3u2y5
Не реферальне посилання:
https://www.admitad.com/ru/
 Якщо ви зареєструєтесь по моєму реферальному посиланню ви отримаєте додаткову особисту консультацію консультацію від мене по роботі з сайтом, щоб швидше почати отримувати прибуток.
 Чому це вигідно?
Мій прибуток з кожного реферального посилання значно перевищує прибуток з продажу реклами іншим каналам, окрім цього я знайшов на цьому сервісі компанію, з якої я отримав в 4 рази більше, ніж моя ціна реклами для телеграм-каналів.
 Цікавить який саме? Реєструйся…
https://t.me/tsadm/15</t>
  </si>
  <si>
    <t>Flood | ResourceNET</t>
  </si>
  <si>
    <t>Мені подобається відео @YouTube Максимальный кешбек монобанк при оплате картой</t>
  </si>
  <si>
    <t>Alexandr Drobyazko</t>
  </si>
  <si>
    <t>12:15</t>
  </si>
  <si>
    <t>Там все просто, делаешь карту монобанка, а там сейчас типо акция, за каждого приведенного друга 50 грн на счет, и потом зовешь друзей чтобы они по твоей реферальной ссылке делали карточку (БЕСПЛАТНО) и вам обоих дают по 50 грн на счет, вот я так и зарабатываю, схема легкая, пассивный заработок)
https://monobank.com.ua/r/Hgfp
#monobank #зароботоквинтернете #легкиеденги #банк #мобильныйбанк #пассивныйзароботок #денги #много #топ #актуально #зарабаитываюдома</t>
  </si>
  <si>
    <t>SLIVKI_VS</t>
  </si>
  <si>
    <t>12:11</t>
  </si>
  <si>
    <t>телеграмщики! Сьогодні я розповім вам про сервіс, який допоможе вам швидко почати співпрацювати з такими провідними компаніями, як АльфаБанк, ПриватБанк, monobank, O'STIN, METRO UA, Sneakerhead, Фокстрот, TEZ TOUR, Готівочка, moneyveo, ROZETKA,</t>
  </si>
  <si>
    <t>Кожен активний реферал отримає від мене 100 грн на карту ПриватБанку чи monobank'у.
https://t.me/tsadm/15</t>
  </si>
  <si>
    <t>/forum/index.php?act=findpost&amp;pid=72036323  kamaz_ik,
Если бы поставили комиссию за пополнение, как в привате, было бы неприятно, а так думаю, это ограничение никто бы и не заметил, если бы не сидели здесь на форуме.</t>
  </si>
  <si>
    <t>g.s.</t>
  </si>
  <si>
    <t>Пока в сети люди разделились на влюбленных в #monobank и на разачароваашихся, я только сегодня забрала свою карту.</t>
  </si>
  <si>
    <t>ahahahah))) daaa</t>
  </si>
  <si>
    <t>Arty Provornikoff</t>
  </si>
  <si>
    <t>Marina Sukhova</t>
  </si>
  <si>
    <t>Arty Provornikoff тоже на котиков повёлся?)</t>
  </si>
  <si>
    <t>ta poka norm, support horoshiy)) negativa na dannom etape net ;)</t>
  </si>
  <si>
    <t>Какие впечатления?)</t>
  </si>
  <si>
    <t>12:07</t>
  </si>
  <si>
    <t>ko mne ))</t>
  </si>
  <si>
    <t>ИТАЛИЯ СМОТРИЬ</t>
  </si>
  <si>
    <t>Ludmila Bandrovska</t>
  </si>
  <si>
    <t>Впервые в этом году на Ukrainian E-commerce Awards лучший интернет-магазин выбирают в каждой товарной категории. И, как</t>
  </si>
  <si>
    <t>Алена, я не ставлю под сомнение Пампик. Для меня они лидеры. В БИ средства по уходу не купить. Гарна Мама не знаю как потребитель.
Я ставлю под сомнение само голосование. Оно не ориентированно на конечного потребителя!!!
Голосуют те кто знают о голосовании и из своих субъективных взглядов.
Вот например приложения Нова Пошта, Приват и Монобанк. Я считаю что все отличные, но Новой поште нужно больше функционала. А выиграет Монобанк, потому что котики, потому что все голосующие (90%) из IT. А приложение ПБ по функционалу шире, но без котиков.
Выиграет ОЛХ. А приложение у него «очень плохое», писала в супорт о грубыз ошибках - игнор.......
Вот так по каждому могу пройтись кого знаю</t>
  </si>
  <si>
    <t>Анастасия Храброва</t>
  </si>
  <si>
    <t>Shahin Musayev</t>
  </si>
  <si>
    <t>12:03</t>
  </si>
  <si>
    <t>А какую сумму рекомендуете выводить на монобанк</t>
  </si>
  <si>
    <t>Stanec</t>
  </si>
  <si>
    <t>KUNA Общая ua/ru</t>
  </si>
  <si>
    <t>12:00</t>
  </si>
  <si>
    <t>Любов Володіна</t>
  </si>
  <si>
    <t>Павло Волотко</t>
  </si>
  <si>
    <t>/forum/index.php?act=findpost&amp;pid=72026362  g.s.,
Я думаю, что проблема не в том, что сделали ограничение, а сам факт, что начинают прикручивать. Когда нужно привлечь клиентов обещают золотые горы. Разве сложно было предвидеть злоупотребления? Но в начале нужна идеальная картинка. Неприятно, когда начинают ограничивать, да и в такие короткие сроки после запуска, тот же кэшбэк который порезали выборочно, то есть люди есть разных сортов?</t>
  </si>
  <si>
    <t>kamaz_ik</t>
  </si>
  <si>
    <t>11:58</t>
  </si>
  <si>
    <t>Суд над Бубенчиком??? Вообще хуйня какая то! 1)был принят закон об амнистии для всех участников революции! 2) закон</t>
  </si>
  <si>
    <t>Суд над Бубенчиком???
Вообще хуйня какая то!
1)был принят закон об амнистии для всех участников революции!
2) закон давно вступил в силу)
3) его не отменяли и не вносили поправки!
4) к применению оружия призывали:Турчинов,Луценко,Парубий,Кличко,Аваков,Тягныбок и Куля в лоб!
Для этого они и предумали амнистию!
Какой может быть суд? Мой мозг зашёл в тупик(
Извените за лексикон(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</si>
  <si>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Василий Рогов</t>
  </si>
  <si>
    <t>схемки или темки?</t>
  </si>
  <si>
    <t>11:53</t>
  </si>
  <si>
    <t>Пока в сети люди разделились на влюбленных в #monobank и на разачароваашихся, я только сегодня забрала свою карту.
Интересно к кому я присоединюсь)
*
И как же здорово наконец то надеть кроссовки и идти по твердоому и сухому</t>
  </si>
  <si>
    <t>11:45</t>
  </si>
  <si>
    <t>Елена Кригер</t>
  </si>
  <si>
    <t>Здравствуйте. Я являюсь представителем monobank .
Новый банк в твоём смартфоне без отделений .
При регистрации по специальной ссылке вы получаете 50 грн кэшбэка
https://monobank.com.ua/r/bczQ</t>
  </si>
  <si>
    <t>Максим Козлов</t>
  </si>
  <si>
    <t>11:39</t>
  </si>
  <si>
    <t>Наталія Мошковська</t>
  </si>
  <si>
    <t>Ольга Мазурець</t>
  </si>
  <si>
    <t>Lara Rudenko</t>
  </si>
  <si>
    <t>11:34</t>
  </si>
  <si>
    <t>Людмила Погрібна</t>
  </si>
  <si>
    <t>Наталія Латко</t>
  </si>
  <si>
    <t>Искра приглашает вас в monobank! Оформите карту, перейдя по персональной ссылке, и вы оба получите по 50 грн на счет кешбэка!
https://monobank.com.ua/r/hUSJ</t>
  </si>
  <si>
    <t>Искра</t>
  </si>
  <si>
    <t>Galina Dimok</t>
  </si>
  <si>
    <t>Людмила Нечай</t>
  </si>
  <si>
    <t>приглашает вас в monobank! Оформите карту, перейдя по персональной ссылке, и вы оба получите по 50 грн на счет кешбэка!
https://monobank.com.ua/r/hUSJ</t>
  </si>
  <si>
    <t>11:32</t>
  </si>
  <si>
    <t>Oleksandr Lavrynenko</t>
  </si>
  <si>
    <t>11:31</t>
  </si>
  <si>
    <t>Tetiana Yashchyshyna</t>
  </si>
  <si>
    <t>Vasyl Bihun</t>
  </si>
  <si>
    <t>Elvira Zemblevich</t>
  </si>
  <si>
    <t>11:30</t>
  </si>
  <si>
    <t>Т. Правденко</t>
  </si>
  <si>
    <t>Влад Спесивец согласен, заказываю сегодня, чтобы была "подстраховка", а то за Приват ходят не очень хорошие слухи.</t>
  </si>
  <si>
    <t>Alexander Shyshkov</t>
  </si>
  <si>
    <t>Александр Савицкий</t>
  </si>
  <si>
    <t>Elena Ivanova</t>
  </si>
  <si>
    <t>11:28</t>
  </si>
  <si>
    <t>Ekaterina Igorevna Biloshytska</t>
  </si>
  <si>
    <t>Ну, без привата все равно в Украине сложно. Это системный банк. А так, конечно рекомендую чтобы карта монобанка была у вас в кошельке )</t>
  </si>
  <si>
    <t>Vlad Spesyvets</t>
  </si>
  <si>
    <t>Саша Сушко хз, мне дали лимит, а потом автоматом увеличили его в 12 раз.</t>
  </si>
  <si>
    <t>Валя Суханова</t>
  </si>
  <si>
    <t>#япідтримуюDavidSakvarelidze</t>
  </si>
  <si>
    <t>Імпічмент Порошенку</t>
  </si>
  <si>
    <t>Оксана Допко</t>
  </si>
  <si>
    <t>ДОШКА ЩОДЕННИХ ОГОЛОШЕНЬ/ВСЯ УКРАЇНА</t>
  </si>
  <si>
    <t>Alice Mael</t>
  </si>
  <si>
    <t>11:25</t>
  </si>
  <si>
    <t>Денис Плаксиенко</t>
  </si>
  <si>
    <t>Коля Стрижко</t>
  </si>
  <si>
    <t>Roman Havrilyak</t>
  </si>
  <si>
    <t>11:22</t>
  </si>
  <si>
    <t>Мира Корнилкова</t>
  </si>
  <si>
    <t>11:21</t>
  </si>
  <si>
    <t>Андрей Граф</t>
  </si>
  <si>
    <t>Igor  Ponomarenko</t>
  </si>
  <si>
    <t>Елена Лузина</t>
  </si>
  <si>
    <t>Slavko  Starovozdvizhensky</t>
  </si>
  <si>
    <t>Олександр Литвинов</t>
  </si>
  <si>
    <t>"НИВКИ" - ФОРПОСТ СТОЛИЦІ.</t>
  </si>
  <si>
    <t>11:17</t>
  </si>
  <si>
    <t>Сергій Іващенко</t>
  </si>
  <si>
    <t>Надежда Быгар</t>
  </si>
  <si>
    <t>11:15</t>
  </si>
  <si>
    <t>Oleksandr Oliynyk</t>
  </si>
  <si>
    <t>Roman  Tokar</t>
  </si>
  <si>
    <t>Богдан Бардачук</t>
  </si>
  <si>
    <t>11:14</t>
  </si>
  <si>
    <t>Непросто все! Возможно рассказ Бубенчика про автомат и патроны и нужно расследовать, но только после расследования</t>
  </si>
  <si>
    <t>Непросто все! Возможно рассказ Бубенчика про автомат и патроны и нужно расследовать, но только после расследования убийств на Майдане и бесследно пропавших.
Для начала нужно восстановить доверие к судам, прокуратуре, ментам, а уж потом судить Бубенчика... Вот я не верю ни капли следствию и суду... Думаю, что не верят 99%... Какой вердикт они вынесут, для кого...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</si>
  <si>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Руслан Жиров</t>
  </si>
  <si>
    <t>11:10</t>
  </si>
  <si>
    <t>Татьяна Ващенко</t>
  </si>
  <si>
    <t>Це дуже віажлива штука. Я дякую кожному, хто не зневірився. Ви - круті. Обіцяли – публікуємо. Але перед тим, як озвучити</t>
  </si>
  <si>
    <t>Це дуже віажлива штука. Я дякую кожному, хто не зневірився. Ви - круті.
Обіцяли – публікуємо. Але перед тим, як озвучити фінансовий звіт, хочеться показати трохи цікавих цифр. За ще один місяць нашої невпинної роботи:
 вітаємо 5218 нових підписників на ютубі (привіт!)
 тепер нас ще більше! на трьох каналах вже 69+ тисяч фоловерів.
 ого, ви разом переглянули наші відео на 19,5 мільйонів хвилин.
 а це вже понад 1,2 мільйона переглядів всього за місяць.
 не спиняємось!
Така підтримка – надважлива. Навіть один коментар вдячності за програму дає нам сили працювати та розвиватися. Тому лойк-дизлойк-комент-шер :)
До речі про програми, минулого тижня запустили нову — «Паралельний світ» на skrypin.ua. Перший випуск про крипту і блокчейн. Хто вже бачив, напишіть як вам, будемо вдосконалювати. Хто не бачив – запрошуємо до перегляду.
А тепер переходимо до фінансів.
За березень нам вдалося зібрати донейтів на загальну суму: 128 908, 26 гривень.
ПриватБанк: ₴81 515 (від 1053 глядачів)
PayPal: €928 (від 54 глядачів)
IBAN: €94,99 (від 7 глядачів)
monobank: ₴11 019
Мобільні перекази: ₴1964,66
Для орієнтування. Ця сума — це 75% необхідного місячного бюджету skrypin.ua з урахуванням розвитку.
Мету, яку ми поставили – 200 тисяч гривень – ми не досягли. Але це не страшно і мотивує робити наші канали ще цікавішими, аби вам хотілося підтримати нас гривнею-євро-доларом чи навіть криптою! 200 тисяч гривень — це сума, яка б покрила наші витрати та дала б можливість створювати щось нове (і не перезавантажувати комп’ютер під час П’ятничного каналу).
Цього місяця нам переказували навіть 1 гривню, але і ця гривня — важлива. ДЯКУЄМО! А збудувати незалежний медіа-майданчик в Україні таки хочеться! Давайте це зробимо!
Налаштуй щомісячний платіж:
• pb.ua: 5363 5423 0168 4263
• monobank: 5375 4141 0021 8964
• paypal@skrypin.ua
• IBAN: DE11 1005 0000 6014 1157 71
• для збору мобільних переказів: +380963302229
• крипта: http://skrypin.ua/help/
Роман Скрипін, Данило Яневський, Kateryna Suprun, Bohdana Shevchenko, Sasha Eclair, Anton Dubovyk, Kocc Kazymko, with love ❤️</t>
  </si>
  <si>
    <t>Roman Skrypin</t>
  </si>
  <si>
    <t>11:07</t>
  </si>
  <si>
    <t>Анатолій Косован</t>
  </si>
  <si>
    <t>Ємець Андрій</t>
  </si>
  <si>
    <t>Oleg Parfilov</t>
  </si>
  <si>
    <t>Natalia Sokolova</t>
  </si>
  <si>
    <t>Ivan Bandera</t>
  </si>
  <si>
    <t>Олег Галицький</t>
  </si>
  <si>
    <t>Василь Демчик</t>
  </si>
  <si>
    <t>Нина Науменко</t>
  </si>
  <si>
    <t>Morphey Solomonovich</t>
  </si>
  <si>
    <t>11:00</t>
  </si>
  <si>
    <t>Valeriy  Kibinovskey</t>
  </si>
  <si>
    <t>10:59</t>
  </si>
  <si>
    <t>Новини Полтава</t>
  </si>
  <si>
    <t>За Юлю Тимошенко</t>
  </si>
  <si>
    <t>Горячие новости Украины | Политика | Экономика | Общество | Криминал</t>
  </si>
  <si>
    <t>"УКРАЇНА-ІНФО"</t>
  </si>
  <si>
    <t>Права спільнота</t>
  </si>
  <si>
    <t>Підтримаємо Юлію Тимошенко!</t>
  </si>
  <si>
    <t>ЗА УКРАЇНУ</t>
  </si>
  <si>
    <t>Александр Вильгуцкий</t>
  </si>
  <si>
    <t>10:57</t>
  </si>
  <si>
    <t>Igor Korpan</t>
  </si>
  <si>
    <t>Александр Жежеленко</t>
  </si>
  <si>
    <t>Nataliya Vityuk</t>
  </si>
  <si>
    <t>Владимир Иващенко</t>
  </si>
  <si>
    <t>Tamara Veznaver</t>
  </si>
  <si>
    <t>Валерий Прачёв</t>
  </si>
  <si>
    <t>10:54</t>
  </si>
  <si>
    <t>Yuriy Bubenchyk</t>
  </si>
  <si>
    <t>Maria Telnuk</t>
  </si>
  <si>
    <t>10:53</t>
  </si>
  <si>
    <t>Переходи на линк‍♀️пополняется через все банки)</t>
  </si>
  <si>
    <t>Dato Shalikadze</t>
  </si>
  <si>
    <t>Геннадій Міщенко</t>
  </si>
  <si>
    <t>10:52</t>
  </si>
  <si>
    <t>Константин Слуцкий</t>
  </si>
  <si>
    <t>10:49</t>
  </si>
  <si>
    <t>Нормальный. Заказала у них себе карточку - привезли на следующий день, все очень быстро  У нас на работе многие пользуются. Удобно! Пользуюсь время от времени кредитной карточкой и процент там небольшой))</t>
  </si>
  <si>
    <t>Irene Tymoshenko</t>
  </si>
  <si>
    <t>Irene Kor</t>
  </si>
  <si>
    <t>10:48</t>
  </si>
  <si>
    <t>Artem Ervin</t>
  </si>
  <si>
    <t>10:47</t>
  </si>
  <si>
    <t>Ольга Скородумова</t>
  </si>
  <si>
    <t>Богдан Задушинський</t>
  </si>
  <si>
    <t>10:46</t>
  </si>
  <si>
    <t>Леся Дякун</t>
  </si>
  <si>
    <t>Андрей Тт</t>
  </si>
  <si>
    <t>Сергей Савеленко</t>
  </si>
  <si>
    <t>Карда Сергій</t>
  </si>
  <si>
    <t>Valentin  Kovalsky</t>
  </si>
  <si>
    <t>ПродактПлнцсмент детектед</t>
  </si>
  <si>
    <t>Eugenius Sn</t>
  </si>
  <si>
    <t>10:44</t>
  </si>
  <si>
    <t>Оксана Днищук</t>
  </si>
  <si>
    <t>телеграмщики!
Сьогодні я розповім вам про сервіс, який допоможе вам швидко почати співпрацювати з такими провідними компаніями, як АльфаБанк, ПриватБанк, monobank, O'STIN, METRO UA, Sneakerhead, Фокстрот, TEZ TOUR, Готівочка, moneyveo, ROZETKA, і ще багато інших.
Це сайт-посередник, який дозволяє швидко отримати реферальне посилання будь-якої з цих компаній, і почати співпрацювати.
Для початку нам потрібно зареєструватись:
Моє реферальне посилання:
https://www.admitad.com/ru/promo/?ref=mqt4h3u2y5
Не реферальне посилання:
https://www.admitad.com/ru/
 Якщо ви зареєструєтесь по моєму реферальному посиланню ви отримаєте додаткову особисту консультацію консультацію від мене по роботі з сайтом, щоб швидше почати отримувати прибуток.
 Чому це вигідно?
Мій прибуток з кожного реферального посилання значно перевищує прибуток з продажу реклами іншим каналам, окрім цього я знайшов на цьому сервісі компанію, з якої я отримав в 4 рази більше, ніж моя ціна реклами для телеграм-каналів.
 Цікавить який саме? Реєструйся за моїм реферальним посиланням, і я відповім тобі особисто!
Сеть партнёрских программ | admitad
admitad – крупнейшая CPA сеть в СНГ! Самая подробная статистика среди CPA систем. Посмотреть все партнёрские программы интернет-магазинов.
https://www.admitad.com/ru/promo/?ref=a5lppxu49q
 2</t>
  </si>
  <si>
    <t>приглашает вас в monobank! Оформите карту, перейдя по персональной ссылке, и вы оба получите по 50 грн на счет кешбэка!</t>
  </si>
  <si>
    <t>приглашает вас в monobank! Оформите карту, перейдя по персональной ссылке, и вы оба получите по 50 грн на счет кешбэка!
f6mq8.app.goo.gl
https://monobank.com.ua/r/1M4X</t>
  </si>
  <si>
    <t>Александр Кравцов</t>
  </si>
  <si>
    <t>10:43</t>
  </si>
  <si>
    <t>Constantyne Beletsky</t>
  </si>
  <si>
    <t>Микола Черевичний</t>
  </si>
  <si>
    <t>10:42</t>
  </si>
  <si>
    <t>Денис Филимонов</t>
  </si>
  <si>
    <t>!!!!!!!!!!! 04.04.2018р. адресу змiнено iхати метро Арсенальна Хрестовий провулок 4. вiдбудеться суд над Героем Майдану,</t>
  </si>
  <si>
    <t>!!!!!!!!!!! 04.04.2018р. адресу змiнено iхати метро Арсенальна Хрестовий провулок 4. вiдбудеться суд над Героем Майдану, !!!!!!!!!!!!!!!!!
https://www.facebook.com/DmitrijDmitrievv/videos/1810497115924747/?hc_ref=ARStkOsaNodpi1twhQkc-Bf_MWE2I0Pa1-sQQ_uyfwyqVfh5c8kHU4VwMx3eyIHF0bA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</si>
  <si>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Alexandra  Kulakova</t>
  </si>
  <si>
    <t>Рух "Визволення"</t>
  </si>
  <si>
    <t>10:41</t>
  </si>
  <si>
    <t>Олег Ферин</t>
  </si>
  <si>
    <t>Олександр Грицанюк</t>
  </si>
  <si>
    <t>10:39</t>
  </si>
  <si>
    <t>Олена Акимович</t>
  </si>
  <si>
    <t>10:37</t>
  </si>
  <si>
    <t>Судилище над Героєм Майдану.Київ Хрестовий провулок 4. метро Арсенальне. Дмитрий Суд Бубенчика, подключайтесь! Это не</t>
  </si>
  <si>
    <t>Судилище над Героєм Майдану.Київ Хрестовий провулок 4.
метро Арсенальне.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</si>
  <si>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Lyubomir  Alexeev</t>
  </si>
  <si>
    <t>Патріоти України - об'єднавшись переможемо</t>
  </si>
  <si>
    <t>10:36</t>
  </si>
  <si>
    <t>ИМПИЧМЕНТ ПОРОШЕНКУ</t>
  </si>
  <si>
    <t>Олег Паляк</t>
  </si>
  <si>
    <t>10:35</t>
  </si>
  <si>
    <t>Ольга Смеловская</t>
  </si>
  <si>
    <t>10:34</t>
  </si>
  <si>
    <t>Наталия Гурошева</t>
  </si>
  <si>
    <t>10:33</t>
  </si>
  <si>
    <t>Вони - Герої</t>
  </si>
  <si>
    <t>10:32</t>
  </si>
  <si>
    <t>Vladimir  Mykhalsky</t>
  </si>
  <si>
    <t>Viktoria Liria</t>
  </si>
  <si>
    <t>Frocia Burlakova</t>
  </si>
  <si>
    <t>Новини України та світу</t>
  </si>
  <si>
    <t>Неравнодушные киевляне и Ко</t>
  </si>
  <si>
    <t>Війна Росія - Україна</t>
  </si>
  <si>
    <t>Проект "Про Крим"</t>
  </si>
  <si>
    <t>ТЕРЕВЕНІ ТА ВИТРЕБЕНЬКИ</t>
  </si>
  <si>
    <t>ЕЖЕДНЕВНИК ПОЭТА В ТЮРЬМЕ.</t>
  </si>
  <si>
    <t>Майдан гідності!</t>
  </si>
  <si>
    <t>Свободу Політв'язням !!!</t>
  </si>
  <si>
    <t>Білий Молот   -   Сила і честь!</t>
  </si>
  <si>
    <t>Freedom Ukraine-вiльний контент!</t>
  </si>
  <si>
    <t>АнтиПетя</t>
  </si>
  <si>
    <t>"ГО СМУГА"</t>
  </si>
  <si>
    <t>10:31</t>
  </si>
  <si>
    <t>Bctv белоцерковское телевидение</t>
  </si>
  <si>
    <t>Правосудие.net</t>
  </si>
  <si>
    <t>СВІТ АРІЇВ</t>
  </si>
  <si>
    <t>Людмила Казьмина</t>
  </si>
  <si>
    <t>Позивний АКИМ</t>
  </si>
  <si>
    <t>РПС КИЇВ</t>
  </si>
  <si>
    <t>Музыка для души</t>
  </si>
  <si>
    <t>Alexandr  Shtaga</t>
  </si>
  <si>
    <t>Таня Гладкова</t>
  </si>
  <si>
    <t>Svetlana Samoilova</t>
  </si>
  <si>
    <t>Татьяна Коновалова</t>
  </si>
  <si>
    <t>Олег Бойко</t>
  </si>
  <si>
    <t>Борис Харчук</t>
  </si>
  <si>
    <t>Irina Smila</t>
  </si>
  <si>
    <t>Роман Галиш</t>
  </si>
  <si>
    <t>Дмитрий Дмитриев Суд Бубенчика, подключайтесь! Это не просто суд над человеком, это схватка с Западным, Европейским</t>
  </si>
  <si>
    <t>Дмитрий Дмитриев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
https://www.facebook.com/DmitrijDmitrievv/videos/1810497115924747/</t>
  </si>
  <si>
    <t>Николай Котенко</t>
  </si>
  <si>
    <t>Maiia Pinchuk Trukh</t>
  </si>
  <si>
    <t>Yuliana Opolonskaya</t>
  </si>
  <si>
    <t>Олександр Вертелецький</t>
  </si>
  <si>
    <t>Anatoliy  Hmelevskiy</t>
  </si>
  <si>
    <t>Ludmila Romanchuk</t>
  </si>
  <si>
    <t>РОССИЯ ТЮРЬМА НАРОДОВ</t>
  </si>
  <si>
    <t>Володимир Бесмертний</t>
  </si>
  <si>
    <t>Igor Petrychenko</t>
  </si>
  <si>
    <t>10:24</t>
  </si>
  <si>
    <t>Sveta Kostyuk</t>
  </si>
  <si>
    <t>Обращу внимание что там не очень честная рассрочка. Ну а вдруг. Раннее погашение не приводит к уменьшению процентов по рассрочке, проценты начисляются не на остаток, а на исходную сумму. Ну и заранее нужно выбрать период рассрочки.</t>
  </si>
  <si>
    <t>Андрій Лесик</t>
  </si>
  <si>
    <t>Nikolay  Tsygankov</t>
  </si>
  <si>
    <t>10:19</t>
  </si>
  <si>
    <t>Михаил Козаченко</t>
  </si>
  <si>
    <t>Паола Мазерати</t>
  </si>
  <si>
    <t>Кириллова Раиса</t>
  </si>
  <si>
    <t>10:17</t>
  </si>
  <si>
    <t>Елена Ромашка</t>
  </si>
  <si>
    <t>10:16</t>
  </si>
  <si>
    <t>10:13</t>
  </si>
  <si>
    <t>IR Iryna</t>
  </si>
  <si>
    <t>Татьяна Яворская</t>
  </si>
  <si>
    <t>10:12</t>
  </si>
  <si>
    <t>Лілія Степанюк</t>
  </si>
  <si>
    <t>10:11</t>
  </si>
  <si>
    <t>Svitlana Lazorko</t>
  </si>
  <si>
    <t>Oleg  Sevrjukov</t>
  </si>
  <si>
    <t>Dino Modafferi Condò</t>
  </si>
  <si>
    <t>Тарас Андреев</t>
  </si>
  <si>
    <t>Олег Бондарь</t>
  </si>
  <si>
    <t>10:09</t>
  </si>
  <si>
    <t>10:08</t>
  </si>
  <si>
    <t>МИ - БАНДЕРІВЦІ!</t>
  </si>
  <si>
    <t>10:06</t>
  </si>
  <si>
    <t>Подскажите, можно ли карту монобанка получить по почте?</t>
  </si>
  <si>
    <t>Нельзя, но можно купить у меня оформленную на другого человека)</t>
  </si>
  <si>
    <t>Superior Fox ✘</t>
  </si>
  <si>
    <t>ТЕМЫ:УКРАИНА</t>
  </si>
  <si>
    <t>10:05</t>
  </si>
  <si>
    <t>Сергей Безгин</t>
  </si>
  <si>
    <t>Галина Кудряшова</t>
  </si>
  <si>
    <t>Янгол Анастасія</t>
  </si>
  <si>
    <t>Lilia  Bondarenko</t>
  </si>
  <si>
    <t>Сергій Бондаренко</t>
  </si>
  <si>
    <t>10:04</t>
  </si>
  <si>
    <t>Alexandr Kushnir</t>
  </si>
  <si>
    <t>Vasilich Schirokin</t>
  </si>
  <si>
    <t>10:03</t>
  </si>
  <si>
    <t>Serhii Malashenkov</t>
  </si>
  <si>
    <t>Alice  Elis</t>
  </si>
  <si>
    <t>За часи режиму порошенка Україна повністю погрузилась в диктатуру!  Дмитрий Суд Бубенчика, подключайтесь! Это не</t>
  </si>
  <si>
    <t>За часи режиму порошенка Україна повністю погрузилась в диктатуру!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</si>
  <si>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Natali Rene</t>
  </si>
  <si>
    <t>10:02</t>
  </si>
  <si>
    <t>Liliya Shengera</t>
  </si>
  <si>
    <t>Підтримуємо Рух "Визволення"</t>
  </si>
  <si>
    <t>Кость Чумак</t>
  </si>
  <si>
    <t>Timur Uralov</t>
  </si>
  <si>
    <t>Vlad LTD</t>
  </si>
  <si>
    <t>ПРАВИЙ СЕКТОР.  UA</t>
  </si>
  <si>
    <t>Татьяна Пустовар</t>
  </si>
  <si>
    <t>Пётр Коренев</t>
  </si>
  <si>
    <t>10:01</t>
  </si>
  <si>
    <t>Михайло Саакашвілі-Шанс на майбутнє!</t>
  </si>
  <si>
    <t>Олег Нижегородов</t>
  </si>
  <si>
    <t>ПАТРІОТ</t>
  </si>
  <si>
    <t>Сайт"Форум о Закарпатье!Forum Transcarpathia!"</t>
  </si>
  <si>
    <t>Я підтримую НАБУ</t>
  </si>
  <si>
    <t>За часи режиму порошенка Україна повністю погрузилась в диктатуру! Дмитрий Суд Бубенчика, подключайтесь! Это не просто</t>
  </si>
  <si>
    <t>За часи режиму порошенка Україна повністю погрузилась в диктатуру!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</si>
  <si>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 Народний Контроль UA ⋆⋆⋆</t>
  </si>
  <si>
    <t>РПС  УКРАЇНИ    Революційні праві сили  УКРАЇНИ</t>
  </si>
  <si>
    <t>10:00</t>
  </si>
  <si>
    <t>«УКРАЇНЦІ-ЦЕ НАЦІЯ ГЕРОЇВ!»</t>
  </si>
  <si>
    <t>Українська громада Риму</t>
  </si>
  <si>
    <t>ПОЛІТИЧНА-КУХНЯ</t>
  </si>
  <si>
    <t>Istoria familii Shenhera v sviti</t>
  </si>
  <si>
    <t>Я ЗА  ПРАВИЙ СЕКТОР</t>
  </si>
  <si>
    <t>Друзі з Lviv Polytechnic</t>
  </si>
  <si>
    <t>Vladimir Draginich</t>
  </si>
  <si>
    <t>Kurkul.com Фермери зустрілися з власником ТАСКОМБАНК Сергієм Тігіпком. Імовірно, що ті, хто заплатив ГК "Империя-Агро"</t>
  </si>
  <si>
    <t>Цікаво як там Монобанк який працює з Тигипко!</t>
  </si>
  <si>
    <t>Lubomyr Selezinka</t>
  </si>
  <si>
    <t>Vladimir  Bunetsky</t>
  </si>
  <si>
    <t>09:59</t>
  </si>
  <si>
    <t>Kyiv-Ukraina..04.04.2018.  Sporchi affari di maffioso presidente ukraino--poroshenko..maffioso ministro dell'interno</t>
  </si>
  <si>
    <t>Kyiv-Ukraina..04.04.2018.   Sporchi affari di maffioso presidente ukraino--poroshenko..maffioso ministro dell'interno -Avakov.,,procuratore generale d'Ukraina--Lutzenko......In Ukraina la maffia va quidata dal corrotto e maffiosi presidente--poroshenko....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</si>
  <si>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Alina Vataman</t>
  </si>
  <si>
    <t>Максим Писарський</t>
  </si>
  <si>
    <t>Оксана Ромак</t>
  </si>
  <si>
    <t>09:58</t>
  </si>
  <si>
    <t>Вячеслав Слепцов</t>
  </si>
  <si>
    <t>Пропоную додатковий дохід 16+.Робота заключається в тому, щоб приєднуватись клієнтів в monobank, за кожного нового клієнта банк платить 50 грн.Детальніше в пп.</t>
  </si>
  <si>
    <t>Саша Новосвiтний</t>
  </si>
  <si>
    <t>Шукаю роботу Україна | Робота Україна</t>
  </si>
  <si>
    <t>09:57</t>
  </si>
  <si>
    <t>Наталья Абрамова</t>
  </si>
  <si>
    <t>Мысли вслух...</t>
  </si>
  <si>
    <t>Andrey Shalubin</t>
  </si>
  <si>
    <t>Юся Пєтура</t>
  </si>
  <si>
    <t>Тамара Радзиевская</t>
  </si>
  <si>
    <t>Oleh Ryvak</t>
  </si>
  <si>
    <t>Ждем-с. Уж очень они (Монобанк) интересные...гм... с разных сторон</t>
  </si>
  <si>
    <t>Александр Кушнарев</t>
  </si>
  <si>
    <t>Николай Ильинов</t>
  </si>
  <si>
    <t>!!!!!!!!!!!! 04.04.2018р. адресу змiнено iхати метро Арсенальна Хрестовий провулок 4. вiдбудеться суд над Гроем Майдану,</t>
  </si>
  <si>
    <t>!!!!!!!!!!!! 04.04.2018р. адресу змiнено iхати метро Арсенальна Хрестовий провулок 4. вiдбудеться суд над Гроем Майдану, !!!!!!!!!!!!!!!!!!!!
https://www.facebook.com/DmitrijDmitrievv/videos/1810497115924747/?hc_ref=ARTGuXolhHApb5iC5ro6o1diDhAZF_5wxgp__Ru0LoByzgK1WH76wZ2p5SdmaX0Oxm0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</si>
  <si>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Vitaliy Zalozny</t>
  </si>
  <si>
    <t>Марія Гріс</t>
  </si>
  <si>
    <t>https://www.facebook.com/DmitrijDmitrievv/videos/1810497115924747/?hc_ref=ARR6n_xp701zTTyafCSn5SB6otqBMSbaqZ5CoZUOhoIzR1CjJMT_-hLpcQ6AGAs1vQQ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</si>
  <si>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Zəfər Əhmədov - Зафар Ахмедов</t>
  </si>
  <si>
    <t>ДЕМОКРАТИЯ БЕЗ ПРИПРАВ</t>
  </si>
  <si>
    <t>09:53</t>
  </si>
  <si>
    <t>Микола Зубашков</t>
  </si>
  <si>
    <t>Ольга Туз</t>
  </si>
  <si>
    <t>Любов Яремко</t>
  </si>
  <si>
    <t>Вставай УКРАЇНО!!! Дмитрий Суд Бубенчика, подключайтесь! Это не просто суд над человеком, это схватка с Западным,</t>
  </si>
  <si>
    <t>Вставай УКРАЇНО!!!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</si>
  <si>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Nadiya Danik</t>
  </si>
  <si>
    <t>Лариса Карпова</t>
  </si>
  <si>
    <t>09:49</t>
  </si>
  <si>
    <t>Jhanet Jhanet</t>
  </si>
  <si>
    <t>Svetlana Verba</t>
  </si>
  <si>
    <t>09:47</t>
  </si>
  <si>
    <t>Андрей Платонов</t>
  </si>
  <si>
    <t>09:46</t>
  </si>
  <si>
    <t>Сергей Поха</t>
  </si>
  <si>
    <t>09:44</t>
  </si>
  <si>
    <t>ууу, монобанк зробив поповнення карти по ссилці</t>
  </si>
  <si>
    <t>Король Андрій</t>
  </si>
  <si>
    <t>Василь Гоцуляк</t>
  </si>
  <si>
    <t>09:43</t>
  </si>
  <si>
    <t>Олена Альохіна</t>
  </si>
  <si>
    <t>Emine Halil-qızı Qarabiber Taraqtaşlı</t>
  </si>
  <si>
    <t>Nikolay  Zheleznyak</t>
  </si>
  <si>
    <t>09:41</t>
  </si>
  <si>
    <t>Нестер Махно</t>
  </si>
  <si>
    <t>Марічка Михайлів</t>
  </si>
  <si>
    <t>Pshets Natali</t>
  </si>
  <si>
    <t>Раїса Шматко</t>
  </si>
  <si>
    <t>Валерій Магала</t>
  </si>
  <si>
    <t>09:39</t>
  </si>
  <si>
    <t>Таня Скрипникова</t>
  </si>
  <si>
    <t>Наталі Наталі</t>
  </si>
  <si>
    <t>09:38</t>
  </si>
  <si>
    <t>Natalia Stanislavivna</t>
  </si>
  <si>
    <t>Elena Ustimenko</t>
  </si>
  <si>
    <t>Неля Брич</t>
  </si>
  <si>
    <t>09:36</t>
  </si>
  <si>
    <t>Alla Chula</t>
  </si>
  <si>
    <t>09:35</t>
  </si>
  <si>
    <t>Людмила Андрущук Андрущук</t>
  </si>
  <si>
    <t>Ирина Корик</t>
  </si>
  <si>
    <t>09:34</t>
  </si>
  <si>
    <t>Nikolay  Kovyar</t>
  </si>
  <si>
    <t>Yaroslav Troyan</t>
  </si>
  <si>
    <t>Василий Ковальський</t>
  </si>
  <si>
    <t>Elena  Nalivayko</t>
  </si>
  <si>
    <t>09:33</t>
  </si>
  <si>
    <t>Олег Кушнаренко</t>
  </si>
  <si>
    <t>Ann  Nazarenko</t>
  </si>
  <si>
    <t>Oleg Danilchenko</t>
  </si>
  <si>
    <t>Ирина Мельник</t>
  </si>
  <si>
    <t>09:31</t>
  </si>
  <si>
    <t>Янош Марина</t>
  </si>
  <si>
    <t>Ирина Харитонова</t>
  </si>
  <si>
    <t>Liza Bogutskaya</t>
  </si>
  <si>
    <t>Юрий Соломаха</t>
  </si>
  <si>
    <t>09:29</t>
  </si>
  <si>
    <t>Андрій Кудряшов</t>
  </si>
  <si>
    <t>09:27</t>
  </si>
  <si>
    <t>Oleksandra Shpil</t>
  </si>
  <si>
    <t>09:26</t>
  </si>
  <si>
    <t>Бердянск online - главные новости</t>
  </si>
  <si>
    <t>Прихильники УПЦ КП Бердянськ</t>
  </si>
  <si>
    <t>Mychajlo Genyk</t>
  </si>
  <si>
    <t>Форум залізничників України        /         Forum of railwaymen of Ukraine</t>
  </si>
  <si>
    <t>Бердянськ (Бердянск, Berdyansk)</t>
  </si>
  <si>
    <t>Майдан Бердянск</t>
  </si>
  <si>
    <t>Luka Sofianidis</t>
  </si>
  <si>
    <t>Александр Толмачев</t>
  </si>
  <si>
    <t>Шведский стол</t>
  </si>
  <si>
    <t>Строительное Общество.</t>
  </si>
  <si>
    <t>Живая Планета Земля</t>
  </si>
  <si>
    <t>МЕСТА, ГДЕ ОХОТА ПОБЫВАТЬ</t>
  </si>
  <si>
    <t>09:23</t>
  </si>
  <si>
    <t>Військові новини України</t>
  </si>
  <si>
    <t>Володя Блинда</t>
  </si>
  <si>
    <t>Открытки для друзей</t>
  </si>
  <si>
    <t>Larisa Sokol</t>
  </si>
  <si>
    <t>Михаил Саакашвили,наш лидер</t>
  </si>
  <si>
    <t>Активные борцы за Саакашвили и Рух</t>
  </si>
  <si>
    <t>Наталия Исаева</t>
  </si>
  <si>
    <t>Vitaly  Levchenko</t>
  </si>
  <si>
    <t>09:21</t>
  </si>
  <si>
    <t>Yriy Zabolotniy</t>
  </si>
  <si>
    <t>Светлана Романская</t>
  </si>
  <si>
    <t>09:20</t>
  </si>
  <si>
    <t>Светлана Вольная</t>
  </si>
  <si>
    <t>Alena Chernenko</t>
  </si>
  <si>
    <t>УКРАЇНА</t>
  </si>
  <si>
    <t>Romana Bilynska</t>
  </si>
  <si>
    <t>09:19</t>
  </si>
  <si>
    <t>Галина Локтева</t>
  </si>
  <si>
    <t>Олександра Подкопаєва</t>
  </si>
  <si>
    <t>Dmitriy Maksimenko</t>
  </si>
  <si>
    <t>Олександр Мункачій</t>
  </si>
  <si>
    <t>Саша Нагаєвський</t>
  </si>
  <si>
    <t>Виталий Рудич</t>
  </si>
  <si>
    <t>Николай Гапеев</t>
  </si>
  <si>
    <t>Лариса Казимова</t>
  </si>
  <si>
    <t>Сергій Нікітченко</t>
  </si>
  <si>
    <t>Aleksandr  Antipov</t>
  </si>
  <si>
    <t>Нестор Иванов</t>
  </si>
  <si>
    <t>Неля Гутник</t>
  </si>
  <si>
    <t>Галина Король</t>
  </si>
  <si>
    <t>РУХ НОВИХ СИЛ - Україна</t>
  </si>
  <si>
    <t>Друзі РУХУ</t>
  </si>
  <si>
    <t>Новини України UA</t>
  </si>
  <si>
    <t>Максим Ковалик</t>
  </si>
  <si>
    <t>Суд над Героєм України ! Дмитрий Суд Бубенчика, подключайтесь! Это не просто суд над человеком, это схватка с Западным,</t>
  </si>
  <si>
    <t>Суд над Героєм України !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</si>
  <si>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Alla Kalinyuk</t>
  </si>
  <si>
    <t>USA supports Ukraine</t>
  </si>
  <si>
    <t>New Ukraine</t>
  </si>
  <si>
    <t>УКРАЇНЦІ  В  СВІТІ: новини, події, люди</t>
  </si>
  <si>
    <t>INFA УКРАЇНА</t>
  </si>
  <si>
    <t>Наша версія</t>
  </si>
  <si>
    <t>Diana  Cherkesova</t>
  </si>
  <si>
    <t>Larisa Putkaradze</t>
  </si>
  <si>
    <t>Марина Антонюк</t>
  </si>
  <si>
    <t>Tetyana Troianovska</t>
  </si>
  <si>
    <t>Сергей Сергій Лєсогорський приглашает вас в monobank! Оформите карту, перейдя по персональной ссылке, и вы оба получите</t>
  </si>
  <si>
    <t>доброе утро</t>
  </si>
  <si>
    <t>Mert Ar</t>
  </si>
  <si>
    <t>Таня Панчёшная</t>
  </si>
  <si>
    <t>Sergey Nenko</t>
  </si>
  <si>
    <t>Iurii  Sadovyi</t>
  </si>
  <si>
    <t>Igor  Leshonok</t>
  </si>
  <si>
    <t>Viktoria Achkanova</t>
  </si>
  <si>
    <t>Viktor Lingamov</t>
  </si>
  <si>
    <t>Evgeniya  Shevchenko</t>
  </si>
  <si>
    <t>Yury  Kasyanenko</t>
  </si>
  <si>
    <t>09:12</t>
  </si>
  <si>
    <t>Ігор Щирий Українець</t>
  </si>
  <si>
    <t>Ольга Гофтарчук</t>
  </si>
  <si>
    <t>Olga  Nikiforova</t>
  </si>
  <si>
    <t>09:11</t>
  </si>
  <si>
    <t>Владислав Головко</t>
  </si>
  <si>
    <t>09:10</t>
  </si>
  <si>
    <t>Анатолій Підопригора</t>
  </si>
  <si>
    <t>Игорь Троецкий</t>
  </si>
  <si>
    <t>09:09</t>
  </si>
  <si>
    <t>Ярослав Николаев</t>
  </si>
  <si>
    <t>Olena Liuta</t>
  </si>
  <si>
    <t>09:08</t>
  </si>
  <si>
    <t>Volodymyr Marushchak</t>
  </si>
  <si>
    <t>09:07</t>
  </si>
  <si>
    <t>Суд Бубенчика ! Это не просто суд над человеком, это схватка с Западным, Европейским способом мышления и жизни против</t>
  </si>
  <si>
    <t>Суд Бубенчика !
Это не просто суд над человеком, это схватка с Западным, Европейским способом мышления и жизни против совка!
Дмитрий
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</si>
  <si>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Jury  Gritsko</t>
  </si>
  <si>
    <t>Tatyana Bayer</t>
  </si>
  <si>
    <t>Ivan Havinskyy</t>
  </si>
  <si>
    <t>Богдана Нікітенко</t>
  </si>
  <si>
    <t>09:06</t>
  </si>
  <si>
    <t>Konstantin Yahmenyov</t>
  </si>
  <si>
    <t>Liudmyla Chernetska</t>
  </si>
  <si>
    <t>Ruslan Ruslan</t>
  </si>
  <si>
    <t>Завдяки моно банку я полюбив "читати"</t>
  </si>
  <si>
    <t>Vlad Korol</t>
  </si>
  <si>
    <t>09:05</t>
  </si>
  <si>
    <t>Зуброва Юлія</t>
  </si>
  <si>
    <t>09:04</t>
  </si>
  <si>
    <t>Леонід Подколзін</t>
  </si>
  <si>
    <t>Alexander Daragan</t>
  </si>
  <si>
    <t>09:03</t>
  </si>
  <si>
    <t>Олена Дронь</t>
  </si>
  <si>
    <t>09:02</t>
  </si>
  <si>
    <t>Эвелина Арифова</t>
  </si>
  <si>
    <t>Игорь Сулима</t>
  </si>
  <si>
    <t>Анжелика Дубовик</t>
  </si>
  <si>
    <t>09:01</t>
  </si>
  <si>
    <t>Олег Дацюк</t>
  </si>
  <si>
    <t>09:00</t>
  </si>
  <si>
    <t>Кэшбэк для каждого свой в Монобанк. Понизили проценты... http://youtu.be/qbfIO9TH12A?a</t>
  </si>
  <si>
    <t>Andrey Tereshchenko</t>
  </si>
  <si>
    <t>Кэшбэк для каждого свой в Монобанк. Понизили проценты кешбек</t>
  </si>
  <si>
    <t>Банки-фишки-платежи</t>
  </si>
  <si>
    <t>plus.google.com</t>
  </si>
  <si>
    <t>Кэшбэк для каждого свой в Монобанк. Понизили проценты кешбек
На канале Банки фишки платежи новое видео про Монобанк. Оказывается, с начала марта для каждого пользователя Моно действует свой кэшбэк. Как сказал сотрудник технической поодержки, он выбирается индивидуально для каждого месяца. Это касается как категории, так и процентной ставки кешбек
**********************************
Возвращайте деньги за покупки - https://goo.gl/zhEbvP  - начните экономить уже сейчас! Покупайте в более чем 958 интернет-магазинах по всему миру!
**********************************
С НАМИ ПРОСТО И ПРИБЫЛЬНО - https://goo.gl/oCPJmK
---------
Поделись видео с друзьями: 
Видеоканал Банки-Фишки-Платежи: https://www.youtube.com/channel/UCdLa97WrKW2kmoGjiSgy5Qg
---------
Мой канал Банки-фишки-платежи - это авторский канал. Все, что я здесь предлагаю - это личный опыт, проверенные практики, только лучшие результаты, которые мне позволили осуществить одну из моих финансовых целей - купить квартиру.
Это канал про то, как эффективно и рационально распоряжаться деньгами, как вести планирование своих доходов и расходов.
Как оказалось, многие думают, что надо уметь только зарабатывать. Поверьте, не меньше важны и Ваши траты. Умные траты. Без ущемления своих интересов и качества жизни.</t>
  </si>
  <si>
    <t>08:59</t>
  </si>
  <si>
    <t>Владимир Горбунов</t>
  </si>
  <si>
    <t>илона токарева</t>
  </si>
  <si>
    <t>Ljudmyla  Tymchuk</t>
  </si>
  <si>
    <t>БРУТАЛЬНА ВІЙНА</t>
  </si>
  <si>
    <t>Лина Копач</t>
  </si>
  <si>
    <t>Valentina Komtes</t>
  </si>
  <si>
    <t>Ольга Анатольевна</t>
  </si>
  <si>
    <t>Лариса Коляденко</t>
  </si>
  <si>
    <t>Aalexx Suunny</t>
  </si>
  <si>
    <t>Volodymyr Parashchak</t>
  </si>
  <si>
    <t>08:57</t>
  </si>
  <si>
    <t>Vadym Zoryan Pechnikov</t>
  </si>
  <si>
    <t>08:55</t>
  </si>
  <si>
    <t>Nikolay  Myznikov</t>
  </si>
  <si>
    <t>УКРАИНСКАЯ УКРАИНА БЕЗ ОЛИГАРХОВ - УКРАЇНСЬКА УКРАЇНА БЕЗ ОЛІГАРХІВ</t>
  </si>
  <si>
    <t>08:54</t>
  </si>
  <si>
    <t>РУХ ПРОСТИХ ЛЮДЕЙ</t>
  </si>
  <si>
    <t>Ретро Хмільовський</t>
  </si>
  <si>
    <t>Lyud Myla</t>
  </si>
  <si>
    <t>Viktor  Verbitsky</t>
  </si>
  <si>
    <t>Сергей Гончаров</t>
  </si>
  <si>
    <t>08:53</t>
  </si>
  <si>
    <t>Rayisa Mala</t>
  </si>
  <si>
    <t>Olha Petriv</t>
  </si>
  <si>
    <t>08:52</t>
  </si>
  <si>
    <t>Галина Голубова</t>
  </si>
  <si>
    <t>Кавказцы и Характерники за Рух Новых Сил в Западном и Восточном Донбассе.</t>
  </si>
  <si>
    <t>Характерники колыбели Донбасса. Лисичанск, Северо-донецк,Рубежное,Кременная</t>
  </si>
  <si>
    <t>Характерники Західного Донбасу Павлоград, Тернівка, Першотравенськ...</t>
  </si>
  <si>
    <t>Оля Зозуля</t>
  </si>
  <si>
    <t>08:51</t>
  </si>
  <si>
    <t>Macro Logins</t>
  </si>
  <si>
    <t>Anna Kosyk</t>
  </si>
  <si>
    <t>Oleg  Kamentsov</t>
  </si>
  <si>
    <t>08:49</t>
  </si>
  <si>
    <t>Олена Гураль</t>
  </si>
  <si>
    <t>Yousf Ibrahim</t>
  </si>
  <si>
    <t>Андрей Миронов</t>
  </si>
  <si>
    <t>Elena  Kopteva</t>
  </si>
  <si>
    <t>Я хочу взять у тебя интервью. Личное, откровенное, про секс. Интервью с сексологом – еще то приключение! Это путь в себя</t>
  </si>
  <si>
    <t>Я хочу взять у тебя интервью. Личное, откровенное, про секс.
Интервью с сексологом – еще то приключение!
Это путь в себя и к себе, к партнеру, к вашему новому развороту в отношениях.
Буду:
- задавать неудобные вопросы;
- рассказывать полезные фишки;
- расспрашивать тебя о тебе и отвечать на твои вопросы;
- давать техники для налаживания коммуникации между партнерами по сексу и по жизни.
Не буду:
- учить позам для замужества;
- говорить о том, как сделать хорошо ему и забыть о себе;
- обучать сексуальным техникам.
Это интервью о всех сторонах секса: до, во время и после. Фрирайтинг и его анализ – лучшие инструменты для этого.
Как:
1. Каждое утро я буду задавать вопрос в секретной группе.
Ответ на него лучше всего давать письменно. Себе. Со мной или группой можно поделиться эмоциями, ощущением. настроением, открытием. А можно не делиться.
2. 3-4 раза в неделю в группе появляется видео на важные темы. В т.ч. ответы на вопросы участниц.
3. За эти 3 недели у тебя будет возможность узнать еще больше о себе, о сексе, о партнере. Без домашек никуда :)
4. Если ты будешь делиться своими мыслями, у меня будет возможность задавать тебе дополнительные вопросы. Он помогают раскрыть себя глубже.
5. Минимум 3 прямых эфира позволят задать все интересующие вопросы и получить на них ответы.
В этот раз будет 2 формата:
"ОДНА, НО ВМЕСТЕ".
21 день работы по теме сексуальности
17 вопросов (4 выходных дня)
Мои комментарии
Домашние задания
Моя постоянная поддержка и помощь
Изменение в направлении движения в зависимости от звучания общего пространства и появившихся вопросов
Возможность задать все свои вопросы и получить на них ответы
Доступ ко всем видео в группе
Дополнительные индивидуальные вопросы при условии постоянной обратной связи
10% скидки на мой онлайн-курс для женщин (анонс весной)
̶̶̶П̶̶̶о̶̶̶с̶̶̶т̶̶̶о̶̶̶я̶̶̶н̶̶̶н̶̶̶а̶̶̶я̶̶̶ ̶̶̶̶о̶̶̶б̶̶̶р̶̶̶а̶̶̶т̶̶̶н̶̶̶а̶̶̶я̶̶̶ ̶̶̶с̶̶̶в̶̶̶я̶̶̶з̶̶̶ь̶̶̶ ̶̶̶(̶̶̶в̶̶̶ ̶̶̶л̶̶̶и̶̶̶ч̶̶̶н̶̶̶ы̶̶̶х̶̶̶ ̶̶̶с̶̶̶о̶̶̶о̶̶̶б̶̶̶щ̶̶̶е̶̶̶н̶̶̶и̶̶̶я̶̶̶х̶̶̶)̶̶̶
̶̶̶+̶̶̶ ̶̶̶3̶ ̶̶̶л̶̶̶и̶̶̶ч̶̶̶н̶̶̶ы̶̶̶е̶̶̶ ̶̶̶ч̶̶̶а̶̶̶с̶̶̶о̶̶̶в̶̶̶ы̶̶̶е̶̶̶ ̶̶̶к̶̶̶о̶̶̶н̶̶̶с̶̶̶у̶̶̶л̶̶̶ь̶̶̶т̶̶̶а̶̶̶ц̶̶̶и̶̶̶и̶̶̶ ̶̶̶(̶̶̶o̶̶̶n̶̶̶l̶̶̶i̶̶̶n̶̶̶e̶̶̶)̶̶̶ ̶̶̶з̶̶̶а̶̶̶ ̶̶̶в̶̶̶р̶̶̶е̶̶̶м̶̶̶я̶̶̶ ̶̶̶н̶̶̶а̶̶̶ш̶̶̶е̶̶̶й̶̶̶ ̶̶̶р̶̶̶а̶̶̶б̶̶̶о̶̶̶т̶̶̶ы̶̶̶
̶̶̶Д̶̶̶о̶̶̶п̶̶̶о̶̶̶л̶̶̶н̶̶̶и̶̶̶т̶̶̶е̶̶̶л̶̶̶ь̶̶̶н̶̶̶ы̶̶̶е̶̶̶ ̶̶̶в̶̶̶о̶̶̶п̶̶̶р̶̶̶о̶̶̶с̶̶̶ы̶̶̶ ̶̶̶н̶̶̶а̶̶̶ ̶̶̶с̶̶̶а̶̶̶м̶̶̶о̶̶̶с̶̶̶т̶̶̶о̶̶̶я̶̶̶т̶̶̶е̶̶̶л̶̶̶ь̶̶̶н̶̶̶у̶̶̶ю̶̶̶ ̶̶̶п̶̶̶р̶̶̶о̶̶̶р̶̶̶а̶̶̶б̶̶̶о̶̶̶т̶̶̶к̶̶̶у̶̶̶ ̶̶̶п̶̶̶о̶̶̶ ̶̶̶о̶̶̶к̶̶̶о̶̶̶н̶̶̶ч̶̶̶а̶̶̶н̶̶̶и̶̶̶ю̶̶̶ ̶̶̶р̶̶̶а̶̶̶б̶̶̶о̶̶̶т̶̶̶ы̶̶̶
̶̶̶М̶̶̶о̶̶̶и̶̶̶ ̶̶̶р̶̶̶е̶̶̶к̶̶̶о̶̶̶м̶̶̶е̶̶̶н̶̶̶д̶̶̶а̶̶̶ц̶̶̶и̶̶̶и̶̶̶ ̶̶̶к̶̶̶а̶̶̶к̶̶̶ ̶̶̶п̶̶̶с̶̶̶и̶̶̶х̶̶̶о̶̶̶л̶̶̶о̶̶̶г̶̶̶а̶̶̶-̶̶̶с̶̶̶е̶̶̶к̶̶̶с̶̶̶о̶̶̶л̶̶̶о̶̶̶г̶̶̶а̶̶̶
̶̶̶1̶̶̶0̶̶̶%̶̶̶ ̶̶̶с̶̶̶к̶̶̶и̶̶̶д̶̶̶к̶̶̶и̶̶̶ ̶̶̶н̶̶̶а̶̶̶ ̶̶̶с̶̶̶л̶̶̶е̶̶̶д̶̶̶у̶̶̶ю̶̶̶щ̶̶̶и̶̶̶е̶̶̶ ̶̶̶М̶̶̶а̶̶̶р̶̶̶а̶̶̶ф̶̶̶о̶̶̶н̶̶̶ы̶̶̶ ̶̶̶п̶̶̶о̶̶̶ ̶̶̶и̶̶̶н̶̶̶д̶̶̶и̶̶̶в̶̶̶и̶̶̶д̶̶̶у̶̶̶а̶̶̶л̶̶̶ь̶̶̶н̶̶̶о̶̶̶м̶̶̶у̶̶̶ ̶̶̶ф̶̶̶р̶̶̶и̶̶̶р̶̶̶а̶̶̶й̶̶̶т̶̶̶и̶̶̶н̶̶̶г̶̶̶у̶̶̶ ̶̶̶̶
В общей группе ты сможешь идти сама в сообществе единомыщленниц. Стоимость такого формата: 850 грн (1700 руб или 32 дол).
или
ИНДИВИДУАЛЬНАЯ РАБОТА с акцентом на решение именно твоей задачи с разных сторон по индивидуальному графику. При этом мы общаемся в отдельной группе.
21 день индивидуальной работы на тему марафона и всего, что будет ее касаться в данный период твоей жизни.
Есть выходные от вопросов или нет - выбор только за тобой
Предварительная консультация-знакомство (1 час)
Составление индивидуального личного вопроса ежедневно (учитываю потребности и задачи, с которыми определимся в самом начале)
Постоянная обратная связь
Возможность задать все свои вопросы и получить на них ответы
+ 2 личные часовые консультации (online) за время нашей работы
Работа в пределах апреля.
Доступ ко всем видео в общей группе
Дополнительные вопросы на самостоятельную проработку по окончанию работы
Мои рекомендации как психолога-сексолога
10% скидки на мой онлайн-курс для женщин (анонс весной)
10% скидки на следующие Марафоны по индивидуальному фрирайтингу.
Стоимость такого формата - 3500 грн (7000 руб или 132 дол.)
Оплата для участниц из Украины возможна на карту Приватбанка или monobank (грн/дол).
Для девушек из России доступны Яндекс.Деньги / карта Тинькофф банка (для оплаты в рублях).
Для оплаты из других стран в долларах - liqpay или любой другой удобный вариант.
Хочешь лучше узнать себя и партнера? Хотелось бы прояснить что-то в теме секса? Или внести в отношения новизну?
Регистрируйся на этот горячий марафон просто написав мне "хочу + формат".
P.S. Основное мероприятие тут: https://www.facebook.com/events/441962832918800/</t>
  </si>
  <si>
    <t>Natalia Prushinskaya</t>
  </si>
  <si>
    <t>Maria  Bor</t>
  </si>
  <si>
    <t>Valeriy Zavyalov</t>
  </si>
  <si>
    <t>08:45</t>
  </si>
  <si>
    <t>Ирина Рышкова</t>
  </si>
  <si>
    <t>Генадій Тарасенко</t>
  </si>
  <si>
    <t>08:44</t>
  </si>
  <si>
    <t>Bogdan Steiner</t>
  </si>
  <si>
    <t>08:43</t>
  </si>
  <si>
    <t>Циала Литвин</t>
  </si>
  <si>
    <t>08:40</t>
  </si>
  <si>
    <t>Там ліміти базуються на "унєсєнних" при звільнені базах Привату, якщо ліміт по кредитці Привату був 20тищ, то Моно зі старту і без будь-яких підтверджень дає 40-50тищ.</t>
  </si>
  <si>
    <t>Олександр Копиця</t>
  </si>
  <si>
    <t>08:39</t>
  </si>
  <si>
    <t>Олександр Статіва</t>
  </si>
  <si>
    <t>Сергей Шевченко</t>
  </si>
  <si>
    <t>Знам'янка-підслухано)</t>
  </si>
  <si>
    <t>08:38</t>
  </si>
  <si>
    <t>Користуйтеся тіки кредитними грошима, тим більше що вони легко і 50 тищ ліміту дають.</t>
  </si>
  <si>
    <t>Лариса Миколюк</t>
  </si>
  <si>
    <t>08:37</t>
  </si>
  <si>
    <t>Сергей Барановский</t>
  </si>
  <si>
    <t>Порадьте яку найзручніше карточку і якого банку робити для Європи (для оплат, та щоб в крайній необхідності на неї з</t>
  </si>
  <si>
    <t>Romchyk Romchyk зараз в азії валютні райфайзен аваль і отп. Загалом маю 5-6 укр банків. А ще юзаю інші платіжні системи, по типу революта. Але не його.  у Європі в мене фаворит гривнева тікетс юа отп. Трошки бавився монобанком, цікаво. Чекаю поки з‘явивться  iBox банк, чи як він там буде.</t>
  </si>
  <si>
    <t>Volodymyr Vrublevskyy</t>
  </si>
  <si>
    <t>Lviv Travel Club</t>
  </si>
  <si>
    <t>08:36</t>
  </si>
  <si>
    <t>Iryna Parkhomenko</t>
  </si>
  <si>
    <t>Михаил Евтушенко</t>
  </si>
  <si>
    <t>08:35</t>
  </si>
  <si>
    <t>Наталия Мохаммад</t>
  </si>
  <si>
    <t>Серж Чёрный</t>
  </si>
  <si>
    <t>08:33</t>
  </si>
  <si>
    <t>Aleksandr Yaroshenko</t>
  </si>
  <si>
    <t>Віктор Іванишин</t>
  </si>
  <si>
    <t>08:31</t>
  </si>
  <si>
    <t>Суд Бубенчика, подключайтесь! Это не просто суд над человеком, это схватка с Западным, Европейским способом мышления и</t>
  </si>
  <si>
    <t>Суд Бубенчика, подключайтесь!
Это не просто суд над человеком, это схватка с Западным, Европейским способом мышления и жизни против совка!
Репост!
Подяка за стріми Monobank, Dmitriyev Dmitriy Mikhaylovich, 5375 4141 0005 0599.
Подяка за стріми ПриватБанк, Дмитриев Дмитрий Михайлович, 5168 7456 0147 0328.</t>
  </si>
  <si>
    <t>08:30</t>
  </si>
  <si>
    <t>Іван Штурхаль запрошує вас у monobank❤️! Оформіть картку, перейшовши за персональним посиланням, і ви обидва отримаєте</t>
  </si>
  <si>
    <t>Іван Штурхаль запрошує вас у monobank❤️! Оформіть картку, перейшовши за персональним посиланням, і ви обидва отримаєте по 50 грн 5️⃣0️⃣ на рахунок кешбека!
f6mq8.app.goo.gl
https://monobank.com.ua/r/sjEb</t>
  </si>
  <si>
    <t>Иван Штурхаль</t>
  </si>
  <si>
    <t>08:29</t>
  </si>
  <si>
    <t>Некоторое время назад, практически случайно, запросил свой "Кредитный рейтинг" и "Кредитную историю" в "Украинском бюро</t>
  </si>
  <si>
    <t>Посмеялся от души. Но тогда не пойму на чем основывается столь большое кредитное доверие к тебе у monobank.</t>
  </si>
  <si>
    <t>Денис Павлючок</t>
  </si>
  <si>
    <t>Александр Богданов</t>
  </si>
  <si>
    <t>08:26</t>
  </si>
  <si>
    <t>Монобанк</t>
  </si>
  <si>
    <t>Oleg Bilous</t>
  </si>
  <si>
    <t>08:24</t>
  </si>
  <si>
    <t>Роман запрошує вас у monobank! Оформіть картку, перейшовши за персональним посиланням, і ви обидва отримаєте по 50 грн на рахунок кешбека!
monobank – банк без відділень
Ми не несемо витрати на відділення, і тому можемо дати вам найвигідніші умови!
https://monobank.com.ua/r/YxPm</t>
  </si>
  <si>
    <t>Роман Шиманський</t>
  </si>
  <si>
    <t>08:13</t>
  </si>
  <si>
    <t>Я когда закрывал свои счета в универсале, мне директор отделения парил телегу про то, что вот-вот запустится новый революционный продукт, и что вот это делает команда из привата, а привел ее огого кто, и что вот тогда заживем! Это было год назад где-то, я приехал в Украину на две недели и не получалось перейти на новый клиент-банк. Две недели! Я так понимаю, что монобанк и есть этим революционным продуктом.</t>
  </si>
  <si>
    <t>FranchTV Анонс интервью с Дмитрием Дубилетом, который придумал Монобанк — первый mobile-only банк на украинском рынке.</t>
  </si>
  <si>
    <t>FranchTV
Анонс интервью с Дмитрием Дубилетом, который придумал Монобанк — первый mobile-only банк на украинском рынке. Мы сравнили его с Тиньковым, обсудили тренды в банковских технологиях и выяснили, насколько заблуждались создатели Футурамы относительно банков будущего. В конце интервью Дмитрий Дубилет подписал рюкзак, фото которого буквально порвало Фейсбук, чтобы мы разыграли его среди подписчиков.
Подпишись на канал FranchTV, чтобы не пропустить интервью: https://goo.gl/d8eWAc</t>
  </si>
  <si>
    <t>Petrushka Petrosovich</t>
  </si>
  <si>
    <t>07:40</t>
  </si>
  <si>
    <t>Що не зрозуміло, Діма? Все йде по сценарію Авакова - прихід до влади силою як у 30-х роках у Німеччині.</t>
  </si>
  <si>
    <t>Igor Tereshchenko</t>
  </si>
  <si>
    <t>07:33</t>
  </si>
  <si>
    <t>Дорогой фейсбук. Когда ты, может быть случайно, бываешь на нуле, ты понимаешь, что наши парни курят.
Нет, есть те, кто аватарит, в том числе и по наркоте.  Но, в основном, люди курят. Они наливают в металлическую чашку растворимый кофеец. Они выходят из блиндажа и смотрят в подаренный вами теплик, запаривают присланный вами кофе, и закуривают. Причем закуривают лютую жесть. Дичку какую-то. Убитое говно а-ля папиросы «Ватра».
Покурить на фронте - это как приготовить вкусное мясо в сытом тылу. Это расслабон. Это когда ты ждешь российские грады, но тебе надо быть в форме. Тебе надо н-а-б-л-ю-д-а-т-ь.
Так вот. Так вот.
Большинство наших хлопцев курят лютую дрочь из-за технических причин доставкии экономии. Впереди - Пасха. Сами пасочки для ребят передаст суперсильный волонтёрский фактор наших женщин. На мясо я собираю три раза в год.
Отже.
Будь ласка. Давайте нашвыряем денег на три позиции: сиги, сладкая шипучка и шоколадные батончики.
Хотелось бы накрыть всех друзей из ЗСУ: ДШВ из 79, арту из «Донбасс-Украина», и морпехов из 36.
5363 5423 0708 8857 - карта привата
5375 4141 0050 5386 - карта монобанка.
4790 7010 0214 9655 -  карта ощадбанка
По вопросам денежных переводов из-за рубежа обращаться в личку.
Дякую за відгук. Та дякую за репост.
Слава Україні.</t>
  </si>
  <si>
    <t>Halina  Kurochka</t>
  </si>
  <si>
    <t>07:30</t>
  </si>
  <si>
    <t>Наталия Сахно</t>
  </si>
  <si>
    <t>07:21</t>
  </si>
  <si>
    <t>Mariya  Chernova</t>
  </si>
  <si>
    <t>06:52</t>
  </si>
  <si>
    <t>Максим приглашает вас в monobank! Оформите карту, перейдя по персональной ссылке, и вы оба получите по 50 грн на счет кешбэка!
https://monobank.com.ua/r/sf6h</t>
  </si>
  <si>
    <t>Максим Кречетов</t>
  </si>
  <si>
    <t>06:51</t>
  </si>
  <si>
    <t>Roman Mumro</t>
  </si>
  <si>
    <t>06:21</t>
  </si>
  <si>
    <t>цікава історія від цікавої людини! читайте і не робіть помилок Ревизор На своих тренингах по личным финансам я всегда</t>
  </si>
  <si>
    <t>цікава історія від цікавої людини! читайте і не робіть помилок
Ревизор
На своих тренингах по личным финансам я всегда показываю, как можно эффективно использовать современные финансовые инструменты, такие как кредитные карты,  чтобы не только не платить  проценты по кредитам,  но еще   и зарабатывать на этом.  Естественно я рекомендую только то, что проверил лично.  Последние карты, которые я  оформил для такой проверки – это были карты Монобанка и банка ПУМБ.   Сегодня я расскажу о своем опыте пользования  кредитной картой банка ПУМБ,  на которую   я,  повелся из-за рекламы, которая гласила,   что снятие наличных с кредитной карты под «0».
Я, конечно же, не поверил  в это,   но заявку на сайте  на всякий случай оставил. Буквально через несколько минут мне перезвонили и рассказали про эту супер-карту.  На мой вопрос о снятии наличных под «0»,  консультант ничуть не смущаясь сказал,  мол «все правильно  все под «0».   И хотя я привык оплачивать все покупки картой,   но наличные иногда нужны.  Я сказал, что мне такая карта подходит   и мне назначили встречу,  в ближайшем отделении банка.  В банке тоже было все мило и красиво,   пока не дали мне на подпись договор. Как банковский работник со стажем я точно знаю,   что в договоре нужно читать только то, что написано мелким шрифтом,   именно там заложено все «кидалово».    И, вот оно, ЧУДО!  Мелким шрифтом я разглядел,  какие-то страховки. Честно говоря,   мне казалось, что таким  «разводняком» банки уже давно не занимаются,  но оказалось,  что я ошибался. Моя природная скромность и некоторые основы воспитания,  не  позволили  мне бросить  карту в лицо  менеджеру.
Все на что меня хватило  - это задать вопрос: «А где же обещанное снятие под «0»?
- Как Вас уже консультировали ранее,   банк не берет комиссию за снятие наличных,  а только страховку  жизни  в размере 5,6%.
- Во-первых, мне не говорили о страховке,  а во-вторых,  с каких это пор операции по снятию наличных  стали угрожать моей жизни?
- Ну это у нас программа такая,  обязательно нужна страховка,  оправдывался  менеджер банка.
Расстроенный  тем, что мне пришлось потратить  полчаса своей жизни, я ушел,   из банка, точно   для себя решив,  что картой  пользоваться не буду.   Но на этом мое общение с банком не закончилось.  В течении следующего месяца   мне активно названивали сотрудники банка и предлагали,  как можно скорее воспользоваться картой,  хотя бы на 50 грн.  Опять  таки, моя скромность сыграла со мной злую шутку,   вместо того, чтобы послать их куда подальше,   я все-таки оплатил в магазине товар на сумму примерно 300 грн,   в расчете на то, что у меня 60 дней бесплатный период.  Но каково же было мое удивление,   когда при сверке баланса я недосчитался еще почти 4 грн.   Открыв свой договор я еще раз прочитал   и обнаружил,  что даже при оплате в торговой сети,  с меня взимается страховка 1,2%. Такого я точно не ожидал,   т.к.  на операциях  в торговой сети даже ПриватБанк не додумывался  зарабатывать деньги с пользователей карт (только с торговца по договору эквайринга).  На этом мое пользование кредитной картой банка ПУМБ   было   ОКОНЧАТЕЛЬНО ЗАВЕРШЕНО!
В общем,  говоря словами классиков: «Ревизор не рекомендует пользоваться кредитными картами банка ПУМБ.  На рынке есть предложения более интересные».
Но это  уже будут совсем другие  истории…….</t>
  </si>
  <si>
    <t>Gut Oleksandr</t>
  </si>
  <si>
    <t>06:18</t>
  </si>
  <si>
    <t>А обманутым , со временем , вкладчикам куда идти, под каким отделением митинговать? Что же мы, как не а МММ, так не пойми во что? В общем, слова персонажей из "Буратино" все ещё актуальны.</t>
  </si>
  <si>
    <t>Sergey  Mandalina</t>
  </si>
  <si>
    <t>05:56</t>
  </si>
  <si>
    <t>Да там всё пока не очевидно, сразу рекомендую - перейди в раздел кешбек и настрой. Я по бедности на хавчик настроился, тобто выбрал "продукты питания" или как там оно. За пару месяцев сотка гривен кешбека набежала, мелочь, но приятно (много жру, да). Только сотку тебе не отдадут - снимут НДФЛ и военный сбор, а остальное - да, прямо на счет, 5 секунд и бабки на месте.</t>
  </si>
  <si>
    <t>Андрей Пивоваров</t>
  </si>
  <si>
    <t>05:46</t>
  </si>
  <si>
    <t>Elena Stavskay</t>
  </si>
  <si>
    <t>05:36</t>
  </si>
  <si>
    <t>А задавать вопросы можно в вайбере, после регистрации приходит сообщение от помощника и туда можно писать все, ответы в течении 10мин</t>
  </si>
  <si>
    <t>Igor Klimenko</t>
  </si>
  <si>
    <t>05:11</t>
  </si>
  <si>
    <t>https://www.facebook.com/yriy.zabolotniy/videos/186482668743882/?id=100008223004412   за що на нього напали ті виродки?</t>
  </si>
  <si>
    <t>Helen Brave</t>
  </si>
  <si>
    <t>05:00</t>
  </si>
  <si>
    <t>Lubov Yeriomenko</t>
  </si>
  <si>
    <t>04:42</t>
  </si>
  <si>
    <t>Крім «Привату», де ще зручно користуватися рахунком для ФОПу? Мені радять одну з дочок російського банку, яка за</t>
  </si>
  <si>
    <t>только коллектив мошенников из пб открывших на базе чужой лицензии "банк без отделений", думающих должен принудить задуматься о поиске вариантов , скажем так более чистых. мое мнение - на этих мегатопах технологичности и продвинутости печать ставить негде. уверен в вовлеченности части из ЛИЦ верхнего этажа конторы 'монобанк' в сливе личных данных клиентов, проворачивании мошеннических схем грабежа клиентов с использованием поддельных исполнительных листов судов Украины и другой нечистоплотности на всех уровнях представления. когда он останется один - все равно обходите стороной.</t>
  </si>
  <si>
    <t>Михайло Соболєв</t>
  </si>
  <si>
    <t>Тетяна Даниленко</t>
  </si>
  <si>
    <t>04:37</t>
  </si>
  <si>
    <t>Наталия Гершуновская</t>
  </si>
  <si>
    <t>04:05</t>
  </si>
  <si>
    <t>В анкете есть графа "предприниматель"</t>
  </si>
  <si>
    <t>Vladimiir Kartsovnik</t>
  </si>
  <si>
    <t>03:02</t>
  </si>
  <si>
    <t>/forum/index.php?act=findpost&amp;pid=72060117  zhylko,
Имелось в виду - создать "Регулярный платеж"... с зарплатки - без комисса...
P.S. и лучьше - не развивать эту тему. :D</t>
  </si>
  <si>
    <t>Indus5</t>
  </si>
  <si>
    <t>02:46</t>
  </si>
  <si>
    <t>Кстати, получил сегодня карту Монобанка :) Могу сказать, процесс прикольный, приложение очень прикольное.
Из минусов и неясностей.
1. почему-то явных "источников доходов" только два - "зарплата" и "прочие доходы". При том, что есть опция "предприниматель". Куда писать доход от предпринимательской деятельности - неясно, и быстро выяснить это никак.
2. Главное. Только в самом конце выясняется, что получать карту надо лично (или курьером) - и только в больших городах. У меня ближайшие - Сумы и Харьков. Хорошо, что получилась поездка по случаю. И был даже рядом с одной из 2 точек на весь Харьков - столиком в "Ашане" на Героев Труда.</t>
  </si>
  <si>
    <t>02:40</t>
  </si>
  <si>
    <t>На правах вечернего чата, необычный опрос. Один из наших постоянных участников, Дмитрий Скурихин, разместил видеоролик с</t>
  </si>
  <si>
    <t>И очень привлекательный монобанк, с маленькой буквы :)</t>
  </si>
  <si>
    <t>Станислав Бондаренко</t>
  </si>
  <si>
    <t>Транспортный КОЛЛАПС, Красное Село</t>
  </si>
  <si>
    <t>Инна Меркулова</t>
  </si>
  <si>
    <t>Уже маю, Ілонко
 ;)</t>
  </si>
  <si>
    <t>Величко Олеся</t>
  </si>
  <si>
    <t>michaelkors.com не принимает украинские карты</t>
  </si>
  <si>
    <t>Не смотря на глюк с личным кабинетом при регистрации на МК все приехало.
Короче связка МК-Monobank-Pesoto - все работает
На все про все 15 дней получилось.
 Доставка небольшой сумки за 120$ обошлась в 7,65$ плюс курьер домой 50 грн.
Ну и конечно реферальная ссылка если кто ещё не зарегистрирован 
После заказа даст мне и вам по 2 бакса
 Песото /away.php?link=https://pesoto.com/ua/ukr/Q3O5Y3Y2K9/registerpromo.html</t>
  </si>
  <si>
    <t>dvor</t>
  </si>
  <si>
    <t>forum.autoua.net</t>
  </si>
  <si>
    <t>Автомобильный форум. Форум помощи выбора, покупки и продажи авто | Autoua &gt; Покупки за рубежом</t>
  </si>
  <si>
    <t>01:52</t>
  </si>
  <si>
    <t>Людмила Шуляк</t>
  </si>
  <si>
    <t>01:34</t>
  </si>
  <si>
    <t>на 42 минуте- нападают на Юрия Заболотного!!!!</t>
  </si>
  <si>
    <t>01:29</t>
  </si>
  <si>
    <t>Дуже гарно...як стая  шакалів напали...</t>
  </si>
  <si>
    <t>01:23</t>
  </si>
  <si>
    <t>Давно не видел, чтобы сепарытак переживали за Майдан)))</t>
  </si>
  <si>
    <t>Челахов Олег</t>
  </si>
  <si>
    <t>01:17</t>
  </si>
  <si>
    <t>https://www.facebook.com/yriy.zabolotniy?hc_ref=ARSRXJ5n-87A8hb9QGNKHjqkLDxDKY-gkwNoiBSB4wQg21NjLrz3nBUsrmlUysK8drI сторінка Юрія Заболотного
Yriy Zabolotniy</t>
  </si>
  <si>
    <t>01:15</t>
  </si>
  <si>
    <t>01:11</t>
  </si>
  <si>
    <t>Він молодець і правельно каже</t>
  </si>
  <si>
    <t>Ruslan Tarnovetskyy</t>
  </si>
  <si>
    <t>Просто клоун!!!</t>
  </si>
  <si>
    <t>01:10</t>
  </si>
  <si>
    <t>Чувак!!!утебе є сім'я?</t>
  </si>
  <si>
    <t>01:09</t>
  </si>
  <si>
    <t>Комуняки вітдихають!!!!</t>
  </si>
  <si>
    <t>Цирк на дроті !!!!суд в ночі????</t>
  </si>
  <si>
    <t>01:07</t>
  </si>
  <si>
    <t>Хлопчику а на хера тобі це треба?потім вернеться!!!</t>
  </si>
  <si>
    <t>01:06</t>
  </si>
  <si>
    <t>Ти гониш!!!</t>
  </si>
  <si>
    <t>я в шоке!на нормального человека напали титуханы с побоями и трехэтажным матом. борзые и крутые всем на одного? кто они и что на суде делали?</t>
  </si>
  <si>
    <t>Завчив</t>
  </si>
  <si>
    <t>01:04</t>
  </si>
  <si>
    <t>Дійсно який він правохорониць?якщо він пішов проти народу</t>
  </si>
  <si>
    <t>Звичайне судилище ПАТРІОТІВ і нажаль поки ПОРОШЕНКО не заарештований будуть продовжуватися такі сфабриковані суди над патріотами.</t>
  </si>
  <si>
    <t>Lyudmyla Salvato</t>
  </si>
  <si>
    <t>01:02</t>
  </si>
  <si>
    <t>Сообщение от ВанОО
Поповнення мобільного*
*тариф вводиться з 19.04.2018
Безкоштовно до 20 платежів на місяць сумарно на
суму не більше 10 000 грн,
Більше - 3 грн за платіж
А чего гневный смайлик? Очень очень адекватная антифрод защита</t>
  </si>
  <si>
    <t>Saab</t>
  </si>
  <si>
    <t>01:00</t>
  </si>
  <si>
    <t>monobank – банк без відділень Ми не несемо витрати на відділення, і тому можемо дати вам найвигідніші умови!</t>
  </si>
  <si>
    <t>monobank – банк без відділень
Ми не несемо витрати на відділення, і тому можемо дати вам найвигідніші умови!
https://ad.admitad.com/g/dly6pf9i3x4bd93dbcd7632d31910f/?i=4</t>
  </si>
  <si>
    <t>Kosta Cold</t>
  </si>
  <si>
    <t>Неоднократно рекомендовали обзавестись монобанком. Кто в курсе, что за зверь？Лучше/хуже ли Привата и чем？
Monobank
Ми вклали весь свій досвід у те, щоб зробити найзручніший мобільний додаток. Прості перекази, оплата комуналки, функціональна виписка, налаштування картки, заради яких раніше доводилося ходити у відділення, — тепер у вашій кишені!</t>
  </si>
  <si>
    <t>Дмитрий Герун</t>
  </si>
  <si>
    <t>Vilne TV</t>
  </si>
  <si>
    <t>00:57</t>
  </si>
  <si>
    <t>ДМИТРИЙ ДМИТРИЕВ у стрімі: СУД НАД ПАТРІОТОМ БУБЕНЧИКОМ Дмитрий Суд Бубенчика, подключайтесь! Репост! Подяка за стріми</t>
  </si>
  <si>
    <t>ДМИТРИЙ ДМИТРИЕВ  у стрімі:
СУД НАД ПАТРІОТОМ
 БУБЕНЧИКОМ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</si>
  <si>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за установку приложения монобанка , 15 грн платят , за привата 6 грн =)</t>
  </si>
  <si>
    <t>20:34 Бубенчика Ивана хотят посадить за то, что убил беркутовца на Майдане. Потом Порошенко с Луценко будут отлавливать</t>
  </si>
  <si>
    <t>20:34 Бубенчика Ивана хотят посадить за то, что убил беркутовца на Майдане. Потом Порошенко с Луценко будут отлавливать тех, кто кидал коктейли Молотова.
Все, конечно, понимают, что настоящая вина Бубенчика в том, что он Саакашвили поддерживал, но какой же классный повод они нашли, чтобы его посадить. На картинке видео прокурор.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</si>
  <si>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Oleg Tsybulskyi</t>
  </si>
  <si>
    <t>00:52</t>
  </si>
  <si>
    <t>Жуть начинается с -19 минуты. нормальный мужик который за Сашку Билого и против Авакова получает от каких-то борзых и хамовитых по голове. Его бьют и трехэтажным матом обливают, а еще угрожают без аргументации, что будет получать так всегда на движе. Хотя он пришел к Бубенчику и я так поняла поддерживает его- хамы на него напали,просто кричат и нагло себя ведут. Они опасные для общества!!!!!!!!их обязательно надо опознать и засудить такое поведение!!!От них кроме матов трехэтажных ничего не слышно. На его фразы адекватные про Сашку Билого - непонятная агрессия с их стороны. У меня просто шок. Что они делали эти хамы на суде над патриотом? Точно не справедливость пришли отстаивать, судя по их поведению.</t>
  </si>
  <si>
    <t>Константин Бедовой</t>
  </si>
  <si>
    <t>00:46</t>
  </si>
  <si>
    <t>https://forum.finance.ua/viewtopic.php?p=4339459#p4339459    Poleg написав:
Skiw
Беглый поиск говорит о том, что это лотерея.
5964, 5399, 5311 итд.
Спс</t>
  </si>
  <si>
    <t>Банк, благодаря которому я отказался от "зеленого". Ты еще не в курсе? - Переходи по ссылке качай приложение и знакомься с самым крутым банком в Украине. https://monobank.com.ua/r/XPWh
Да, это немного реклама, если ты скачаешь приложение по этой ссылке мы оба получим по 50 грн. от банка, плюс ты получишь новые эмоции от знакомста новым, классным банком, нового поколения. Я пишу все это не только потому, что хочу подзаработать, но и потому что верю в то что говорю. Мой опыт пользования банком пол года, и я на 100% доволен, pb курит в сторонке по всем параметрам))) Если есть вопросы, связывайся со мной удобным способом и я поделюсь опытом и впечатлениями с тобой лично;)
P.S. и да, не нужно париться по поводу отделений, банкоматов и терминалов. Отделенич нафиг не нужны, а терминалы и банкоматы - любые)
#monobank #mono #best_bank #dnepr #pb_delete</t>
  </si>
  <si>
    <t>Viktor</t>
  </si>
  <si>
    <t>Nataliya  Novobranets</t>
  </si>
  <si>
    <t>Скажите, интересно, а уже кто-то пользуется платежами со счета мобильного телефона? Это действительно так удобно?</t>
  </si>
  <si>
    <t>Сьогодні син запропонував завести картку  Монобанку, створеного  для мобільного користування. Сиджу читаю відгуки.</t>
  </si>
  <si>
    <t>Kseniya Biryusa</t>
  </si>
  <si>
    <t>Katerina  Shapoval</t>
  </si>
  <si>
    <t>00:32</t>
  </si>
  <si>
    <t>Приглашаю Вас в monobank! Оформите карту, перейдя по персональной ссылке, и получите 50 грн на счет кешбэка! Ссылка :</t>
  </si>
  <si>
    <t>Пацики реєструйтеся на халяву 50 грн + кешбеки з любих покупок
Андрій Гуменяк запрошує вас у monobank! Оформіть картку, перейшовши за персональним посиланням, і ви обидва отримаєте по 50 грн на рахунок кешбека!
https://monobank.com.ua/r/DyMA</t>
  </si>
  <si>
    <t>Андрей Гуменяк</t>
  </si>
  <si>
    <t>Monobank – банк без відділень</t>
  </si>
  <si>
    <t>Мордор пива опасен)</t>
  </si>
  <si>
    <t>Кирилл Кузьмин</t>
  </si>
  <si>
    <t>Ігор приглашает вас в monobank! Оформите карту, перейдя по персональной ссылке, и вы оба получите по 50 грн на счет кешбэка! https://monobank.com.ua/r/tUJv</t>
  </si>
  <si>
    <t>изыди, монобот)</t>
  </si>
  <si>
    <t>Yuri Leo</t>
  </si>
  <si>
    <t>Photostudy.me chat</t>
  </si>
  <si>
    <t>00:27</t>
  </si>
  <si>
    <t>Кирилл Кузьмин я боюсь идти через Море Пива)</t>
  </si>
  <si>
    <t>я думал ты обулся и отправился на поиски круглоса и скретч карты)</t>
  </si>
  <si>
    <t>хороший сервис. Мне легче алкашу на бутылку дать и он мне сгоняет за скретч картой, так я точно буду знать что пополню счет )</t>
  </si>
  <si>
    <t>00:25</t>
  </si>
  <si>
    <t>Хз как, но они дали мне пол часика)</t>
  </si>
  <si>
    <t>Внимание ответ.
Нефиг ночью сидеть и деградировать в интернете, так как надо спать. С ув. ваш Сетилайт.
Ах да, ты же не увидишь ответ))</t>
  </si>
  <si>
    <t>00:19</t>
  </si>
  <si>
    <t>Друзья, у кого есть стоящая без дела стиралка или кто может порекомендовать хорошего мастера отремонтировать старенькую</t>
  </si>
  <si>
    <t>Max Stavisiuk я только что тебе на monobank закинул.</t>
  </si>
  <si>
    <t>Ihor Sytnykov</t>
  </si>
  <si>
    <t>Max Stavisiuk</t>
  </si>
  <si>
    <t>Be aware. Monobank и аренда авто. Обратил внимание, что в Монобанк в разделе кеш-бек появились Путешествия, в которые, в</t>
  </si>
  <si>
    <t>Да, это наш родной украинский ноу-хау. Чтобы и debit для почти free-to-use банкоматных транзакций, и world для как бы премиального сегмента и соответствующего заработка эмитента карты. Одна беда - в мире правила немного другие. А хайп, он проходит, даже если карта премиального цвета.</t>
  </si>
  <si>
    <t>Oleg Tyshchenko</t>
  </si>
  <si>
    <t>Maksym Shakhalov</t>
  </si>
  <si>
    <t>О хоспаді, забаньте це)</t>
  </si>
  <si>
    <t>Andrew Shepel</t>
  </si>
  <si>
    <t>Отмахались.</t>
  </si>
  <si>
    <t>Инна Солнцева</t>
  </si>
  <si>
    <t>00:16</t>
  </si>
  <si>
    <t>renegade написав:
Заметил, что с карты списывает за убер столько сколько он выставляет.
Это улучшения у моно или у убера?
Отправлено с моего Nexus 4 через Tapatalk
Справа в тому, що курс долара в Убера та Моні співпали. Рахунок Вам виставили в доларах, а моня конвертнув в гривні по своєму курсу</t>
  </si>
  <si>
    <t>undeadserf</t>
  </si>
  <si>
    <t>00:15</t>
  </si>
  <si>
    <t>Кого интересует, пишите 
Хороший банк, с хорошими условиями 
#monobank</t>
  </si>
  <si>
    <t>pari_match_stavki</t>
  </si>
  <si>
    <t>00:14</t>
  </si>
  <si>
    <t>Банк, благодаря которому я отказался от "зеленого". Ты еще не в курсе? - Переходи по ссылке качай приложение и знакомся с самым крутым банком в Украине. https://monobank.com.ua/r/XPWh
Да, это немного реклама, если ты скачаешь приложение по этой ссылке мы оба получим по 50 грн. от банка, плюс ты получишь новые эмоции от знакомста новым, классным банком, нового поколения. Я пишу все это не только потому, что хочу подзаработать, но и потому что верю в то что говорю. Мой опыт пользования банком пол года, и я на 100% доволен, pb курит в сторонке по всем параметрам))) Если есть вопросы, связывайся со мной удобным способом и я поделюсь опытом и впечатлениями с тобой лично;)
https://monobank.com.ua/r/XPWh</t>
  </si>
  <si>
    <t>Виктор Бережной</t>
  </si>
  <si>
    <t>Ігор приглашает вас в monobank! Оформите карту, перейдя по персональной ссылке, и вы оба получите по 50 грн на счет кешбэка!
https://monobank.com.ua/r/tUJv</t>
  </si>
  <si>
    <t>Zhuda Igor</t>
  </si>
  <si>
    <t>00:09</t>
  </si>
  <si>
    <t>Друзья, у кого есть стоящая без дела стиралка или кто может порекомендовать хорошего мастера отремонтировать старенькую BEKO -
пишите!
Зачем?
Одна из семей в Красногоровке мечтает о стиралке. У меня стоит одна но требует ремонта. Обрадуем?
А вообще в среду - последний день, когда можно поучаствовать в Пасхальной поездке в Красногоровку.
1) Полный список потребностей, включая стиралку, по ссылке https://bit.ly/easterdonbass18f
(запишись и принеси):
2) Можно сброситься и мы докупим чего не будет хватать Приват 5168 7573 3367 7096 (Стависюк Елена) или мой monobank 5375 4141 0040 5595
Предыдуций пост с деталями у меня на странице https://www.facebook.com/stavisiuk
.</t>
  </si>
  <si>
    <t>00:06</t>
  </si>
  <si>
    <t>Виталина Иванова Рафальская</t>
  </si>
  <si>
    <t>00:01</t>
  </si>
  <si>
    <t>/forum/index.php?act=findpost&amp;pid=72025509  Indus5,
Так не убрали же, а ограничили 20 платежами. Думаю этого вполне достаточно, чтобы пополнить счет и себе и всей семье и еще на соседей останется. Больше похоже на простую защиту от ушлых "барыг", которые пополняют через моно без процента, но с людей все равно процент берут.</t>
  </si>
  <si>
    <t>00:00</t>
  </si>
  <si>
    <t>Про страховку на банковской карте с кредитным лимитом еще не слышала. Внимательно читайте договора! Ревизор На своих</t>
  </si>
  <si>
    <t>Про страховку на банковской карте с кредитным лимитом еще не слышала.
Внимательно читайте договора!
Ревизор
На своих тренингах по личным финансам я всегда показываю, как можно эффективно использовать современные финансовые инструменты, такие как кредитные карты,  чтобы не только не платить  проценты по кредитам,  но еще   и зарабатывать на этом.  Естественно я рекомендую только то, что проверил лично.  Последние карты, которые я  оформил для такой проверки – это были карты Монобанка и банка ПУМБ.   Сегодня я расскажу о своем опыте пользования  кредитной картой банка ПУМБ,  на которую   я,  повелся из-за рекламы, которая гласила,   что снятие наличных с кредитной карты под «0».
Я, конечно же, не поверил  в это,   но заявку на сайте  на всякий случай оставил. Буквально через несколько минут мне перезвонили и рассказали про эту супер-карту.  На мой вопрос о снятии наличных под «0»,  консультант ничуть не смущаясь сказал,  мол «все правильно  все под «0».   И хотя я привык оплачивать все покупки картой,   но наличные иногда нужны.  Я сказал, что мне такая карта подходит   и мне назначили встречу,  в ближайшем отделении банка.  В банке тоже было все мило и красиво,   пока не дали мне на подпись договор. Как банковский работник со стажем я точно знаю,   что в договоре нужно читать только то, что написано мелким шрифтом,   именно там заложено все «кидалово».    И, вот оно, ЧУДО!  Мелким шрифтом я разглядел,  какие-то страховки. Честно говоря,   мне казалось, что таким  «разводняком» банки уже давно не занимаются,  но оказалось,  что я ошибался. Моя природная скромность и некоторые основы воспитания,  не  позволили  мне бросить  карту в лицо  менеджеру.
Все на что меня хватило  - это задать вопрос: «А где же обещанное снятие под «0»?
- Как Вас уже консультировали ранее,   банк не берет комиссию за снятие наличных,  а только страховку  жизни  в размере 5,6%.
- Во-первых, мне не говорили о страховке,  а во-вторых,  с каких это пор операции по снятию наличных  стали угрожать моей жизни?
- Ну это у нас программа такая,  обязательно нужна страховка,  оправдывался  менеджер банка.
Расстроенный  тем, что мне пришлось потратить  полчаса своей жизни, я ушел,   из банка, точно   для себя решив,  что картой  пользоваться не буду.   Но на этом мое общение с банком не закончилось.  В течении следующего месяца   мне активно названивали сотрудники банка и предлагали,  как можно скорее воспользоваться картой,  хотя бы на 50 грн.  Опять  таки, моя скромность сыграла со мной злую шутку,   вместо того, чтобы послать их куда подальше,   я все-таки оплатил в магазине товар на сумму примерно 300 грн,   в расчете на то, что у меня 60 дней бесплатный период.  Но каково же было мое удивление,   когда при сверке баланса я недосчитался еще почти 4 грн.   Открыв свой договор я еще раз прочитал   и обнаружил,  что даже при оплате в торговой сети,  с меня взимается страховка 1,2%. Такого я точно не ожидал,   т.к.  на операциях  в торговой сети даже ПриватБанк не додумывался  зарабатывать деньги с пользователей карт (только с торговца по договору эквайринга).  На этом мое пользование кредитной картой банка ПУМБ   было   ОКОНЧАТЕЛЬНО ЗАВЕРШЕНО!
В общем,  говоря словами классиков: «Ревизор не рекомендует пользоваться кредитными картами банка ПУМБ.  На рынке есть предложения более интересные».
Но это  уже будут совсем другие  истории…….</t>
  </si>
  <si>
    <t>Татьяна Романенко</t>
  </si>
  <si>
    <t>03.04.2018</t>
  </si>
  <si>
    <t>23:59</t>
  </si>
  <si>
    <t>Максим приглашает вас в monobank! Оформите карту, перейдя по персональной ссылке, и вы оба получите по 50 грн на счет кешбэка!
https://monobank.com.ua/r/hg4v
monobank – банк без відділень</t>
  </si>
  <si>
    <t>Макс Ткачук</t>
  </si>
  <si>
    <t>Скинь з монобанку комусь на приват і хай тобі поповнять) Женя, шо за драми?)</t>
  </si>
  <si>
    <t>Anna Kurylenko</t>
  </si>
  <si>
    <t>Хто такий Кий?</t>
  </si>
  <si>
    <t>Инна Савчук</t>
  </si>
  <si>
    <t>Igor Vovk</t>
  </si>
  <si>
    <t>23:54</t>
  </si>
  <si>
    <t>Skiw
Беглый поиск говорит о том, что это лотерея.
5964, 5399, 5311 итд.</t>
  </si>
  <si>
    <t>Poleg</t>
  </si>
  <si>
    <t>/forum/index.php?act=findpost&amp;pid=72025650  harm86,
Смешно сравнивать приват с его количеством отделений, терминалов, сотрудников и скромный моно... Я считаю, что они ещё мало кешбека дают. Могли смело и больше предложить. Но зачем, если пипл и так хавает)</t>
  </si>
  <si>
    <t>vpm-ua</t>
  </si>
  <si>
    <t>Наліпила оно стікер "я і продуктивний робочий процес".</t>
  </si>
  <si>
    <t>Кинув не монобанк, а магаз, який термінал забив під неправильною категорією.</t>
  </si>
  <si>
    <t>Eugene Asaulenko</t>
  </si>
  <si>
    <t>Марічка Іскровська</t>
  </si>
  <si>
    <t>23:47</t>
  </si>
  <si>
    <t>Кого бьють?</t>
  </si>
  <si>
    <t>Внимание вопрос.
У меня карта монобанк и интернет Ситилайт.
Через 15 мин отключат интернет. Как пополнить ?
Ах да, нужно одеваться и идти за карточкой. ДА ДА, за скретч картой в 2018году.
Приват подключили, а остальные банки?</t>
  </si>
  <si>
    <t>23:41</t>
  </si>
  <si>
    <t>/forum/index.php?act=findpost&amp;pid=72025650  harm86,
во-во... и я - об этом... :D</t>
  </si>
  <si>
    <t>23:39</t>
  </si>
  <si>
    <t>7Sense @ 03.04.18, 20:35  /forum/index.php?act=findpost&amp;pid=72023454 и что здесь страшного?
обоснуйте
Пока страшного ничего, но странно что тенденция не понятна. В привате когда-то пополнение мобильного то же было бесплатно, потом гривна, две...сейчас вроде три.</t>
  </si>
  <si>
    <t>harm86</t>
  </si>
  <si>
    <t>23:35</t>
  </si>
  <si>
    <t>/forum/index.php?act=findpost&amp;pid=72023454  7Sense,
Обосновываю:
Страшного нет ничего... и где вообще - я указывал, что случилось что то страшное ?
Какраз наоборот - все вполне предсказуемо... база клиентов, уже более-менее набрана и соответственно - потихоньку уже, можно убирать "плюшки" (высокий процент кешбека, категории оного, бесплатное пополнение моб. и т.д.)... :D</t>
  </si>
  <si>
    <t>23:31</t>
  </si>
  <si>
    <t>у нас прокуроры как не от мира сего</t>
  </si>
  <si>
    <t>Наталья Палюк</t>
  </si>
  <si>
    <t>Це судилище, нагле та безсоромне . На майдані йшлося про захист життя людей та власного життя, бо беркут стріляв з</t>
  </si>
  <si>
    <t>Це судилище, нагле та безсоромне . На майдані йшлося про захист життя людей та власного життя, бо беркут стріляв з вогнепальної зброї.
Конституція України Стаття 27. Кожна людина має невід'ємне право на життя.
Ніхто не може бути свавільно позбавлений життя. Обов'язок держави - захищати життя людини.
Кожен має право захищати своє життя і здоров'я, життя і здоров'я інших людей від протиправних посягань.
Івана мають виправдати, тут і мови нема про злочин.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</si>
  <si>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Valentyn Trishyn</t>
  </si>
  <si>
    <t>23:28</t>
  </si>
  <si>
    <t>Це судилище, нагле та безсоромне . На майдані йшлося про захист життя людей та власного життя, бо беркут стріляв  з вогнепальної зброї. Конституція України  Стаття 27. Кожна людина має невід'ємне право на життя.
Ніхто не може бути свавільно позбавлений життя. Обов'язок держави - захищати життя людини.
Кожен має право захищати своє життя і здоров'я, життя і здоров'я інших людей від протиправних посягань.
 Івана мають виправдати.</t>
  </si>
  <si>
    <t>23:27</t>
  </si>
  <si>
    <t>Хей, хей! Сегодня я сравнил некоторые фишки и преимущества двух банков и хочу показать это вам. ЭТО КРАТКИЙ ОБЗОР. НЕ СТОИТ БОМБИТЬ О ТОМ, ЧТО Я НЕ ВСЁ ПОКАЗАЛ. Приятного просмотра!)
https://www.youtube.com/watch?v=d8S4f8MFLdI
P.S. Я не продался)
Сравнение карт MONOBANK VS PrivatBANK
Всем привет! Сегодня я сравнил некоторые фишки и преимущества двух банков и хочу показать это вам. ЭТО КРАТКИЙ ОБЗОР. НЕ СТОИТ БОМБИТЬ О ТОМ, ЧТО Я НЕ ВСЁ ПОКАЗАЛ. Приятного просмотра!)
Ссылки из видео:
1) Карта Monobank: [ https://www.monobank.com.ua/cpa/?utm_source=LA&amp;utm_medium=limit&amp;utm_campaign=552&amp;utm_content=mono7338c0708090dce2000001b7711522782055.6535 ]
     Карта "Юниорка"(PrivatBank): [ https://privatbank.ua/ru/platezhnie-karty/karta-juniora ]
2) Точка выдачи карт и связь из Monobank [ https:</t>
  </si>
  <si>
    <t>Максим Гузько</t>
  </si>
  <si>
    <t>23:25</t>
  </si>
  <si>
    <t>Зняла зранку 200 грн у банкоматі й побігла. Біжу, чую телефон, номер якийсь такий... Тю, думаю, чо це мені з</t>
  </si>
  <si>
    <t>монобанк відкривайте, Олю</t>
  </si>
  <si>
    <t>Oleg Kliwanski</t>
  </si>
  <si>
    <t>Olga Dubchak</t>
  </si>
  <si>
    <t>23:22</t>
  </si>
  <si>
    <t>ЦІНА БЕЗКАРНОСТІ! Те, що ми зараз спостерігаємо Є ПОВЕРНЕННЯ  ВЛАДИ ЯНИКА...</t>
  </si>
  <si>
    <t>Світлана Ковальчук</t>
  </si>
  <si>
    <t>Tetyana Melnichuk</t>
  </si>
  <si>
    <t>23:18</t>
  </si>
  <si>
    <t>Vladislav  Butskij</t>
  </si>
  <si>
    <t>23:05</t>
  </si>
  <si>
    <t>Хм, цікава штука!</t>
  </si>
  <si>
    <t>Ярина Гречаник</t>
  </si>
  <si>
    <t>23:01</t>
  </si>
  <si>
    <t>Стефанія Литвин</t>
  </si>
  <si>
    <t>Монобанк?))) В мене теж такі є.))</t>
  </si>
  <si>
    <t>Denis  Malykhin</t>
  </si>
  <si>
    <t>22:58</t>
  </si>
  <si>
    <t>Вбивці всі у владі</t>
  </si>
  <si>
    <t>22:55</t>
  </si>
  <si>
    <t>Зачистка владунів всіх хто підтримував Саакашвілі</t>
  </si>
  <si>
    <t>Nikolo Lobok</t>
  </si>
  <si>
    <t>22:53</t>
  </si>
  <si>
    <t>А скоро собаки рюкзакова всіх стрімачив як і брата Готмана битимуть... Нажаль</t>
  </si>
  <si>
    <t>можеш ще попробувать приват монобанк</t>
  </si>
  <si>
    <t>Red )</t>
  </si>
  <si>
    <t>AdWords на раз два</t>
  </si>
  <si>
    <t>22:50</t>
  </si>
  <si>
    <t>Каждый клиент monobank получает комплект наклеек с забавным котом из нашего приложения. Эти наклейки стали одним из</t>
  </si>
  <si>
    <t>Это на украинском с апострофом</t>
  </si>
  <si>
    <t>Екатерина Задорожная</t>
  </si>
  <si>
    <t>Є опція «кєшбек», мож обрати 2 категорії  :</t>
  </si>
  <si>
    <t>Larysa Kravchenko</t>
  </si>
  <si>
    <t>22:45</t>
  </si>
  <si>
    <t>Крепкого  здоровья  защитникам ,  оно  им  понадобится!</t>
  </si>
  <si>
    <t>Natali Tyurde</t>
  </si>
  <si>
    <t>Павло Украинец</t>
  </si>
  <si>
    <t>22:42</t>
  </si>
  <si>
    <t>Україна | Новини | АТО | Буча</t>
  </si>
  <si>
    <t>22:41</t>
  </si>
  <si>
    <t>Днепр смотріт</t>
  </si>
  <si>
    <t>22:40</t>
  </si>
  <si>
    <t>Предположу, что КИЯ побили за его сегодняшнее высказывание в адрес так называемых националистов. Подписываюсь под каждым его словом, это псевдонационалисты, за исключением некоторых.
https://m.facebook.com/story.php?story_fbid=186483812077101&amp;id=100021464510580</t>
  </si>
  <si>
    <t>Георгий Нечипоренко</t>
  </si>
  <si>
    <t>Не буде організованості, буде вседозволеність. Де ви майданівці? Чи для організації і координації дій треба Парубій? Хтось може бути координатором? Об'єднуйтесь. Лебідь, рак і щука затягнуть вас всіх до СІЗО.</t>
  </si>
  <si>
    <t>Stepan Denbera</t>
  </si>
  <si>
    <t>Какой у них мсс? В какой категории?
Беглый поиск не дал результат</t>
  </si>
  <si>
    <t>22:39</t>
  </si>
  <si>
    <t>Уважающий  себя  прокурор,  никогда  бы  не  работал  под  руководством  засранца Луценко  ,  а  этот  пожалуйста  сидит  ,  всегда  есть  возможность  быть  человеком.</t>
  </si>
  <si>
    <t>Анжеліка,  вибачте,  а за кого ви голосували?</t>
  </si>
  <si>
    <t>22:38</t>
  </si>
  <si>
    <t>Да и дополнительные плюшки в виде отдельного окна у погранцов и безплатного зала ожидания тоже безусловно приятны.</t>
  </si>
  <si>
    <t>Eugene Kochkin</t>
  </si>
  <si>
    <t>Valentina Brovkina</t>
  </si>
  <si>
    <t>22:37</t>
  </si>
  <si>
    <t>А зачем мне массовый продукт, если у меня прекрасный кеш-бек на премиальных карточках Carbon и World? Внутри страны массовый продукт ничем не отличается от премиального в плане ежедневных bulk транзакций. А вот за границей ситуация другая и по массовым продуктам могут быть отказы в приеме таких карточек. При чем ключевое тут "МОГУТ БЫТЬ", а не обязательно будут...</t>
  </si>
  <si>
    <t>f6mq8.app.goo.gl</t>
  </si>
  <si>
    <t>f6mq8.app.goo.gl
https://monobank.com.ua/r/dX8y</t>
  </si>
  <si>
    <t>Andry SvasticKot Zubalsky</t>
  </si>
  <si>
    <t>22:35</t>
  </si>
  <si>
    <t>это быдло прокурорское ,если бы имело честь и совесть не работало бы под руководством  чмошника Луценко,</t>
  </si>
  <si>
    <t>это  быдло  прокурорское  ,если  бы  имело  честь  и  совесть  не  работало  бы  под  руководством   чмошника  Луценко,  всегда  есть  возможность  быть  человеком  ,  а  не  дерьмом! Но  он  готов  быть  тем  кем  он  сейчас  выглядит. Как  жаль  ,  что  нет  Саши  Белого!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</si>
  <si>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Indus5 @ 3.04.18, 17:41  /forum/index.php?act=findpost&amp;pid=72015207 Покращення
и что здесь страшного?
обоснуйте</t>
  </si>
  <si>
    <t>7Sense</t>
  </si>
  <si>
    <t>22:33</t>
  </si>
  <si>
    <t>Беркутята сьогодні переодіті в " космонавтів " і далі товчуть народ і патріотів!</t>
  </si>
  <si>
    <t>22:32</t>
  </si>
  <si>
    <t>Победителей не судят!Прокурор идиот!</t>
  </si>
  <si>
    <t>https://forum.finance.ua/viewtopic.php?p=4339380#p4339380    renegade написав:
Заметил, что с карты списывает за убер столько сколько он выставляет.
Это улучшения у моно или у убера?
Может это из-за того, что с недавних пор курсы покупки/продажи у них отличаются всего на 1 копейку?</t>
  </si>
  <si>
    <t>Vorlon</t>
  </si>
  <si>
    <t>Привіт</t>
  </si>
  <si>
    <t>Sofiya Zavarynska</t>
  </si>
  <si>
    <t>Банк який немає відділень.</t>
  </si>
  <si>
    <t>Цитата:
		Допис від Ximik
		 showthread.php?p=2726537#post2726537 
	Тобі ще повезло. В мене взагалі відсутні деякі пункти для вибору кешбеку (наприклад продукти: в мене їх нема - в друзів є для вибору)
А то так для ознайомлення скопіпастив з іншого форуму. Певно ми з тобою попали під певну категорію Гороховського:
"Свинорыл" - термин, отцом которого является бывший первый зампред "Привата" Олег Гороховский. "Свиными рылами" он назвал клиентов "Монобанка", которые стараются накосить побольше кешбека. Кто подхватил это слово и сделал очередным мемом-афоризмом, история уже умалчивает. Но термин прочно вошел в "узкие круги".
Ну в мене 19% за книги, по ним я і виведу всі 500грн, той 1% що вони мені скрутили то таке. А за тих 50грн вони мене обідили, другу нарахували, значить ссилка проканала, бо якби він сам зареєструвався йому б їх не нарахували. А зараз морозяться. Не красиво... Ну будемо воювати з банком хто кого...</t>
  </si>
  <si>
    <t>pberit</t>
  </si>
  <si>
    <t>forum.te.ua</t>
  </si>
  <si>
    <t>Тернопіль - Форум Файного Міста &gt; Моя балачка</t>
  </si>
  <si>
    <t>Сравнение карт MONOBANK VS PrivatBANK
Всем привет! Сегодня я сравнил некоторые фишки и преимущества двух банков и хочу показать это вам. ЭТО КРАТКИЙ ОБЗОР. НЕ СТОИТ БОМБИТЬ О ТОМ, ЧТО Я НЕ ВСЁ ПОКАЗАЛ. Приятного просмотра!)
Ссылки из видео:
1) Карта Monobank: [ https://www.monobank.com.ua/cpa/?utm_source=LA&amp;utm_medium=limit&amp;utm_campaign=552&amp;utm_content=mono7338c0708090dce2000001b7711522782055.6535 ]
     Карта "Юниорка"(PrivatBank): [ https://privatbank.ua/ru/platezhnie-karty/karta-juniora ]
2) Точка выдачи карт и связь из Monobank [ https://www.monobank.com.ua/contacts ] 
◓ Instagram - https://www.instagram.com/maksimguzko
◓ FaceBook- https://www.facebook.com/maxim.guzko
◓ VK - https://vk.com/maksimguzko
◓ Twitter - https://twitter.com/mr_shoz</t>
  </si>
  <si>
    <t>Mr. Shoz</t>
  </si>
  <si>
    <t>Юрій Юхименко,  на душі потепліло,  обнадійливо</t>
  </si>
  <si>
    <t>Таисия Буцкевич</t>
  </si>
  <si>
    <t>22:28</t>
  </si>
  <si>
    <t>Foma  Sven</t>
  </si>
  <si>
    <t>22:24</t>
  </si>
  <si>
    <t>Пишем в директ для получения 50 грн на счет!
#bisness #ukraine #follow #money #monobank #easymoney #easy #гроші #деньги #mono #bank #black #card #mastercard #cat #cosmos #монобанк  #банк #отлично #чернаякарта #деньги #подпишись #первыйбанк  #моно #качай #monobank_party #monobank #удобно #простовыгодно #котики #переходинатемнуюсторону #cashback</t>
  </si>
  <si>
    <t>monobank | Universal Bank</t>
  </si>
  <si>
    <t>Чому не судять луценка,який завіз зброю на Майдан ?!</t>
  </si>
  <si>
    <t>22:23</t>
  </si>
  <si>
    <t>Судять майданівця,  нібито за вбивство беркутівця</t>
  </si>
  <si>
    <t>Задонатьте кому сколько не жалко :) https://send.monobank.com.ua/2dYGX31c1</t>
  </si>
  <si>
    <t>Термодимасик</t>
  </si>
  <si>
    <t>22:22</t>
  </si>
  <si>
    <t>Igor Kireev</t>
  </si>
  <si>
    <t>Не забувайте і про Андрія Романюка
2 роки і 11 місяців під вартою. Для добровольця Андрій Романюк за цей період змінилось небагато. Хіба помінялись десятками судді, з корпусу "малолєток" його перевели на дорослий, своє 18-річчя, 19-річчя, 20-річчя зустрів там же - в СІЗО. А тепер зі справи САМОВІДВОДИТЬСЯ вся група прокурорів з ГПУ. Фактично кажуть, що були упереджені весь цей час і будуть надалі, якщо залишаться у справі!
.
За три роки навіть не дочитали обвинувальний. Розгляду справи по суті не було. Вироку нема. Вини нема. Є тільки 4 стіни ізолятора, книжки, спогади про Майдан і війну, куди він відправився 16-річним, і є рідкі виїзди на засідання. А ще є боротьба за своє ім'я. Є боротьба його друзів. Його адвоката Marian Matsula.
.
І 3 квітня з 15:00 чекає черговий бій! Крім розгляду самовідводу прокурорів, ЗНОВУ (21 раз!) підніматимуть питання про доцільність тримання Андрія під вартою.
.
По факту прокурори, які вимагали продовжувати ув'язнення, визнали що робили це упереджено. Про їх тиск неодноразово й наголошували судді 5 районних київських суддів. І все одно за чиєюсь вказівкою, продовжували утримувати під вартою
.
Це не місяць, не 5, не рік і навіть не два. 1063 дня.
Т Р И роки.
Люди, може нарешті підтягнетесь?
Бо справа затягнулась на роки, а Андрій гниє (у прямому значенні цього слова) у в'язниці. Після Майдану і СІЗО під тавром "терорист". З 17 років...
.
Більше тут https://freevorobey.info
.
Оновлено: Щодо засідання майданівця, добровольця Андрій Романюк. Андрія госпіталізували в БСП з підозрою на відкриту виразку шлунку. Три роки СІЗО даються взнаки... Весь склад прокурорів ГПУ заявив собі самовідвід, вказавши причиною свою упередженність. Їх відвели. В засіданні оголосили перерву, щоб призначати нового керівника групи прокурорів. Наступну дату призначили на 5 квітня, 12:30. Розглядатимуть доцільність запобіжного для Андрія, який станом на сьогодні без вини, вироку і розгляду перебуває під вартою 2 роки і 11 місяців!
.
У разі, якщо все ж таки Андрія насильно доставлять на суд - чекаю всіх на засідання - Дарницький суд, вул. Севастопольська, 7/13 5 квітня з 12:30!!!
.
Писатиму оновлення по мірі появи інфи.
.
І дякую всім активістам і журналістам,  які знайшли час і можливість бути присутніми з нами!
#СвободуРоманюку
#доброволецьНЕзлочинець
Свободу Андрію Романюку
Два роки і 9 місяців слідчого ізолятора - це все що отримав Воробєй за свою любов до країни. В 15 років він вижив на Майдані, в 16 - вижив на війні, а життя забрали на ...</t>
  </si>
  <si>
    <t>Vesa Mattila</t>
  </si>
  <si>
    <t>да уж..система</t>
  </si>
  <si>
    <t>Володимир Філіппов</t>
  </si>
  <si>
    <t>Yuliya Radova</t>
  </si>
  <si>
    <t>Та хто розбив?</t>
  </si>
  <si>
    <t>22:18</t>
  </si>
  <si>
    <t>Погане зображення,  пливе</t>
  </si>
  <si>
    <t>Спасибо Дима,смотрим</t>
  </si>
  <si>
    <t>Lyudmila  Chayka</t>
  </si>
  <si>
    <t>22:17</t>
  </si>
  <si>
    <t>а чем массовый может быть проблемней премиального? банк, технология, контакт-центр будут примерно одинаковыми в одном банке. Только наполнение продукта. Для ежедневных расчетов монобанк вполне выгоден за счет кеш-бека, и платить в Сильпо все равно какого уровня картой.</t>
  </si>
  <si>
    <t>22:16</t>
  </si>
  <si>
    <t>Людмила Башарова</t>
  </si>
  <si>
    <t>22:15</t>
  </si>
  <si>
    <t>І Тягнибок -- ФЕЙК І ТУФТА!!!</t>
  </si>
  <si>
    <t>Нова Каховка, вас підтримує</t>
  </si>
  <si>
    <t>Джуманіязова Параскева</t>
  </si>
  <si>
    <t>22:14</t>
  </si>
  <si>
    <t>А хто бив Діму Гутмана?</t>
  </si>
  <si>
    <t>Денис Скворцов</t>
  </si>
  <si>
    <t>22:13</t>
  </si>
  <si>
    <t>Катя Катюша Брильянт</t>
  </si>
  <si>
    <t>22:10</t>
  </si>
  <si>
    <t>https://forum.finance.ua/viewtopic.php?p=4339340#p4339340    casper12 написав:
 https://forum.finance.ua/viewtopic.php?p=4339337#p4339337    mihasik написав:10грн на тысячу гривен роли не играет
10 грн на рівні 40 грн - грає
Мы, наверное,говорим о разном.</t>
  </si>
  <si>
    <t>Все кто близко , подтягивайтесь в суд. Дмитрий Суд Бубенчика, подключайтесь! Репост! Подяка за стріми Monobank,</t>
  </si>
  <si>
    <t>Все  кто  близко  ,  подтягивайтесь  в  суд.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</si>
  <si>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Пропустила,  кого побили?</t>
  </si>
  <si>
    <t>"Будь ласка. Давайте нашвыряем денег на три позиции..." Дорогой фейсбук. Когда ты, может быть случайно, бываешь на нуле,</t>
  </si>
  <si>
    <t>"Будь ласка. Давайте нашвыряем денег на три позиции..."
Дорогой фейсбук. Когда ты, может быть случайно, бываешь на нуле, ты понимаешь, что наши парни курят.
Нет, есть те, кто аватарит, в том числе и по наркоте.  Но, в основном, люди курят. Они наливают в металлическую чашку растворимый кофеец. Они выходят из блиндажа и смотрят в подаренный вами теплик, запаривают присланный вами кофе, и закуривают. Причем закуривают лютую жесть. Дичку какую-то. Убитое говно а-ля папиросы «Ватра».
Покурить на фронте - это как приготовить вкусное мясо в сытом тылу. Это расслабон. Это когда ты ждешь российские грады, но тебе надо быть в форме. Тебе надо н-а-б-л-ю-д-а-т-ь.
Так вот. Так вот.
Большинство наших хлопцев курят лютую дрочь из-за технических причин доставки и экономии. Впереди - Пасха. Сами пасочки для ребят передаст суперсильный волонтёрский фактор наших женщин. На мясо я собираю три раза в год.
Отже.
Будь ласка. Давайте нашвыряем денег на три позиции: сиги, сладкая шипучка и шоколадные батончики.
Хотелось бы накрыть всех друзей из ЗСУ: ДШВ из 79, арту из «Донбасс-Украина», и морпехов из 36.
5363 5423 0708 8857 - карта привата
5375 4141 0050 5386 - карта монобанка.
4790 7010 0214 9655 -  карта ощадбанка
По вопросам денежных переводов из-за рубежа обращаться в личку.
Дякую за відгук. Та дякую за репост.
Слава Україні.</t>
  </si>
  <si>
    <t>Елена Кимельфельд</t>
  </si>
  <si>
    <t>22:09</t>
  </si>
  <si>
    <t>Ekaterina Bondarenko</t>
  </si>
  <si>
    <t>Депутати Новокаховської міської ради</t>
  </si>
  <si>
    <t>22:08</t>
  </si>
  <si>
    <t>Игорь Пишенко</t>
  </si>
  <si>
    <t>Новая Каховка. Мысли вслух и без цензуры.</t>
  </si>
  <si>
    <t>УКРАЇНСЬКІ ПАТРІОТИ НОВОЇ КАХОВКИ</t>
  </si>
  <si>
    <t>Привіт!  Перепощую.</t>
  </si>
  <si>
    <t>Суд  повинен являти волю народу.</t>
  </si>
  <si>
    <t>Alex  Chemerus</t>
  </si>
  <si>
    <t>Доброго вечора. Вдачі</t>
  </si>
  <si>
    <t>22:07</t>
  </si>
  <si>
    <t>Все на защиту Бубенчика! Дмитрий Суд Бубенчика, подключайтесь! Репост! Подяка за стріми Monobank, Dmitriyev Dmitriy</t>
  </si>
  <si>
    <t>Все  на  защиту  Бубенчика!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</si>
  <si>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Приложения в Google Play – monobank - мобильный онлайн банк
Первый мобильный банк без отделений в Украине! Переводите деньги друзьям, оплачивайте коммуналку и пополняйте мобильный совершенно бесплатно. Кредитный лимит до 100 000 грн с самой низкой процентной ставкой в Украине. Рассрочка, бесплатное пополнение и кешбек до 20%.Получить карту легко:- Чтобы открыть счет, нужно всего лишь сфотографировать паспорт и ИНН.- Установите приложение и ответьте на пару вопросов.- Закажите доставку карты в желаемое место и удобное для вас время, а когда наш сотрудник будет на подходе, он вам позвонит. Покажите ему паспорт — и готово: карта у вас. Еще карту можно забрать в одной из точек выдачи.Современная и стильная карта:- Премиальная карта MasterCard («МастерКард») полностью черного цвета.- Чип для безопасных платежей и PayPass для бесконтактной оплаты.- Не нужно носить с собой кошелек — возьмите только эту карту и проводите все денежные операции с ее помощью.- Покупайте в интернете с помощью карты monobank — и не нужны никакие Qiwi («Киви») и Webmoney («Вебмани»).Лучшие усло
https://ad.admitad.com/g/yfp1lg37f6cb90bb9c5c66f30a08a3/</t>
  </si>
  <si>
    <t>poleznye-sajty</t>
  </si>
  <si>
    <t>Vasil Boyko</t>
  </si>
  <si>
    <t>22:06</t>
  </si>
  <si>
    <t>А я вот только присоединился. Бета тест пройден - и уже можно</t>
  </si>
  <si>
    <t>Матюки видають люмпенів-тітушек  - мають завдання створити бучу.</t>
  </si>
  <si>
    <t>Evelina  Mai</t>
  </si>
  <si>
    <t>все кто хотел уже там</t>
  </si>
  <si>
    <t>Yuri Krylach</t>
  </si>
  <si>
    <t>Віталій Бричка</t>
  </si>
  <si>
    <t>22:04</t>
  </si>
  <si>
    <t>Бей своих что бы чужие боялись</t>
  </si>
  <si>
    <t>Oleksandr Kramar</t>
  </si>
  <si>
    <t>Борчик Войнович</t>
  </si>
  <si>
    <t>А хто такій Кий</t>
  </si>
  <si>
    <t>Ганна Лаврів</t>
  </si>
  <si>
    <t>Привет, друзья! По доброй традиции планируем отпраздновать Пасху 2018 со смыслом — едем командой волонтеров 6-9 апреля в</t>
  </si>
  <si>
    <t>Привет, друзья!
По доброй традиции планируем отпраздновать Пасху 2018 со смыслом — едем командой волонтеров 6-9 апреля в Красногоровку (Донецкой области).
Цели поездки:
- Привезти поддержку: как материальную (продукты, дрова, и пр.) так и духовную (ободрить, напомнить про смысл Пасхи)
- Сделать вклад в единство людей из разных регионов Украины.
- Найти способы помочь местным самостоятельно выбираться из серости и депрессии и двигаться дальше (для этого будем встречаться с местными лидерами и брейнштормить).
Приглашаем каждого участвовать:
1) Выбрать что-то из списка http://bit.ly/easterdonbass18f записаться там и принести (до 5 апреля 17-00). Можно принести на Раисы Окипной 8А. Обязательно напишите или наклейте на коробке или пакете номер потребности (напр. 1001).
2) Сброситься финансово и мы докупим то, чего не будет хватать. Сброситься можно на карту Приват 5168 7573 3367 7096 (Стависюк Елена) или мой monobank .
5375 4141 0040 5595 Пожалуйста пишите в личном сообщении или комментарии сумму, чтобы идентифицировать платеж. Финансовый отчет в том же списке.
3)  ⭐Если есть идеи, как еще можно послужить людям в АТО — пишите и участвуйте (например подписать и принести открытки, сделать какой-то мастер-класс, рассказать о возможностях переезда на учебу в Киев и поддерживать их в этом...).
Благословений и отличной недели!
Максим и команда
Екатерина Тимченко (Katya Tymchenko), Влад Гизимчук, Оля Геращенко (Olga Geraschshenko) Дмитрий Канцидайло</t>
  </si>
  <si>
    <t>Viktoria Kopanova</t>
  </si>
  <si>
    <t>22:03</t>
  </si>
  <si>
    <t>Спроси кто побил?</t>
  </si>
  <si>
    <t>Заметил, что с карты списывает за убер столько сколько он выставляет.
Это улучшения у моно или у убера?
Отправлено с моего Nexus 4 через Tapatalk</t>
  </si>
  <si>
    <t>renegade</t>
  </si>
  <si>
    <t>слышно было куча гавна изо рта тех, кто орали. культура ниже плинтуса</t>
  </si>
  <si>
    <t>Reteyk Fuc</t>
  </si>
  <si>
    <t>22:02</t>
  </si>
  <si>
    <t>ВР не захватили?</t>
  </si>
  <si>
    <t>Что скажешь Украина превращается в Сирию 2</t>
  </si>
  <si>
    <t>Юра Манюк</t>
  </si>
  <si>
    <t>Musia Koko</t>
  </si>
  <si>
    <t>22:01</t>
  </si>
  <si>
    <t>Закрита інформація всі шифруються</t>
  </si>
  <si>
    <t>Богдан Гавришкив</t>
  </si>
  <si>
    <t>Чим суд завершився ?</t>
  </si>
  <si>
    <t>Оля Матвійчук</t>
  </si>
  <si>
    <t>Посмотрим что Кий напишет в фб</t>
  </si>
  <si>
    <t>Петро Смажевський</t>
  </si>
  <si>
    <t>Перестаньте дізнаватись. Вам сказали внутрчшні</t>
  </si>
  <si>
    <t>Проплаченный марш сегодня был.</t>
  </si>
  <si>
    <t>были но мало</t>
  </si>
  <si>
    <t>Slava  Zhugan</t>
  </si>
  <si>
    <t>Интересно почему сегодня когда проходил митинг не б ыло мусоров</t>
  </si>
  <si>
    <t>Це центр столиці держави, яка швиденько йде в ЄС, чи буде ще гірше?</t>
  </si>
  <si>
    <t>Mykhailo Strelnikov</t>
  </si>
  <si>
    <t>Там есть кто-то адекватный, кто может объяснить?</t>
  </si>
  <si>
    <t>21:59</t>
  </si>
  <si>
    <t>Пора робить монобанк)</t>
  </si>
  <si>
    <t>Oleksandr Oksymets</t>
  </si>
  <si>
    <t>Внутрішній конфлікт я так зрозумів</t>
  </si>
  <si>
    <t>Дмитро Дмитрович Мартинюк</t>
  </si>
  <si>
    <t>ха Димка сыпаратист</t>
  </si>
  <si>
    <t>Sergey Sergey</t>
  </si>
  <si>
    <t>Діма, для тих, хто тільки підключився, в двох словах, що сталось???</t>
  </si>
  <si>
    <t>Rypnovska Galyna</t>
  </si>
  <si>
    <t>А кричали авакова на гилляку, значит они против авакова</t>
  </si>
  <si>
    <t>Что значит очистка???... Кий это враг????</t>
  </si>
  <si>
    <t>Андрій Палінка</t>
  </si>
  <si>
    <t>Какая группировка?</t>
  </si>
  <si>
    <t>Спроси кто напал?</t>
  </si>
  <si>
    <t>Рух Правых Сил- они стояли табором под Взрадой вместе с Рухом вызволення</t>
  </si>
  <si>
    <t>Запитай хто це його</t>
  </si>
  <si>
    <t>Суд над Бубенчиком?????</t>
  </si>
  <si>
    <t>Вильмар Коваль</t>
  </si>
  <si>
    <t>Людмила Коваль</t>
  </si>
  <si>
    <t>Кий это РПС.</t>
  </si>
  <si>
    <t>Кто такой Кий?</t>
  </si>
  <si>
    <t>Що вони робили біля суду</t>
  </si>
  <si>
    <t>кто такой этот Кий</t>
  </si>
  <si>
    <t>21:56</t>
  </si>
  <si>
    <t>страшно жить в такой стране</t>
  </si>
  <si>
    <t>Igor Belov</t>
  </si>
  <si>
    <t>НАТО Народная антитеррористическая организация</t>
  </si>
  <si>
    <t>Пусть идут маршировать со своим хозяином.</t>
  </si>
  <si>
    <t>Нац корпус это титушки Авакова.</t>
  </si>
  <si>
    <t>Нескучно</t>
  </si>
  <si>
    <t>Мирослава Якуц</t>
  </si>
  <si>
    <t>Весело у вас там по вечерам!</t>
  </si>
  <si>
    <t>Виталий Павленко</t>
  </si>
  <si>
    <t>Какого черта аваковкие шавки делали возле суда?</t>
  </si>
  <si>
    <t>21:55</t>
  </si>
  <si>
    <t>Весело там у вас</t>
  </si>
  <si>
    <t>Странное ощущение, чем-то напоминает виртуальных мобильных операторов. Так и тут, везде выпирает самый обычный Universal Bank + идея маркетологов, как привлечь новых пользователей.....</t>
  </si>
  <si>
    <t>Oleg Chyrva</t>
  </si>
  <si>
    <t>Lyudmila Mayorova</t>
  </si>
  <si>
    <t>Скажи, что за пацаны напали?</t>
  </si>
  <si>
    <t>21:54</t>
  </si>
  <si>
    <t>Іван Кравченко</t>
  </si>
  <si>
    <t>Roman Ivanov</t>
  </si>
  <si>
    <t>Это нац. корпус напал?</t>
  </si>
  <si>
    <t>Это не первый случай</t>
  </si>
  <si>
    <t>Natalya Osipova</t>
  </si>
  <si>
    <t>21:53</t>
  </si>
  <si>
    <t>Короче якийсь бардак тай все</t>
  </si>
  <si>
    <t>Denys Sorockuy</t>
  </si>
  <si>
    <t>Коли доводиться відповідати за слова і поруч нема дітей. Дмитрий Суд Бубенчика, подключайтесь! Репост! Подяка за стріми</t>
  </si>
  <si>
    <t>Коли доводиться відповідати за слова і поруч нема дітей.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</si>
  <si>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Ігор Бердніков</t>
  </si>
  <si>
    <t>Там якась своя мулька.</t>
  </si>
  <si>
    <t>Олег Рыбалко</t>
  </si>
  <si>
    <t>Поясніть, що сталось?</t>
  </si>
  <si>
    <t>Ivan Vyrstjuk</t>
  </si>
  <si>
    <t>Natali  Mahanek</t>
  </si>
  <si>
    <t>Bandera Banderovuch</t>
  </si>
  <si>
    <t>Що за молодики ?</t>
  </si>
  <si>
    <t>Антонина Тусь</t>
  </si>
  <si>
    <t>вы возле суда?</t>
  </si>
  <si>
    <t>Что за группировка накинулась на Кия?</t>
  </si>
  <si>
    <t>Валерій Прилука</t>
  </si>
  <si>
    <t>Олександр Артеменко</t>
  </si>
  <si>
    <t>Що за дика маячня відбувається..</t>
  </si>
  <si>
    <t>Марина Горбатенко</t>
  </si>
  <si>
    <t>Цитата
			Знову жалітись прийшов
1. Чомусь мені дали менші % по кешбеку ніж в друзів.
2. Не зарахували мені запрошеного друга, йому таки дали 50грн, а мені ні, кажуть що він через іншу людину зареєструвався. А коли він пише вкажіть через кого вони морозяться. Хоч йому в додатку показувало що то я його привів. Дитячий садок.
Тобі ще повезло. В мене взагалі відсутні деякі пункти для вибору кешбеку (наприклад продукти: в мене їх нема - в друзів є для вибору)
А то так для ознайомлення скопіпастив з іншого форуму. Певно ми з тобою попали під певну категорію Гороховського:
"Свинорыл" - термин, отцом которого является бывший первый зампред "Привата" Олег Гороховский. "Свиными рылами" он назвал клиентов "Монобанка", которые стараются накосить побольше кешбека. Кто подхватил это слово и сделал очередным мемом-афоризмом, история уже умалчивает. Но термин прочно вошел в "узкие круги".</t>
  </si>
  <si>
    <t>Ximik</t>
  </si>
  <si>
    <t>21:52</t>
  </si>
  <si>
    <t>Что это за ватники?</t>
  </si>
  <si>
    <t>к жене подойди</t>
  </si>
  <si>
    <t>Yuri Varna</t>
  </si>
  <si>
    <t>Кий это РПС</t>
  </si>
  <si>
    <t>Iryna  Bas</t>
  </si>
  <si>
    <t>https://www.facebook.com/DmitrijDmitrievv/videos/1810262525948206/?notif_id=1522781435067827&amp;notif_t=live_video_interaction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</si>
  <si>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Tatiana Panyutina</t>
  </si>
  <si>
    <t>Mariya Sternke</t>
  </si>
  <si>
    <t>Ничего не понимаю</t>
  </si>
  <si>
    <t>Что за пацаны его щимят?</t>
  </si>
  <si>
    <t>Кий затриманий!!!!! Дмитрий Суд Бубенчика, подключайтесь! Репост! Подяка за стріми Monobank, Dmitriyev Dmitriy</t>
  </si>
  <si>
    <t>Кий затриманий!!!!!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</si>
  <si>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Svetik Olishevskaya</t>
  </si>
  <si>
    <t>За що накинулась толпа?!</t>
  </si>
  <si>
    <t>Liudmyla Klymenko</t>
  </si>
  <si>
    <t>Хто це? Не можу розгледіти? Що трапилось?</t>
  </si>
  <si>
    <t>Тетяна Охріменко</t>
  </si>
  <si>
    <t>Сергій Боюк</t>
  </si>
  <si>
    <t>Кто его хает?</t>
  </si>
  <si>
    <t>21:50</t>
  </si>
  <si>
    <t>Ömer Petro Ruh</t>
  </si>
  <si>
    <t>Pishi dima shto praisxodit</t>
  </si>
  <si>
    <t>Bacho  Kantaria</t>
  </si>
  <si>
    <t>Дима пропав!</t>
  </si>
  <si>
    <t>Це Кий,а за що його побили?</t>
  </si>
  <si>
    <t>Кто орет?</t>
  </si>
  <si>
    <t>так і де ж той Національний корпус+ Свобода+ ПС, які вдень махали знаменами?</t>
  </si>
  <si>
    <t>Светлана Попова</t>
  </si>
  <si>
    <t>shto praisxodit?</t>
  </si>
  <si>
    <t>Дима, говори что происходит? Кто это?</t>
  </si>
  <si>
    <t>21:49</t>
  </si>
  <si>
    <t>Дима прокоментуй!!!</t>
  </si>
  <si>
    <t>Oleksandr Berezovskuy</t>
  </si>
  <si>
    <t>Что происходит</t>
  </si>
  <si>
    <t>Vladimir Shevchuk</t>
  </si>
  <si>
    <t>Дима привет</t>
  </si>
  <si>
    <t>Дима, расскажи что происходит</t>
  </si>
  <si>
    <t>Кто это волает?</t>
  </si>
  <si>
    <t>Хтось розуміє, що відбувається?!</t>
  </si>
  <si>
    <t>21:48</t>
  </si>
  <si>
    <t>На Заболотного?</t>
  </si>
  <si>
    <t>Христина Плавюк</t>
  </si>
  <si>
    <t>капець</t>
  </si>
  <si>
    <t>Марта Пархоменко</t>
  </si>
  <si>
    <t>Alexey  Levchenko</t>
  </si>
  <si>
    <t>Що відбувається?!</t>
  </si>
  <si>
    <t>Мусор ?</t>
  </si>
  <si>
    <t>21:47</t>
  </si>
  <si>
    <t>Это кого? Прокурора?</t>
  </si>
  <si>
    <t>Кого отметелили и за что?</t>
  </si>
  <si>
    <t>Игорь Валентинович</t>
  </si>
  <si>
    <t>Кого ви лаєте?</t>
  </si>
  <si>
    <t>При подключении и регистрации в #monobank каждый, перешедший, по ниже указанной ссылке, получит бонус в виде 50 грн на свою банковскую карту. Ну и я конечно:)
f6mq8.app.goo.gl
https://monobank.com.ua/r/ntRq</t>
  </si>
  <si>
    <t>Кого щимят?</t>
  </si>
  <si>
    <t>Діма що сталось?</t>
  </si>
  <si>
    <t>Володимир Вікович</t>
  </si>
  <si>
    <t>21:46</t>
  </si>
  <si>
    <t>Halyna Orlovska</t>
  </si>
  <si>
    <t>Teslenko Dmitriy</t>
  </si>
  <si>
    <t>Кого вони виштовхують?</t>
  </si>
  <si>
    <t>Що трапилось?</t>
  </si>
  <si>
    <t>Sveta Lebedovich</t>
  </si>
  <si>
    <t>Valeriy Vjun</t>
  </si>
  <si>
    <t>Что происходит?</t>
  </si>
  <si>
    <t>21:45</t>
  </si>
  <si>
    <t>Luba  Koval</t>
  </si>
  <si>
    <t>Цікаво скільки ще треба вбити мусорів щоб наступив мир</t>
  </si>
  <si>
    <t>Oleg Spl</t>
  </si>
  <si>
    <t>!!! Дорогой фейсбук. Когда ты, может быть случайно, бываешь на нуле, ты понимаешь, что наши парни курят. Нет, есть те,</t>
  </si>
  <si>
    <t>!!!
Дорогой фейсбук. Когда ты, может быть случайно, бываешь на нуле, ты понимаешь, что наши парни курят.
Нет, есть те, кто аватарит, в том числе и по наркоте.  Но, в основном, люди курят. Они наливают в металлическую чашку растворимый кофеец. Они выходят из блиндажа и смотрят в подаренный вами теплик, запаривают присланный вами кофе, и закуривают. Причем закуривают лютую жесть. Дичку какую-то. Убитое говно а-ля папиросы «Ватра».
Покурить на фронте - это как приготовить вкусное мясо в сытом тылу. Это расслабон. Это когда ты ждешь российские грады, но тебе надо быть в форме. Тебе надо н-а-б-л-ю-д-а-т-ь.
Так вот. Так вот.
Большинство наших хлопцев курят лютую дрочь из-за технических причин доставки и экономии. Впереди - Пасха. Сами пасочки для ребят передаст суперсильный волонтёрский фактор наших женщин. На мясо я собираю три раза в год.
Отже.
Будь ласка. Давайте нашвыряем денег на три позиции: сиги, сладкая шипучка и шоколадные батончики.
Хотелось бы накрыть всех друзей из ЗСУ: ДШВ из 79, арту из «Донбасс-Украина», и морпехов из 36.
5363 5423 0708 8857 - карта привата
5375 4141 0050 5386 - карта монобанка.
4790 7010 0214 9655 -  карта ощадбанка
По вопросам денежных переводов из-за рубежа обращаться в личку.
Дякую за відгук. Та дякую за репост.
Слава Україні.</t>
  </si>
  <si>
    <t>Vlasova Sveta</t>
  </si>
  <si>
    <t>21:43</t>
  </si>
  <si>
    <t>A.C.A.B.</t>
  </si>
  <si>
    <t>Данило,молодець!</t>
  </si>
  <si>
    <t>Сергій Кремгес</t>
  </si>
  <si>
    <t>Марія Українка</t>
  </si>
  <si>
    <t>Витягайте Івана..А вбивці-то Садовник і його берКати</t>
  </si>
  <si>
    <t>21:42</t>
  </si>
  <si>
    <t>Валерий Кибальный</t>
  </si>
  <si>
    <t>21:41</t>
  </si>
  <si>
    <t>Maria Pyzhevska</t>
  </si>
  <si>
    <t>Галина Данилівна</t>
  </si>
  <si>
    <t>Петрушка гнида</t>
  </si>
  <si>
    <t>Alexandr  Sergeevich</t>
  </si>
  <si>
    <t>Татьяна Танюша</t>
  </si>
  <si>
    <t>Три тижні тому я став щасливим обладатєлєм карти від #Monobank. (деталі нижче). Про то, шо оплата мобільного звязку,</t>
  </si>
  <si>
    <t>Юра,  то уже на домогательство смахивало бы)))</t>
  </si>
  <si>
    <t>Віктор Коломієць</t>
  </si>
  <si>
    <t>21:39</t>
  </si>
  <si>
    <t>Александр Петрук - згинь.</t>
  </si>
  <si>
    <t>Андрій Коваль</t>
  </si>
  <si>
    <t>Юрій Федорів</t>
  </si>
  <si>
    <t>Молодці! Оганізувались, так тримати.</t>
  </si>
  <si>
    <t>Пусть сидит этот ублюдок,сам сознался в убийствах</t>
  </si>
  <si>
    <t>Александр Петрук</t>
  </si>
  <si>
    <t>СВОЇХ   ТРЕБА    ЗАВЖДИ    ПІДТРИМУВАТИ</t>
  </si>
  <si>
    <t>Игорь Бендера</t>
  </si>
  <si>
    <t>21:38</t>
  </si>
  <si>
    <t>Ми програємо наразі. Причин можна наводити безліч. Річ не в тому, що збираємо кулак, і не в тому, що не прийшов час. А в тому, що ми програєМо. В 2014-му 20-лютого у вирішальну атаку пішли дві тисячі осіб. Ще десять тисяч їх активно підтримали в «тилу». Це і все що спромігся вичавити з себе 40 мільйонний народ. Сьогодні половина з тих двох тисяч в землі, тюрмі, полоні, покалічені, або вичавлені за кордон. А з тих 10 тисяч - половина зневірених. Ми банально програли. Бо були слабші.</t>
  </si>
  <si>
    <t>Yevgen Mitsenko</t>
  </si>
  <si>
    <t>Konstantin  Ruzkov</t>
  </si>
  <si>
    <t>Serg Lobanov</t>
  </si>
  <si>
    <t>Микола Сивирин</t>
  </si>
  <si>
    <t>21:36</t>
  </si>
  <si>
    <t>А монобанк как вам</t>
  </si>
  <si>
    <t>Bohdan Maliborsky</t>
  </si>
  <si>
    <t>Мы должны поддержать Бубенчика</t>
  </si>
  <si>
    <t>Вікторія Рокочук</t>
  </si>
  <si>
    <t>ПІДТРИМУЮ    ВАС</t>
  </si>
  <si>
    <t>Володимир Парасюк на суді: беркута всі на волі повідновлювались на посадах. А майданівців зараз будуть висмикувать по одному і судити.</t>
  </si>
  <si>
    <t>Римма Бараненко</t>
  </si>
  <si>
    <t>21:35</t>
  </si>
  <si>
    <t>Ну мотивація прокуратури очевидна, звалити усі жертви на Бубенчика плюс заткнути рота іншим учасникам Майдану щоби менше базікали про тих хто дорвався до  влади на крові.</t>
  </si>
  <si>
    <t>Василь Журба</t>
  </si>
  <si>
    <t>Georgy  Dmitriev</t>
  </si>
  <si>
    <t>Светлана Сахарова</t>
  </si>
  <si>
    <t>Всех уже посадили кто на Майдане плевался в беркут? Дмитрий Суд Бубенчика, подключайтесь! Репост! Подяка за стріми</t>
  </si>
  <si>
    <t>Всех уже посадили кто на Майдане плевался в беркут?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</si>
  <si>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Andre Land</t>
  </si>
  <si>
    <t>Едем к барыге домой!!! Шансов ноль, рядового пороха не спасти, барыге и шайке прийдётся сесть за предательство, за</t>
  </si>
  <si>
    <t>Едем к барыге домой!!!
Шансов ноль, рядового пороха не спасти, барыге и шайке прийдётся сесть за предательство, за содеянное против граждан Украины!!!
Репост!
Подяка за стрім Monobank, Dmitriyev Dmitriy Mikhaylovich, 5375 4141 0005 0599.
U.S. Embassy in Sweden
Royal Norwegian Embassy in Kyiv
Embassy of Switzerland in Ukraine / Посольство Швейцарії в Україні
Embassy of Canada in Ukraine
Embassy of Denmark in Ukraine
U.S. Embassy Kyiv Ukraine
НАБУ
Всеволод Филимоненко
Сергій Лещенко
Голос Америки
Myroslava Gongadze
Bohdan Kutiepov
chastime
British Embassy, Kyiv
The White House
FBI – Federal Bureau of Investigation
The United States Department of Justice
Amnesty International
Amnesty International Ukraine
Justin Trudeau
John McCain
Theresa May
Angela Merkel
Donald J. Trump</t>
  </si>
  <si>
    <t>Григорий Михайлов</t>
  </si>
  <si>
    <t>21:34</t>
  </si>
  <si>
    <t>Егор красава</t>
  </si>
  <si>
    <t>Юрий Юхименко</t>
  </si>
  <si>
    <t>Оксана Мельничук</t>
  </si>
  <si>
    <t>Марія Чудійович</t>
  </si>
  <si>
    <t>Виктор Аврамчук</t>
  </si>
  <si>
    <t>Ігор Купцьо</t>
  </si>
  <si>
    <t>21:33</t>
  </si>
  <si>
    <t>Людмила Дозорова</t>
  </si>
  <si>
    <t>А мразюці пашинському нічого не хочуть предьявити?</t>
  </si>
  <si>
    <t>Инна Саврасова</t>
  </si>
  <si>
    <t>Суд над Иваном Бубенчиком. Напомню. Ни один из убийц Небесной сотни не покаран! Дмитрий Суд Бубенчика, подключайтесь!</t>
  </si>
  <si>
    <t>Суд над Иваном Бубенчиком.
Напомню.
Ни один из убийц Небесной сотни не покаран!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</si>
  <si>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Ігор Мельничук бандити, зрадники і вбивці керують Україною.</t>
  </si>
  <si>
    <t>21:32</t>
  </si>
  <si>
    <t>Юрій Майор</t>
  </si>
  <si>
    <t>Василий Гордий</t>
  </si>
  <si>
    <t>Яник керує Україною!???</t>
  </si>
  <si>
    <t>Ігор Мельничук</t>
  </si>
  <si>
    <t>Тарас Ткачук</t>
  </si>
  <si>
    <t>21:31</t>
  </si>
  <si>
    <t>Галина Семикопенко</t>
  </si>
  <si>
    <t>УКРАЇНА ~ ЧАС ЗМІН</t>
  </si>
  <si>
    <t>ВИБОРИ ПРЕЗИДЕНТА В СТУДІЮ БУДЬ ЛАСКА..скільки ми маємо ще чекати і терпіти того підараса Порошенка</t>
  </si>
  <si>
    <t>РУХ НОВИХ СИЛ Дніпро НОВОКОДАЦЬКИЙ РАЙОН</t>
  </si>
  <si>
    <t>ВГО "Інноваційний Фонд Народна Ініціатива"</t>
  </si>
  <si>
    <t>Школа Українських Державників</t>
  </si>
  <si>
    <t>YouTube - Взаимная подписка</t>
  </si>
  <si>
    <t>Dmytro Vdoviko</t>
  </si>
  <si>
    <t>Реванш - РИгів</t>
  </si>
  <si>
    <t>Олександр Степаник</t>
  </si>
  <si>
    <t>Юрий, я досмотрю стрим и обязательно прочитаю.</t>
  </si>
  <si>
    <t>Mila  Sadovich</t>
  </si>
  <si>
    <t>21:29</t>
  </si>
  <si>
    <t>А чому не судят порошенка , луценка, яценюка з турчиновим , вони ж ,закликали людей  до повалення конституційного ладу в Україні ?!</t>
  </si>
  <si>
    <t>Ivan Kolodrivsky</t>
  </si>
  <si>
    <t>Питання - скільки сьогоднішніх марширувальників, які позиціонували себе як націоналістів, прийшли в цей суд зазистити Героя України і учасника Революції Гідності ?</t>
  </si>
  <si>
    <t>Люди, що ж ви наробили вибрав пороха у президенти. Це ж жах!</t>
  </si>
  <si>
    <t>Хуйловські посіпаки продовжують наступ на патріотів</t>
  </si>
  <si>
    <t>Анжелика я вам ответил в личку</t>
  </si>
  <si>
    <t>Pavel  Gere</t>
  </si>
  <si>
    <t>21:28</t>
  </si>
  <si>
    <t>КОНТРРЕВОЛЮЦИЯ !!!!!!!!!!!!!!!!!!!!!!!!!!!!!!!!!!!!!!</t>
  </si>
  <si>
    <t>Борис Мохир</t>
  </si>
  <si>
    <t>Ось до чого доводить наша терплячість, Українці, наша жалість до ворогів... тепер ця мразота, не посадивши ні єдиного</t>
  </si>
  <si>
    <t>Ось до чого доводить наша терплячість, Українці, наша жалість до ворогів... тепер ця мразота, не посадивши ні єдиного вбивці Небесної Сотні (а їх більше), а навпаки відпустивши їх і давши змогу втікти в ху&amp;лостан, це непокаране зло садить Майданівців, які вижили....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</si>
  <si>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21:26</t>
  </si>
  <si>
    <t>Саша Рачук</t>
  </si>
  <si>
    <t>Igor Yatsin</t>
  </si>
  <si>
    <t>Господи 4 года прошло, они что-то придумали</t>
  </si>
  <si>
    <t>Svetlana Hmara</t>
  </si>
  <si>
    <t>Скорее всего, уже много кто видел посты про #Monobank. 
Расскажу и я, почему Монобанк лучше других и чем привлек мое внимание)
Во-первых - нет комиссий. На пополнение карты с любого IBoxa, на перевод средств на другую карту, пополнение моб. счета и оплату комуналки! Комиссия - 0%! Ну где еще вы видели бесплатные переводы?
Во-вторых это кешбек. Возвращается до 20% от покупок с карты! Получайте кешбэк от покупок в виде реальных денег. А не бонусов, которые непонятно, где потратить.
В-третьих - удобный функционал. Любые действия со счетом осуществляются в несколько кликов! Экономьте свое время и нервы!
Ну и самое приятное) Получайте кредит до 100 000 грн! 
Без интервью с кредитными брокерами и походами в отделения! От Вас будут нужны только код и фото паспорта!
-----------------------
Скорей заказывайте самую выгодную карту с кредитным лимитом до 100 000 грн - ссылка в профиле @monobank_universal
-----------------------
#monobank #mono #bank #black #card #mastercard #cat #cosmos #монобанк #переходи #стильно #банк #отлично #чернаякарта #деньги #заработай #заработок #подпишись #первыйбанк #monobanks #моно #качай #monobank_party #monobank #удобно #простовыгодно #котики #переходинатемнуюсторону #cashback</t>
  </si>
  <si>
    <t>21:25</t>
  </si>
  <si>
    <t>Галина Михайлив-Харук</t>
  </si>
  <si>
    <t>КОЗАКИ З НАРОДОМ</t>
  </si>
  <si>
    <t>Андрей Кожедуб</t>
  </si>
  <si>
    <t>Шо ж так виснет</t>
  </si>
  <si>
    <t>21:24</t>
  </si>
  <si>
    <t>Юрко Вакула</t>
  </si>
  <si>
    <t>Nikolaj Marko</t>
  </si>
  <si>
    <t>Суд над патріотом :-( Дмитрий Суд Бубенчика, подключайтесь! Репост! Подяка за стріми Monobank, Dmitriyev Dmitriy</t>
  </si>
  <si>
    <t>Суд над патріотом :-(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</si>
  <si>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Vladislav  Bankov</t>
  </si>
  <si>
    <t>21:23</t>
  </si>
  <si>
    <t>Светлана Павлик</t>
  </si>
  <si>
    <t>Володимир Семенюк</t>
  </si>
  <si>
    <t>21:22</t>
  </si>
  <si>
    <t>Галина, беркутята  на свободе</t>
  </si>
  <si>
    <t>Anatolij Palamarchuk</t>
  </si>
  <si>
    <t>Гись Андрій</t>
  </si>
  <si>
    <t>Щойно реклама на ютубі попалася https://youtu.be/Wg0LLHViteQ
Дмитрий Дубилет (Монобанк). Анонс. Скоро на FranchTV
Анонс интервью с Дмитрием Дубилетом, который придумал Монобанк — первый mobile-only банк на украинском рынке. Мы сравнили его с Тиниковым, обсудили тренды в ...
https://youtu.be/Wg0LLHViteQ</t>
  </si>
  <si>
    <t>UAdult</t>
  </si>
  <si>
    <t>Galyna  Ursu</t>
  </si>
  <si>
    <t>21:20</t>
  </si>
  <si>
    <t>Чому-чому. Випив забагато той Юрій Віталіович і зробив таку фігню!</t>
  </si>
  <si>
    <t>А де сидять беркутята більше сотні людей поклали</t>
  </si>
  <si>
    <t>21:19</t>
  </si>
  <si>
    <t>Юрий, хорошо!</t>
  </si>
  <si>
    <t>Александр Мацепура</t>
  </si>
  <si>
    <t>Анжелика если что подробности только в личку!</t>
  </si>
  <si>
    <t>це вже КРАЙ!!!!</t>
  </si>
  <si>
    <t>Viktor  Pendryk</t>
  </si>
  <si>
    <t>МаніАрмія</t>
  </si>
  <si>
    <t>Юрий, так они пересажают всех, пока мы будем силу в кулак собирать</t>
  </si>
  <si>
    <t>21:18</t>
  </si>
  <si>
    <t>Нехай не дає зараз ніяких показів</t>
  </si>
  <si>
    <t>Ludmila Savenkova</t>
  </si>
  <si>
    <t>Аджелика всему своё время!</t>
  </si>
  <si>
    <t>Света Лунева</t>
  </si>
  <si>
    <t>Anatoliy Arckhipenko</t>
  </si>
  <si>
    <t>АТОвці слідуючі... За те що сепарів стріляли.</t>
  </si>
  <si>
    <t>Выдыш Виталий</t>
  </si>
  <si>
    <t>Юрий, нужно уже этим кулаком да по башке тем уродам что у власти.</t>
  </si>
  <si>
    <t>Oksana  Muravska</t>
  </si>
  <si>
    <t>Mikhailo Bug</t>
  </si>
  <si>
    <t>Кривой Рог без цензуры</t>
  </si>
  <si>
    <t>Игорь Хайло</t>
  </si>
  <si>
    <t>Анжелика народ не молчит а собирает силу в кулак! Истинные патриоты не ряженые!</t>
  </si>
  <si>
    <t>Пора начинать</t>
  </si>
  <si>
    <t>Дмитрий Демченко</t>
  </si>
  <si>
    <t>Oleksandr Varenik</t>
  </si>
  <si>
    <t>Ревизор
На своих тренингах по личным финансам я всегда показываю, как можно эффективно использовать современные финансовые инструменты, такие как кредитные карты,  чтобы не только не платить за проценты по кредитам,  но еще   и зарабатывать на этом.  Естественно я рекомендую только то, что проверил лично.  Последние карты, которые я  оформил для такой проверки – это были карты Монобанка и банка ПУМБ.   Сегодня я расскажу о своем опыте пользования  кредитной картой банка ПУМБ,  на которую   я,  повелся из-за рекламы, которая гласила,   что снятие наличных с кредитной карты под «0».
Я, конечно же, не поверил  в это,   но заявку на сайте  на всякий случай оставил. Буквально через несколько минут мне перезвонили и рассказали про эту супер-карту.  На мой вопрос о снятии наличных под «0»,  консультант ничуть не смущаясь сказал,  мол «все правильно  все под «0».   И хотя я привык оплачивать все покупки картой,   но наличные иногда нужны.  Я сказал, что мне такая карта подходит   и мне назначили встречу,  в ближайшем отделении банка.  В банке тоже было все мило и красиво,   пока не дали мне на подпись договор. Как банковский работник со стажем я точно знаю,   что в договоре нужно читать только то, что написано мелким шрифтом,   именно там заложено все «кидалово».    И, вот оно, ЧУДО!  Мелким шрифтом я разглядел,  какие-то страховки. Честно говоря,   мне казалось, что таким  «разводняком» банки уже давно не занимаются,  но оказалось,  что я ошибался. Моя природная скромность и некоторые основы воспитания,  не  позволили  мне бросить  карту в лицо  менеджеру.
Все на что меня хватило  - это задать вопрос: «А где же обещанное снятие под «0»?
- Как Вас уже консультировали ранее,   банк не берет комиссию за снятие наличных,  а только страховку  жизни  в размере 5,6%.
- Во-первых, мне не говорили о страховке,  а во-вторых,  с каких это пор операции по снятию наличных  стали угрожать моей жизни?
- Ну это у нас программа такая,  обязательно нужна страховка,  оправдывался  менеджер банка.
Расстроенный  тем, что мне пришлось потратить  полчаса своей жизни, я ушел,   из банка, точно   для себя решив,  что картой  пользоваться не буду.   Но на этом мое общение с банком не закончилось.  В течении следующего месяца   мне активно названивали сотрудники банка и предлагали,  как можно скорее воспользоваться картой,  хотя бы на 50 грн.  Опять  таки, моя скромность сыграла со мной злую шутку,   вместо того, чтобы послать их куда подальше,   я все-таки оплатил в магазине товар на сумму примерно 300 грн,   в расчете на то, что у меня 60 дней бесплатный период.  Но каково же было мое удивление,   когда при сверке баланса я недосчитался еще почти 4 грн.   Открыв свой договор я еще раз прочитал   и обнаружил,  что даже при оплате в торговой сети,  с меня взимается страховка 1,2%. Такого я точно не ожидал,   т.к.  на операциях  в торговой сети даже ПриватБанк не додумывался  зарабатывать деньги с пользователей карт (только с торговца по договору эквайринга).  На этом мое пользование кредитной картой банка ПУМБ   было   ОКОНЧАТЕЛЬНО ЗАВЕРШЕНО!
В общем,  говоря словами классиков: «Ревизор не рекомендует пользоваться кредитными картами банка ПУМБ.  На рынке есть предложения более интересные».
Но это  уже будут совсем другие  истории…….</t>
  </si>
  <si>
    <t>21:15</t>
  </si>
  <si>
    <t>капець, то коливиходимо</t>
  </si>
  <si>
    <t>Стас Даценко</t>
  </si>
  <si>
    <t>Що  творять  тварюки  владні</t>
  </si>
  <si>
    <t>Олена Корольова</t>
  </si>
  <si>
    <t>Йдеш собі по залитому сонцем Подолу. Технології — це класно, думаєш собі. Bluetooth-навушники, наприклад. Нарешті я не</t>
  </si>
  <si>
    <t>Буде схоже на рекламу, але зазирни на сайт Монобанку. Там якраз всі ці технології на першому місці. І шикраний сервіс у них.</t>
  </si>
  <si>
    <t>Dima Ant</t>
  </si>
  <si>
    <t>Kateryna Avramchuk</t>
  </si>
  <si>
    <t>21:14</t>
  </si>
  <si>
    <t>Что ж народ молчит. Прийдут скоро за каждым из нас!</t>
  </si>
  <si>
    <t>Приглашаю вас в monobank! Оформите карту, перейдя по ссылке, и вы получите по 50 грн на счет кешбэка! Вы получите</t>
  </si>
  <si>
    <t>Приглашаю вас в monobank! Оформите карту, перейдя по ссылке, и вы получите по 50 грн на счет кешбэка!
https://goo.gl/Wg1yTT
Вы получите средства только перейдя по моей ссылке!
Так как я люблю решать вопросы, не выходя "со своей кухни". Показываю как заказать банковскую карту, сидя "в халате и в тапочках".
Ссылку на видео найдёте в описании</t>
  </si>
  <si>
    <t>German Permyakov</t>
  </si>
  <si>
    <t>Но то Капець їм Бог Розум Відбирае</t>
  </si>
  <si>
    <t>Приглашаю вас в monobank! Оформите карту, перейдя по ссылке, и вы получите по 50 грн на счет… https://www.instagram.com/p/BhHjK1rnC7C/</t>
  </si>
  <si>
    <t>Azov capital</t>
  </si>
  <si>
    <t>Вадим Мукомол</t>
  </si>
  <si>
    <t>21:13</t>
  </si>
  <si>
    <t>Pavel  Zubenko</t>
  </si>
  <si>
    <t>махновщина в разгаре !!!</t>
  </si>
  <si>
    <t>Власть пытается всех патриотов засабить по тюрьмам!</t>
  </si>
  <si>
    <t>Как же надоели эти судилища!!!</t>
  </si>
  <si>
    <t>Ольга Яременко</t>
  </si>
  <si>
    <t>Виктор Шорников</t>
  </si>
  <si>
    <t>21:12</t>
  </si>
  <si>
    <t>Кошмар! Что творится! Пересажают всех патриотов!</t>
  </si>
  <si>
    <t>Кто кого судит Дима?</t>
  </si>
  <si>
    <t>Elen  Kuneva</t>
  </si>
  <si>
    <t>Василий Волошкевич</t>
  </si>
  <si>
    <t>21:11</t>
  </si>
  <si>
    <t>Tanya Tkatchenko</t>
  </si>
  <si>
    <t>Чому тільки зараз інкримінують?</t>
  </si>
  <si>
    <t>Sasha  Mozolevskiy</t>
  </si>
  <si>
    <t>Геннадій Бєлов</t>
  </si>
  <si>
    <t>Gennadij Chebanenko</t>
  </si>
  <si>
    <t>Maria Bobyak</t>
  </si>
  <si>
    <t>https://www.facebook.com/DmitrijDmitrievv/videos/1810262525948206/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</si>
  <si>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Dmitriy Kashkin</t>
  </si>
  <si>
    <t>Яка сволота ему инкриминирует преступление.</t>
  </si>
  <si>
    <t>21:10</t>
  </si>
  <si>
    <t>Alexsandr  Sokolov</t>
  </si>
  <si>
    <t>Призначав петюня? Відводив. Правильно.</t>
  </si>
  <si>
    <t>луценка  авакака  пороха і всю шоблу на нари!!!!!!!!!!!</t>
  </si>
  <si>
    <t>21:09</t>
  </si>
  <si>
    <t>Oleksiy Koval</t>
  </si>
  <si>
    <t>Порохоботи московські Суки !</t>
  </si>
  <si>
    <t>Дмитро Кравченко</t>
  </si>
  <si>
    <t>Monobank, камон! Не ожидал в поддержке "самого технологичного банка" услышать стандартные отмазки ощада - "проблема не</t>
  </si>
  <si>
    <t>Не проходит платеж за визу</t>
  </si>
  <si>
    <t>Алексей Чарей</t>
  </si>
  <si>
    <t>21:08</t>
  </si>
  <si>
    <t>Oksana Lyayter-Nikolenko</t>
  </si>
  <si>
    <t>Василий Тарасенко</t>
  </si>
  <si>
    <t>Диме Гутману сегодня на марше разбили камеру.</t>
  </si>
  <si>
    <t>а что случилось?</t>
  </si>
  <si>
    <t>Max Zaichenko</t>
  </si>
  <si>
    <t>21:07</t>
  </si>
  <si>
    <t>кривбас з вами</t>
  </si>
  <si>
    <t>хетня это всё</t>
  </si>
  <si>
    <t>Геннадий Верховод</t>
  </si>
  <si>
    <t>Игорь Лисконог</t>
  </si>
  <si>
    <t>21:06</t>
  </si>
  <si>
    <t>Светлана Слюсар</t>
  </si>
  <si>
    <t>Таня Таня</t>
  </si>
  <si>
    <t>Львів</t>
  </si>
  <si>
    <t>Oleg Nazarov</t>
  </si>
  <si>
    <t>Володимир Желих</t>
  </si>
  <si>
    <t>Одесса</t>
  </si>
  <si>
    <t>Марина Михайловна Скржипчак</t>
  </si>
  <si>
    <t>Прерывается</t>
  </si>
  <si>
    <t>Димон переключи устройство на 4g  стрим виснет.</t>
  </si>
  <si>
    <t>Любов Демидас</t>
  </si>
  <si>
    <t>Черкассы с Вами!</t>
  </si>
  <si>
    <t>Михайло Король</t>
  </si>
  <si>
    <t>Зависає</t>
  </si>
  <si>
    <t>Oleg Sukhov</t>
  </si>
  <si>
    <t>Харьков</t>
  </si>
  <si>
    <t>Сумщина смотрит</t>
  </si>
  <si>
    <t>Сигнал поганий. Чи якісь збої. Часто перериваєься</t>
  </si>
  <si>
    <t>Честь,гідність-де воно українці?Попрали ІДЕЇ Майдану-зрадили!Тепер знищують націю вбивая патріотів,народних лідерів !</t>
  </si>
  <si>
    <t>Честь,гідність-де воно українці?Попрали ІДЕЇ Майдану-зрадили!Тепер знищують націю вбивая патріотів,народних лідерів !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</si>
  <si>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Антонина Чаплинская</t>
  </si>
  <si>
    <t>21:04</t>
  </si>
  <si>
    <t>Irina Krikun-Vakar</t>
  </si>
  <si>
    <t>Олег Олег</t>
  </si>
  <si>
    <t>Димочка, смотрю.</t>
  </si>
  <si>
    <t>Це конвульсії влади.</t>
  </si>
  <si>
    <t>Oleg Btkov</t>
  </si>
  <si>
    <t>Саша Безрук</t>
  </si>
  <si>
    <t>21:03</t>
  </si>
  <si>
    <t>Татьяна Полонская</t>
  </si>
  <si>
    <t>Мабуть почнеться</t>
  </si>
  <si>
    <t>Dajana Klimenko</t>
  </si>
  <si>
    <t>Monobank, камон! Не ожидал в поддержке "самого технологичного банка" услышать стандартные отмазки ощада - "проблема не на нашей стороне", "мы решим в течении недели" Ну, как так?
Помогите решить вопрос, а то буду страшно ругаться!</t>
  </si>
  <si>
    <t>21:02</t>
  </si>
  <si>
    <t>СУД НАД МАЙДАНІВЦЕМ, ЯКОМУ ПРЕД'ЯВЛЕНА ПІДОЗРА У ВБИВСТВІ ДВОХ БЕРКУТІВ. Дмитрий Суд Бубенчика, подключайтесь! Репост!</t>
  </si>
  <si>
    <t>СУД НАД МАЙДАНІВЦЕМ, ЯКОМУ ПРЕД'ЯВЛЕНА ПІДОЗРА У ВБИВСТВІ ДВОХ БЕРКУТІВ.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</si>
  <si>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Херсонська патріотична громада</t>
  </si>
  <si>
    <t>Анатолий Ивановыч</t>
  </si>
  <si>
    <t>Які ж конечні тварюки у владі, кожного дня все гірші новини(((</t>
  </si>
  <si>
    <t>В данном контексте я к Майдану отношусь .</t>
  </si>
  <si>
    <t>Ігор Ратушний</t>
  </si>
  <si>
    <t>Oksana Grigoryuk</t>
  </si>
  <si>
    <t>Був би ... приїзджайте</t>
  </si>
  <si>
    <t>Михаил Челак</t>
  </si>
  <si>
    <t>21:01</t>
  </si>
  <si>
    <t>Дякую Вам за думку щодо маршу. Абсолютно згодна з нею.</t>
  </si>
  <si>
    <t>Делайте репост!</t>
  </si>
  <si>
    <t>Sergey Biletsky</t>
  </si>
  <si>
    <t>Діма що там сьогодні на майдані було</t>
  </si>
  <si>
    <t>Віктор Хомин</t>
  </si>
  <si>
    <t>Я был так как пригласили )</t>
  </si>
  <si>
    <t>Ivan Slobodianyk</t>
  </si>
  <si>
    <t>Леша тож себе оформил, наклеечки там просто  и да, мы уже немного накэшбэчили）</t>
  </si>
  <si>
    <t>Natalia Ivankova</t>
  </si>
  <si>
    <t>https://m.facebook.com/story.php?story_fbid=863004713886338&amp;id=100005304528138&amp;ref=bookmarks</t>
  </si>
  <si>
    <t>Юлія Лащук</t>
  </si>
  <si>
    <t>Людмила Коптева-Парфенюк</t>
  </si>
  <si>
    <t>А почему там был Слободянюк?</t>
  </si>
  <si>
    <t>Rina Kroleva</t>
  </si>
  <si>
    <t>Это край ! Готов выйти на протест !</t>
  </si>
  <si>
    <t>Рома Цап</t>
  </si>
  <si>
    <t>Был бы я в Киеве, был бы с Ыами ребята!</t>
  </si>
  <si>
    <t>Дмитрий Дмитриев в прямом эфире. Суд Бубенчика, подключайтесь! Дмитрий Суд Бубенчика, подключайтесь! Репост! Подяка за</t>
  </si>
  <si>
    <t>Дмитрий Дмитриев в прямом эфире.
Суд Бубенчика, подключайтесь!
Дмитрий
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</si>
  <si>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Оксана Багрина</t>
  </si>
  <si>
    <t>Nataliya Alexandrova</t>
  </si>
  <si>
    <t>Надія Легкобит</t>
  </si>
  <si>
    <t>Инна Рогоза</t>
  </si>
  <si>
    <t>Алан Чилоев</t>
  </si>
  <si>
    <t>А шоколяд зате є?…</t>
  </si>
  <si>
    <t>що це відбувається?немає слів</t>
  </si>
  <si>
    <t>Natali Dyachenko</t>
  </si>
  <si>
    <t>Volodia  Vrubliak</t>
  </si>
  <si>
    <t>f6mq8.app.goo.gl
https://monobank.com.ua/r/stpa</t>
  </si>
  <si>
    <t>Евгения Романова</t>
  </si>
  <si>
    <t>Володимир Левченко</t>
  </si>
  <si>
    <t>Діму Гутмана поранили ті підараси які йому зломали камеру на параді?</t>
  </si>
  <si>
    <t>Діма спасибі! Ти красава!</t>
  </si>
  <si>
    <t>Соня Заболотняя</t>
  </si>
  <si>
    <t>А почему ночью суд</t>
  </si>
  <si>
    <t>Misha Trachuk</t>
  </si>
  <si>
    <t>Діма привіт.</t>
  </si>
  <si>
    <t>Ген-прокурор Алкаш супер дожылись</t>
  </si>
  <si>
    <t>Андрей Малый</t>
  </si>
  <si>
    <t>20:58</t>
  </si>
  <si>
    <t>Репост!</t>
  </si>
  <si>
    <t>Делимся трансляцией!</t>
  </si>
  <si>
    <t>20:57</t>
  </si>
  <si>
    <t>Олександр Чебан ничего не могу сказать именно по этой карте, но по другим дебетовым у меня всегда отель бронировали.</t>
  </si>
  <si>
    <t>Ranetka Nataly</t>
  </si>
  <si>
    <t>фф</t>
  </si>
  <si>
    <t>Ігор Антонів</t>
  </si>
  <si>
    <t>Юлия Климентьева</t>
  </si>
  <si>
    <t>20:56</t>
  </si>
  <si>
    <t>Oxana Karpa</t>
  </si>
  <si>
    <t>Інвестиції ТА Фінанси Вітаю, друзі! Багато хто з нас думаючи про власний бізнес розглядають варіанти залучення партнерів</t>
  </si>
  <si>
    <t>Інвестиції ТА Фінанси
Вітаю, друзі!
Багато хто з нас думаючи про власний бізнес розглядають варіанти залучення партнерів. Хто вони партнери? Варто мати партнерів, чи ні?  Все залежить вітого, які партнери! Якщо партнери компетентні і ефективні, то це цікаве партнерство. Війшовши своїми коштами в певну частку бізнесу Ви будете отримувати пасивний дохід і це вигідно! В такому варіанті Ви станете інвестором.
Якщо Ви маєте бізнес, Ви компетентні в свої справі і бажаєте залучити додаткові кошти, це теж вигідно! Залучивши інвестора, піднявши справу на вищій рівень, ви отримаєте бажаний ефект.
Тому, якісний партнер, це нові можливості і зменшені ризики...
Діловий партнер, співучасник якоїсь справи, діяльності, договірна сторона.
Фінансовий партнер, monobank.
 запрошує вас у monobank! Оформіть картку, перейшовши за персональним посиланням, і ви обидва отримаєте по 50 грн на рахунок кешбека!
https://monobank.com.ua/r/qkwQ
https://monobank.com.ua/r/qkwQ</t>
  </si>
  <si>
    <t>Сергій Гуцалюк</t>
  </si>
  <si>
    <t>Ranetka Nataly прокат авто и блокирование депозита в отеле - в большинстве случаев дебетовая карта не пройдет.</t>
  </si>
  <si>
    <t>Oleksandr Cheban</t>
  </si>
  <si>
    <t>Суд Бубенчика, подключайтесь!
Репост!
Подяка за стріми Monobank, Dmitriyev Dmitriy Mikhaylovich, 5375 4141 0005 0599.
Подяка за стріми ПриватБанк, Дмитриев Дмитрий Михайлович, 5168 7456 0147 0328.</t>
  </si>
  <si>
    <t>20:54</t>
  </si>
  <si>
    <t>Що таке Monobank? І чому я його рекомендую? 1. Поповнення картки без комісій. 2. Поповнення телефону без комісії. 3. П</t>
  </si>
  <si>
    <t>уже второй месяц пользуюсь монобанком и могу сказать что приват пока и рядом не стоит. Да, спд пока нельзя подвязывать, но думаю скоро это решится. ) Кому интересно качайте приложение)</t>
  </si>
  <si>
    <t>Artem Osipiuk</t>
  </si>
  <si>
    <t>Anna Marchenko</t>
  </si>
  <si>
    <t>Alla Boyadjyan</t>
  </si>
  <si>
    <t>❗ Дорогой фейсбук. Когда ты, может быть случайно, бываешь на нуле, ты понимаешь, что наши парни курят. Нет, есть те,</t>
  </si>
  <si>
    <t>❗
Дорогой фейсбук. Когда ты, может быть случайно, бываешь на нуле, ты понимаешь, что наши парни курят.
Нет, есть те, кто аватарит, в том числе и по наркоте.  Но, в основном, люди курят. Они наливают в металлическую чашку растворимый кофеец. Они выходят из блиндажа и смотрят в подаренный вами теплик, запаривают присланный вами кофе, и закуривают. Причем закуривают лютую жесть. Дичку какую-то. Убитое говно а-ля папиросы «Ватра».
Покурить на фронте - это как приготовить вкусное мясо в сытом тылу. Это расслабон. Это когда ты ждешь российские грады, но тебе надо быть в форме. Тебе надо н-а-б-л-ю-д-а-т-ь.
Так вот. Так вот.
Большинство наших хлопцев курят лютую дрочь из-за технических причин доставки и экономии. Впереди - Пасха. Сами пасочки для ребят передаст суперсильный волонтёрский фактор наших женщин. На мясо я собираю три раза в год.
Отже.
Будь ласка. Давайте нашвыряем денег на три позиции: сиги, сладкая шипучка и шоколадные батончики.
Хотелось бы накрыть всех друзей из ЗСУ: ДШВ из 79, арту из «Донбасс-Украина», и морпехов из 36.
5363 5423 0708 8857 - карта привата
5375 4141 0050 5386 - карта монобанка.
4790 7010 0214 9655 -  карта ощадбанка
По вопросам денежных переводов из-за рубежа обращаться в личку.
Дякую за відгук. Та дякую за репост.
Слава Україні.</t>
  </si>
  <si>
    <t>Tatiana Nesterova</t>
  </si>
  <si>
    <t>20:47</t>
  </si>
  <si>
    <t>https://forum.finance.ua/viewtopic.php?p=4339337#p4339337    mihasik написав:
10грн на тысячу гривен роли не играет
10 грн на рівні 40 грн - грає</t>
  </si>
  <si>
    <t>casper12</t>
  </si>
  <si>
    <t>20:45</t>
  </si>
  <si>
    <t>Ирина Мукомел</t>
  </si>
  <si>
    <t>https://forum.finance.ua/viewtopic.php?p=4338472#p4338472    maxim2014 написав:
mihasik написав:По 1%, это шО много
Книги - нет.. продукты - да  Смотря с чем сравнивать...
10грн на тысячу гривен роли не играет</t>
  </si>
  <si>
    <t>https://forum.finance.ua/viewtopic.php?p=4339268#p4339268    Gas написав:
 https://forum.finance.ua/viewtopic.php?p=4338471#p4338471    mihasik написав:По 1%, это шО много
-25% от ставки - да копейки! 
Вы и мобильный, наверное, пополняете на 5 грн с комиссией "всего" 2 грн.  
Чет не понял про %
Пополняю на больше и без комиссии :-\</t>
  </si>
  <si>
    <t>Дід Панас</t>
  </si>
  <si>
    <t>Boris Nemirovski</t>
  </si>
  <si>
    <t>20:35</t>
  </si>
  <si>
    <t>Yaroslav Matiushyn</t>
  </si>
  <si>
    <t>20:32</t>
  </si>
  <si>
    <t>А почему фото не попросили скинуть?</t>
  </si>
  <si>
    <t>Юра Langonier</t>
  </si>
  <si>
    <t>Ярослав Матюшин</t>
  </si>
  <si>
    <t>20:27</t>
  </si>
  <si>
    <t>Месяц соревнования с Дмитрий Дубилет, кто больше привлечет клиентов по своей реферальной ссылке подходит к концу.</t>
  </si>
  <si>
    <t>У меня вопрос - удаление из группы бета-тестеров за критическое мнение и несогласие с политикой распределения категорий кешбэка - это норма для монобанка? Или банят за любую критику?</t>
  </si>
  <si>
    <t>Александр Ткачинский</t>
  </si>
  <si>
    <t>Олег Гороховский</t>
  </si>
  <si>
    <t>20:26</t>
  </si>
  <si>
    <t>Євген запрошує вас у monobank! Оформіть картку, перейшовши за персональним посиланням, і ви обидва отримаєте по 50 грн</t>
  </si>
  <si>
    <t>Євген запрошує вас у monobank! Оформіть картку, перейшовши за персональним посиланням, і ви обидва отримаєте по 50 грн на рахунок кешбека!
https://monobank.com.ua/r/jLJQ</t>
  </si>
  <si>
    <t>Євген Коршунов</t>
  </si>
  <si>
    <t>20:16</t>
  </si>
  <si>
    <t>ХОЛОДНЕ СЕРЦЕ ХОЛОДНИЦЬКОГО. ЩО ЗАГРОЖУЄ АНТИКОРУПЦІЙНОМУ ПРОКУРОРУ?
Хто "наїхав" на Холодницького? Що загрожує головному антикорупційному прокурору? Як зробити так, щоб антикорупційні органи працювали, як належить?
+ Олексій Баганець, заступник генерального прокурора України (2014 - 2015) 
Холодницький після допиту в ГПУ (відео):  https://youtu.be/evJ00f8co5U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переказів: +380963302229
Підпишись на нас у соціальних мережах:
Facebook: https://www.facebook.com/UkrMediaNetwork
Twitter: https://twitter.com/UkrMediaNetwork
Telegram: https://t.me/SkrypinUA
Слухай подкасти в iTunes:
UMN  ➡️ https://goo.gl/LUUodu
skrypin.ua ➡️ https://goo.gl/mvGUgk
Danylo Yanevsky  ➡️ https://goo.gl/1QTWGU
Skype для дзвінків у студію: hello@skrypin.ua / Етер Ether
www.umn.com.ua</t>
  </si>
  <si>
    <t>20:14</t>
  </si>
  <si>
    <t>Олександр Чебан я про машину недочитала)). Имела ввиду что в магазинах ею платили. А насчет машины не знаю. А что есть разница за что платишь?</t>
  </si>
  <si>
    <t>20:13</t>
  </si>
  <si>
    <t>Olga #тароскопсоломки От і квітень настав! А значить саме час дізнатися про те, яким він буде і запланувати щось</t>
  </si>
  <si>
    <t>Olga
#тароскопсоломки
От і квітень настав! А значить саме час дізнатися про те, яким він буде і запланувати щось грандіозне ;) Прогноз на цей місяць читайте вже, а на цей тиждень - трохи згодом. http://solomka.kiev.ua/?p=915
Хто хоче подякувати -
рахунок у Приватбанку № 5168 7556 0104 7000
рахунок у Monobank  № 5375 4141 0038 4113
Прогноз на місяць Прогноз на квітень 2018 Прогноз для Украины на апрель Общество. Император. На первый план выходит лидер, который все громче заявляет о себе, берет ...
http://solomka.kiev.ua/?p=915</t>
  </si>
  <si>
    <t>Olga Stavroullakis</t>
  </si>
  <si>
    <t>Для тех кто в бане у мэра Днепра. Мэр ответил на мой вопрос касательно растраты бюджетных денег на личный пиар. Ответ</t>
  </si>
  <si>
    <t>гг, а разве ндфл в городскую казну идет?
и кстати, его все работающие платят и те у кого депозиты или иные доходы есть. автоматом.
я вот на карте монобанка кешбек получил. а при перечислении его на основной счет - с меня вычли ндфл. так что я как бы хотел или не хотел - но все равно плачу.
а на землю - вроде ж наибольшие землевладельцы в городе - юридические лица, при чем тут физик? может у тебя дача в черте города, тогда платишь с нее налог на землю. есть дача?</t>
  </si>
  <si>
    <t>Dmytro Selin</t>
  </si>
  <si>
    <t>Вячеслав Геннадиевич Поездник</t>
  </si>
  <si>
    <t>20:11</t>
  </si>
  <si>
    <t>і в мене була подібна розмова з Тетяною, без мурмур але лишилось дуууже приємне враження і відповідь на питання була отримана  хоча не дуже полюбляю ці он-лайн чати, бо таке враження іноді, що я іх можу консультувати , а не навпаки ‍♀️</t>
  </si>
  <si>
    <t>Lyudmila  Redko</t>
  </si>
  <si>
    <t>Ей, псс... запрошую вас у monobank! Оформіть картку, перейшовши за персональним посиланням, і отримайте 50 грн на рахунок кешбека!
https://monobank.com.ua/r/x8dd
monobank – банк без відділень</t>
  </si>
  <si>
    <t>Дмитрий Будько</t>
  </si>
  <si>
    <t>Мне не актуально</t>
  </si>
  <si>
    <t>Нина Зайченко</t>
  </si>
  <si>
    <t>Друзі, привіт.
Я запрошую вас у monobank. Оформіть картку, перейшовши за персональним посиланням, і ми обидва отримаємо по 50 грн на свої картки!
https://monobank.com.ua/r/gw83 
 Чому monobank?
Щомісяця ви можете вибрати дві категорії покупок, за якими вам повертатиметься до 20% ваших витрат. І щомісяця вам нараховуватиметься 10% річних на залишок власних коштів на картці.</t>
  </si>
  <si>
    <t>Ґоґоль-моґоль</t>
  </si>
  <si>
    <t>20:06</t>
  </si>
  <si>
    <t>Ranetka Nataly в брали машину в прокат, в какой компании?</t>
  </si>
  <si>
    <t>20:05</t>
  </si>
  <si>
    <t>Все работает прекрасно у нас тут по крайней мере в Барселоне! Проверено! И к тому же курс очень даже неплохой!</t>
  </si>
  <si>
    <t>19:58</t>
  </si>
  <si>
    <t>Владислав приглашает вас в monobank! Оформите карту, перейдя по персональной ссылке, и вы оба получите по 50 грн на счет кешбэка! Назар Вольнов
monobank – банк без відділень
https://monobank.com.ua/r/NqD5</t>
  </si>
  <si>
    <t>Влад Філіченко</t>
  </si>
  <si>
    <t>19:57</t>
  </si>
  <si>
    <t>Владислав приглашает вас в monobank! Оформите карту, перейдя по персональной ссылке, и вы оба получите по 50 грн на счет кешбэка!
monobank – банк без відділень
https://monobank.com.ua/r/NqD5</t>
  </si>
  <si>
    <t>19:55</t>
  </si>
  <si>
    <t>Монобанк :)
А-Банк не лучшая идея ;)</t>
  </si>
  <si>
    <t>Дмитрий Стеценко</t>
  </si>
  <si>
    <t>19:40</t>
  </si>
  <si>
    <t>Monobank. Украина. Банк без отделений. Получай 50 грн!
https://youtu.be/0du4P7w9VC4
За просмотр данного видео мы платим:
Канал Youtube: 1 AZC
Канал VIULY: 1 AZC
Канал Dailymotion: 2 AZC https://youtu.be/0du4P7w9VC4</t>
  </si>
  <si>
    <t>Monobank. Украина. Банк без отделений. Получай 50 грн! За просмотр данного видео мы платим: Канал Youtube: 1 AZC Канал</t>
  </si>
  <si>
    <t>Monobank. Украина. Банк без отделений. Получай 50 грн!
https://youtu.be/0du4P7w9VC4
За просмотр данного видео мы платим:
Канал Youtube: 1 AZC
Канал VIULY: 1 AZC
Канал Dailymotion: 2 AZC
Monobank. Украина. Банк без отделений. Получай 50 грн!
+++++++++++++++++++++++++++++ За просмотр данного видео мы платим: Канал Youtube: 1 AZC Канал VIULY: 1 AZC Канал Dailymotion: 2 AZC Полное описание квеста: ...
https://youtu.be/0du4P7w9VC4</t>
  </si>
  <si>
    <t>Monobank. Украина. Банк без отделений. Получай 50 грн!
https://youtu.be/0du4P7w9VC4
За просмотр данного видео мы платим:
Канал Youtube: 1 AZC
Канал VIULY: 1 AZC
Канал Dailymotion: 2 AZC</t>
  </si>
  <si>
    <t>Азовская Столица</t>
  </si>
  <si>
    <t>Monobank. Украина. Банк без отделений. Получай 50 грн!
https://youtu.be/0du4P7w9VC4
За просмотр данного видео мы платим:
Канал Youtube: 1 AZC
Канал VIULY: 1 AZC
Канал Dailymotion: 2 AZC</t>
  </si>
  <si>
    <t>Денис Южаков (AzovCapitalMedia)</t>
  </si>
  <si>
    <t>Lazy loading "Do not pull the cat for the testicles", inspired by "Monobank cat"
#ui #userinterface #gui #loading #moorartdesign #cat #video #shittybutpretty #mobiledesign #iphone #iphonex #colour #design #aftereffects</t>
  </si>
  <si>
    <t>Denis Moor</t>
  </si>
  <si>
    <t>Герман Пермяков</t>
  </si>
  <si>
    <t>19:33</t>
  </si>
  <si>
    <t>Monobank. Украина. Банк без отделений. Получай 50 грн!
https://youtu.be/0du4P7w9VC4
За просмотр данного видео мы платим:
Канал Youtube: 1 AZC
Канал VIULY: 1 AZC
Канал Dailymotion: 2 AZC
Monobank. Украина. Банк без отделений. Получай 50 грн!
+++++++++++++++++++++++++++++ За просмотр данного видео мы платим: Канал Youtube: 1 AZC Канал VIULY: 1 AZC Канал Dailymotion: 2 AZC Полное описание квеста: h...
https://youtu.be/0du4P7w9VC4</t>
  </si>
  <si>
    <t>Denis Azov-capital.info Investment radio</t>
  </si>
  <si>
    <t>LargoBit LTD</t>
  </si>
  <si>
    <t>Hyip Реклама</t>
  </si>
  <si>
    <t>Реклама Проектов (Hyip,MLM)</t>
  </si>
  <si>
    <t>Группа PR</t>
  </si>
  <si>
    <t>Реклама проектов</t>
  </si>
  <si>
    <t>PR chat Реклама Hyip</t>
  </si>
  <si>
    <t>INVESTORS CHAT</t>
  </si>
  <si>
    <t>Azov Capital Media chat RU/EN/UK</t>
  </si>
  <si>
    <t>Azov Capital Media Channel</t>
  </si>
  <si>
    <t>/forum/index.php?act=findpost&amp;pid=72016695  Azgort,
неограниченное количество раз... суммарно не превышающее 10000 грн (если не ошибаюсь). Ограничили только количество платежей.</t>
  </si>
  <si>
    <t>19:30</t>
  </si>
  <si>
    <t>А ты?)</t>
  </si>
  <si>
    <t>/forum/index.php?act=findpost&amp;pid=72015207  Indus5, а раньше сколько было?</t>
  </si>
  <si>
    <t>Azgort</t>
  </si>
  <si>
    <t>19:26</t>
  </si>
  <si>
    <t>Муж тоже оформил</t>
  </si>
  <si>
    <t>Видео "Monobank. Украина. Банк без отделений. Получай 50 грн!" (http://youtu.be/0du4P7w9VC4?a) на</t>
  </si>
  <si>
    <t>Red-Line TV</t>
  </si>
  <si>
    <t>Monobank. Украина. Банк без отделений. Получай 50 грн!
+++++++++++++++++++++++++++++
За просмотр данного видео мы платим:
Канал Youtube: 1 AZC
Канал VIULY: 1 AZC
Канал Dailymotion: 2 AZC
Полное описание квеста:
https://www.youtube.com/watch?v=KCstjhxIUcc
http://azov-capital.info/kvest-azovskoy-stolicy/
http://telegra.ph/Kvest-Azovskoj-Stolicy-i-kanala-RED-LINE-TV-03-06
++++++++++++++++++++++++++++++
Приглашаю вас в monobank! Оформите карту, перейдя по ссылке, и вы получите по 50 грн на счет кешбэка!
https://goo.gl/Wg1yTT
Вы получите средства только перейдя по моей ссылке!
Так как я люблю решать вопросы, не выходя "со своей кухни". Показываю как заказать банковскую карту, сидя "в халате и в тапочках".
Для чего я использую карты с Кэшбеком? Смотрите здесь:
https://www.youtube.com/watch?v=7Pd7we2wlx0
Как я купил квартиру в Германии сидя "в халате и в тапочках" у себя на кухне7 Смотрите здесь:
https://www.youtube.com/watch?v=7eKLetnQ068
Как сделать гражданство Эстонии, не выходя с кухни? Смотрите здесь:
https://www.youtube.com/watch?v=y4yYfwJDD3w
Медиаблог Азовской Столицы
http://azov-capital.info/mediablog/
Аудиотерминал Азовской Столицы
https://podster.fm/user/azov-capital/...
каналы RED-LINE TV
http://azov-capital.info/mediablog/
http://www.dailymotion.com/Red-LineTV...
https://viuly.io/channel/57561
Следи за нашим чатом в Телеграм:
https://t.me/azovcapitalmedia
Подписывайся на наш информационный канал в Телеграм:
https://t.me/azovcapitalmediachannel
Подглядывай за мной в Инстаграмме https://www.instagram.com/azov.capital/
Подглядывай за мной в Фейсбуке https://www.facebook.com/groups/Azov.Capital/
Подглядывай за мной в ВКонтакте https://vk.com/azovcapital
Подглядывай за мной в Твиттере https://twitter.com/AzovCapital
Подглядывай за мной в Пинтерест: https://ru.pinterest.com/azovcapital/internet-investing/
Подглядывай за мной в Гугл Плюс: https://plus.google.com/u/0/collection/wEFRLF
Теги: финансы, инвестирование, интернет-инвестирование, Азовская Столица, РедЛайн ТВ, RedLineTV, AzovCapital, Monobank, Монобанк, Украина, банк, без, отделений, заказ, карта, кэшбек, кешбек, оформить, заказать, на, дом, доставка</t>
  </si>
  <si>
    <t>RedLine TV</t>
  </si>
  <si>
    <t>19:23</t>
  </si>
  <si>
    <t>Я не можу, у мене лапки
#monobank #монобанк</t>
  </si>
  <si>
    <t>19:16</t>
  </si>
  <si>
    <t>f6mq8.app.goo.gl
https://monobank.com.ua/r/DaHx</t>
  </si>
  <si>
    <t>Rustam Nurmatov</t>
  </si>
  <si>
    <t>https://forum.finance.ua/viewtopic.php?p=4338471#p4338471    mihasik написав:
По 1%, это шО много
-25% от ставки - да копейки! 
Вы и мобильный, наверное, пополняете на 5 грн с комиссией "всего" 2 грн.</t>
  </si>
  <si>
    <t>Gas</t>
  </si>
  <si>
    <t>19:03</t>
  </si>
  <si>
    <t>Що таке Monobank? І чому я його рекомендую?
1. Поповнення картки без комісій.
2. Поповнення телефону без комісії.
3. Перекази на будь-яку картку України без комісії.
4. Кешбек на картку від витрат.
5. Оплата комунальних платежів без комісії.
Запитаєте "Як?" - Все просто Monobank це банк без відділеннь, але з неймовірно швидкою службою підтримки.
Якщо говорити з юридичної точки зору, Monobank не є окремою банківською установою. Це — банківський продукт Monobank, розроблений для українського Universal Bank з орієнтацією на активних користувачів смартфонів.
Хочеш отримати 50 гривень на кешбек рахунок одразу - встановлюй додаток за посиланням: https://monobank.com.ua/r/vcLt
monobank – банк без відділень
Ми не несемо витрати на відділення, і тому можемо дати вам найвигідніші умови!
https://monobank.com.ua/r/vcLt</t>
  </si>
  <si>
    <t>Михаил Журавлев</t>
  </si>
  <si>
    <t>19:02</t>
  </si>
  <si>
    <t>Мне понравилось видео "MONOBANK | Плюсы и минусы | Личный опыт использования"</t>
  </si>
  <si>
    <t>Vitaliy</t>
  </si>
  <si>
    <t>19:00</t>
  </si>
  <si>
    <t>СНЯТЬ/СДАТЬ КВАРТИРУ|АРЕНДА КИЕВ</t>
  </si>
  <si>
    <t>Объявления|Коростень</t>
  </si>
  <si>
    <t>Работа в Харькове|Вакансии</t>
  </si>
  <si>
    <t>E-Awards 2018: українці обирають найкращих в сфері e-commerce. Проголосувати може кожен</t>
  </si>
  <si>
    <t>Розпочато другий етап Всеукраїнського конкурсу Інтернет-проектів Ukrainian E-Commerce Awards 2018 , у якому споживачі оберуть найкращих гравців ринку e-commerce. 
 Цього року заявки на участь у конкурсі подали більш ніж 300 Інтернет-проектів, які працюють в Україні. В 2017 році бажаючих поборотися за нагороди було близько 200. Це свідчить про те, що галузь електронної комерції в Україні на стадії активного зростання: учасників стає більше, e-commerce стає більш професійним і активним. 
 За правилами конкурсу, 30 членів експертного журі – авторитетні діячі українського e-commerce бізнесу, інвестиційних та сервісних компаній – сформували short-листи номінантів для голосування споживачів. 
 Вибір Споживачів 
 Згідно з рішенням журі, в блоці  «Вибір Споживачів»  представлені у наступних номінаціях:  Найкращий Маркетплейс / Прайс-агрегатор /
 Електронна дошка оголошень / Аукціон  rozetka.com.ua
 kabanchik.ua
 hotline.ua
 olx.ua  Найкращий Інтернет-супермаркет  modnakasta.ua
 leboutique.com
 comfy.ua  В номінації  «Найкращий Інтернет-магазин»  представлені:  Побутова техніка, комп'ютерна техніка та електроніка  filter.ua
 secur.ua
 gstore.ua  Одяг, взуття та аксесуари  intertop.ua
 helen-marlen.com
 answear.ua  Косметика, парфумерія, товари для здоров'я  eva.ua
 jerelia.com
 medmag.ua  Товари для дітей (одяг, взуття, іграшки і т.д.)  pampik.com
 bi.ua
 garnamama.com.ua  Прикраси та подарунки (ювелірні вироби, годинники, біжутерія, запальнички і т.п.)  gold.ua
 zlato.ua
 e-pandora.com.ua  Книги (в друкованому вигляді), мультимедійний контент  yakaboo.ua
 kniga.biz.ua
 book24.ua  Будівельні матеріали, меблі, товари для будинку і саду  mebelok.com
 matla-flowers.com.ua
 promenu.ua  Автотовари  avtozvuk.ua
 asiaparts.com.ua
 avto-sila.com.ua  Товари для спорту і туризму (тренажери, велосипеди, ролики, ковзани, намети і т.п.)  veliki.com.ua
 sportmarket.ua
 terraincognita.com.ua  Квитки (транспорт, подорожі, розважальні та інші заходи), купони на отримання послуг  karabas.com
 bodo.ua
 multiplex.ua  Страхові продукти  giraf.ua
 luckywood.ua
 uniqua.com  Інші категорії товарів  tk.ua
 ua.mofy.life
 vchehle.ua
 mywatershop.com  В номінації  «Найкращий мобільний додаток»  представлені:  Найкращий мобільний додаток торгового e-commerce проекту  rozetka.com.ua
 olx.ua
 modnakasta.ua  Найкращий мобільний додаток сервісного В2С проекту  monobank.com.ua
 privat24.ua
 novaposhta.ua  Найкращий форвардер (купівля/доставка із зарубіжних інтернет-магазинів)  npshopping.com
 mymeest.com
 unitrade-express.com  Традиційно проголосувати за свій улюблений Інтернет-магазин, сервіс чи додаток може кожен, хто хоч раз користувався послугами номінантів. Для цього достатньо заповнити коротку анкету http://rating.e-awards.com.ua/ 
 Відкрите голосування споживачів триватиме з 02.04 по 16.04. 
 Паралельно з голосуванням споживачів, команда журі та інтернет-проекти, що подали заявки на участь у конкурсі, визначать  «Найкращий В2В продукт для Е-commerce»  . Цей блок представлений трьома номінаціями –  «Найкращий логістичний продукт для Е-commerce», «Найкращий фінансовий продукт для Е-commerce», «Корисні рішення (все, що не належать до логістики і фінансів)». 
 Також учасники конкурсу та експертне журі визначать одного гравця ринку e-commerce, який зробив суттєвий прорив в 2017 році, завдяки реалізації нової ідеї, сервісу тощо, за що і отримає перемогу в номінації  «Прорив року»  ,  та спільними зусиллями оберуть переможця в номінації  «Людину року в Е-commerce»  . 
 «Конкурс E-Awards 2018 є відображенням розвитку українського ринку електронної торгівлі, який щороку набирає більшої ваги. З’являються нові напрямки, нові послуги та продукти. І наш конкурс дозволяє споживачам їх об’єктивно оцінити,  – підкреслює  CEO Ukrainian E-commerceExpert Артем Рудько  . –  У 2017 році в  голосуванні взяли участь більше 20 000 споживачів, а номінанти конкурсу активно боролися за нагороди. Сподіваємося, що в цьому році споживачі будуть не менш активно голосувати за своїх улюбленців»  . 
 Урочиста церемонія нагородження переможців Ukrainian E-Commerce Awards 2018 відбудеться 20 квітня в Концерт-холі FREEDOM. 
 Детальніше про правила конкурсу, номінації та голосування читайте на сайті премії https://www.e-awards.com.ua/ 
 Генеральний партнер E-Awards 2018  : Нова Пошта
 Міжнародний логістичний партнер  : MeestGroup
 Партнери:  Deloitte, UAPAY, Document.Online, 25h8.com, OMNIC, Weblium, FRESHPR
 Страховий партнер:  UNIQA
 Авто партнер:  Renault
 Генеральний телепартнер:  5 канал
 Генеральний радіо-партнер  : Радіо «Голос Столиці»
 Генеральний новинний партнер:  ІА «Інтерфакс-Україна»
 FinTech  -медіа партнер  : PaySpaceMagazine
 Інформаційні та медіа партнери  : Logist.FM, UkrainianRetailAssociation, Price.UA, Liga.net, Деловаястолица, LB.ua, Мінфін, Finance.ua, Міжнародний інститут бізнесу, ХОРОШОП, 8P, СУП 
 Довідка 
 Ukrainian E-Commerce Awards  – це незалежна професійна премія, що присуджується найкращим гравцям ринку e-commerce. Головна мета нагороди – створити силами галузевого співтовариства відзнаку, що гарантує кінцевому покупцеві надійність послуги і безпеку покупки. А також виділити неординарні досягнення гравців e-commerce в Україні за останній рік.</t>
  </si>
  <si>
    <t>logist.fm</t>
  </si>
  <si>
    <t>18:59</t>
  </si>
  <si>
    <t>Що таке Monobank? І чому я його рекомендую?
1. Поповнення картки без комісій.
2. Поповнення телефону без комісії.
3. Перекази на будь-яку картку України без комісії.
4. Кешбек на картку від витрат.
5. Оплата комунальних платежів без комісії.
Запитаєте "Як?" - Все просто Monobank це банк без відділеннь, але з неймовірно швидкою службою підтримки.
Якщо говорити з юридичної точки зору, Monobank не є окремою банківською установою. Це — банківський продукт Monobank, розроблений для українського Universal Bank з орієнтацією на активних користувачів смартфонів.
Хочеш отримати 50 гривень на кешбек рахунок одразу - встановлюй додаток за посиланням: https://monobank.com.ua/r/vcLt
https://monobank.com.ua/r/vcLt</t>
  </si>
  <si>
    <t>Артем Петров</t>
  </si>
  <si>
    <t>#ShelterLora Очень просим РЕПОСТ и помочь! Дорогие друзья, неравнодушные люди! Наши подопечные снова нуждаются в вашей</t>
  </si>
  <si>
    <t>+500 через monobank ♥️</t>
  </si>
  <si>
    <t>Daria Korolkova</t>
  </si>
  <si>
    <t>Kseniia Yudkova</t>
  </si>
  <si>
    <t>приглашает вас в monobank! Оформите карту, перейдя по персональной ссылке, и вы оба получите по 50 грн на счет кешбэка!
https://monobank.com.ua/r/SCQU
monobank – банк без відділень</t>
  </si>
  <si>
    <t>Дмитрий Ковальчук</t>
  </si>
  <si>
    <t>18:43</t>
  </si>
  <si>
    <t>И ничего страшного не вводят.</t>
  </si>
  <si>
    <t>frey69</t>
  </si>
  <si>
    <t>18:41</t>
  </si>
  <si>
    <t>Уже 165 000 активных карт monobank! 
Кто ещё не получил карту, можете сделать это по моей ссылке. Получим по 50 грн 
http://monobank.com.ua/r/KHDZ</t>
  </si>
  <si>
    <t>Anatoliy</t>
  </si>
  <si>
    <t>Покращення:
Поповнення мобільного*
*тариф вводиться з 19.04.2018
Безкоштовно до 20 платежів на місяць сумарно на
суму не більше 10 000 грн,
Більше - 3 грн за платіж
https://docs.google.co…monobank.com.ua/taryfy https://docs.google.com/gview?embedded=true&amp;url=https://monobank.com.ua/taryfy</t>
  </si>
  <si>
    <t>Оперативно)))</t>
  </si>
  <si>
    <t>Ми дуже раді, що Ви оцінили роботу нашого співробітника настільки високо. Будемо дуже старатися і далі надавати Вам і всім клієнтам нашого банку такий рівень сервісу, який заслуговує тільки таких відгуків.</t>
  </si>
  <si>
    <t>Владислав Иванов</t>
  </si>
  <si>
    <t>Join my community on Lemoney and get the best cashback rates in the US! Earn $ on things you'd buy anyway at Groupon, Kohls, Macy's, and more! Link in bio :)</t>
  </si>
  <si>
    <t>Lemoney</t>
  </si>
  <si>
    <t>Що таке Monobank? І чому я його рекомендую?
1. Поповнення картки без комісій. 
2. Поповнення телефону без комісії.
3. Перекази на будь-яку картку України без комісії.
4. Кешбек на картку від витрат.
5. Оплата комунальних платежів без комісії.
Запитаєте "Як?" - Все просто Monobank це банк без відділеннь, але з неймовірно швидкою службою підтримки.
Якщо говорити з юридичної точки зору, Monobank не є окремою банківською установою. Це — банківський продукт Monobank, розроблений для українського Universal Bank з орієнтацією на активних користувачів смартфонів.
Хочеш отримати 50 гривень на кешбек рахунок одразу - встановлюй додаток за посиланням: https://monobank.com.ua/r/vcLt #монобанк #monobank #cashback #кешбек #доход #банк #bank #ua #ukraine #kiev #kyiv</t>
  </si>
  <si>
    <t>18:22</t>
  </si>
  <si>
    <t>18:19</t>
  </si>
  <si>
    <t>Сегодня довелось пообщаться с поддержкой #industrialbank - зарплатный проект у нас там. Казалось бы тривиальная задача:</t>
  </si>
  <si>
    <t>Сегодня довелось пообщаться с поддержкой #industrialbank - зарплатный проект у нас там. Казалось бы тривиальная задача: узнать баланс на своей карте и перечислить средства с неё на карту #monobank - но заняло у меня это 5 часов!!! Каменный век какой-то. Звонишь на линию горячей поддержки, просят перезвонить ввиду занятости специалиста или мне перезвонят. Ждал звонка часа 3 - не дождавшись, набрал сам. Дозвонился, надиктовал номер карты (голосом!), ФИО, дату рождения, где прописан, номер телефона, ИНН (всё голосом в открытом виде!!!), т.е. для рядом находящихся людей узнать всё обо мне - вообще не проблема. Дальше больше.
Всех этих данных - мне хватило только для того что бы мне назвали баланс карты. Но проблема осталась - перевести деньги не могу. Почему? - Нужно снять суточное ограничение. Для этого идите в банк и пишите заявление!!! Спрашиваю, а как-то без похода? - Установите приложение #Industrial24 Кладу трубку, ставлю приложение, регистрируюсь - регистрация проходит, но ничего не отображается в карточных счетах - приложение виснет. Удаляю. Звоню опять и вновь всё по кругу, опять проговариваю в голос все свои данные, сообщаю о том что мол не работает ваше приложение - в ответ: "у вас не указан финансовый номер. Звоните в ваше отделение и попросите, что бы они его добавили". Звоню в отделение, опять по кругу: излагаю проблему, надиктовываю данные и те вписывают мой финансовый номер. После этого в приложении появилась карта, в котором с 4-й попытки и опять после звонка на горячую линию - мне удалось снять СУТОЧНЫЙ лимит и перевести деньги на карту #monobank
После такого контраста, работа с приложениями над которыми работала команда Дмитрий Дубилет и Олег Гороховский - кажется сказкой. Самое интересное что перевод денег с карты на карту другого банка в Індустріалбанк приравнивается к интернет платежам. Почему бы данную функцию не перевезти в ранг доверенных платежей и убрать суточное ограничение? Ведь вы же из банка в банк деньги переводите, а не на Ebay!
ІНДУСТРІАЛБАНК
Мобильная версия интернет-банкинга Индустриал24 с новыми возможностями
http://industrialbank.ua/</t>
  </si>
  <si>
    <t>18:18</t>
  </si>
  <si>
    <t>Юрій приглашает вас в monobank! Оформите карту, перейдя по персональной ссылке, и вы оба получите по 50 грн на счет кешбэка!
https://monobank.com.ua/r/4pAB
monobank – банк без відділень</t>
  </si>
  <si>
    <t>Юрий Гелдаш</t>
  </si>
  <si>
    <t>18:11</t>
  </si>
  <si>
    <t>Реально ЖИВІ люди !!!! )))))))))</t>
  </si>
  <si>
    <t>18:10</t>
  </si>
  <si>
    <t>А от і сам діалог:</t>
  </si>
  <si>
    <t>18:09</t>
  </si>
  <si>
    <t>Потеряла на днях свою карточку Monobank. Сегодня получила новую.
Плюс: процесс восстановления занял 2 минуты.
Минус: качество пластика карточки отвратительное, предыдущая была плотная и приятно матовая, а новая мягкая и какая-то скользкая. Эх.</t>
  </si>
  <si>
    <t>Машóс</t>
  </si>
  <si>
    <t>18:07</t>
  </si>
  <si>
    <t>Три тижні тому я став щасливим обладатєлєм карти від #Monobank. (деталі нижче).
Про то, шо оплата мобільного звязку, перекидкагрошей на карти і інші пряники даються без комісій - то вже знають всі. Як і про то,... https://www.facebook.com/victor.kolomiets/posts/1854701537902960</t>
  </si>
  <si>
    <t>Три тижні тому я став щасливим обладатєлєм карти від #Monobank. (деталі нижче).
Про то, шо оплата мобільного звязку, перекидкагрошей на карти і інші пряники даються без комісій - то вже знають всі. Як і про то, шо за запрошення нараховують по 50 грн кожному.
А от чи всі знають, що у монобанку в техпідтримці не чатботи, а живі люди?
Я сьогодні випробував на собі їх підніматєль настроєнія.
Сьогодні вони знову заставили мене написати про них.
В коментах прикріплю скріни діалога з оператором.
Я в шоці.
Дмитрий Дубилет - а можна якось преміювати Лозову Дар'ю Миколаївну? Вона реально зробила мій день! Хоча б в очі ясні її глянути ))
Панове, хочете на собі перевірити що таке #банк_майбутнього? Банківське щастя живе тут: https://monobank.com.ua/r/MM1Q.
Може вам теж поталанить і ви зустрінете #супердаша!
Та ще й в придачу 50 грн отримаєте за клямц по посиланню! https://monobank.com.ua/r/MM1Q.
Сьогодні накінець-то сподобився забрати картку Monobank.
Ну шо сказати - перше враження - супер. Тому й вирішив написати, з чуйства большої вдячності тим, хто все настільки круто продумав.
Процедура видачі заняла 4 хвилини 38 секунд (да, спеціально зафіксував час - просто цікаво було) від "Доброго дня!" до "Гарного дня!". Все було пояснено в шість секунд, тому що і юзабіліті мобільного додатку монобанку і інструкції на сайті і кваліфікація менеджера в точці видачі - все на 100500 балів. Навіть дизайн самої карти з футляром - вже говорить сам за себе (додаю фото).
Для мене особисто вирішальним фактором стало те, що цей банк створювався командою під керівництвом Дмитрий Дубилет. Потім почитав відгуки, запитав у вже існуючих клієнтів - все це разом підтвердило моє рішення.
Серед переваг - максимально спрощені процедури перерахувань, оплат різних регулярних платежів, поповнень телефонів та інше. Для того, щоб відправити гроші друзям - не потрібно шукати їх номер карти - всіх,  хто має картку монобанку, Ви побачите в контактах, в окремому меню (фото в коментарях). Мало того, комісія за зняття з банкомату - не 0,75%, як у Приватбанку, а 0,5%. Комісії за пересилання між картами теж відсутні.
При активації карти ви зразу побачите доступний вам кредитний ліміт. Він обраховується автоматично на основі аналізу всіх доступних по вас даних. Ви можете подавати заявку на збільшення або зменшення кредитного ліміту не частіше 2-х разів на місяць.
Н̲е̲м̲а̲л̲о̲в̲а̲ж̲н̲и̲м̲ ̲є̲ і те, що Ви отримуєте "кешбек" (п̲о̲в̲е̲р̲н̲е̲н̲н̲я̲ ̲г̲р̲о̲ш̲е̲й̲) в вибраних категоріях (одночасно можна вибрати лише дві категорії з доступного списку). Тобто, розраховуючись в магазині за продукти, вам на карту повертається до 20% від оплаченої суми. Погодьтесь - ну хіба не красиво? Налаштувати це та вибрати доступні категорії потрібно окремо, в самому додатку. Зі слів менеджера, категорії змінюються, додаються нові, тому варто періодично передивлятись їх наявність в тому ж таки додатку.
Якщо ж на карті лежить більше 100 гривень - вам нараховується депозитна виплата в розмірі 10% річних (цю опцію треба окремо активувати в додатку), яка виплачується щомісяця. Чим більшу суму там зберігаєте - тим більший дивіденд отримуєте.
Крім того, цікавим бонусом (це я вже взнав  від менеджера, лише під час активації карти) стало і те, що при поширенні посилання на банк, нараховується 50 гривень. І тому хто поширив і тому, хто клікнув на те посилання та подав заявку на отримання карти. Дрібничка, а приємно. Я подавав заявку на карту напряму через сайт, тому не отримав свій полтіннік ))
Кому цікаво отримати цей бонус - пишіть в приват, так як посилання відправляється через мессенджери.
Нижче в коментарях трішки пізніше розміщу декілька пояснень по самому додатку.
І да прибуде з вами комфорт та щасттє!</t>
  </si>
  <si>
    <t>17:30</t>
  </si>
  <si>
    <t>Татьяна Кириченко Карту моно можно оформить с 16 лет</t>
  </si>
  <si>
    <t>17:27</t>
  </si>
  <si>
    <t>Ну вот и разобрались)</t>
  </si>
  <si>
    <t>17:25</t>
  </si>
  <si>
    <t>Вот пост в тему - https://www.facebook.com/photo.php?fbid=1744733355583823&amp;set=a.142676065789568.28253.100001415260849&amp;type=3</t>
  </si>
  <si>
    <t>Kostyantyn Filonenko Соглашусь, можт кто-то и принимает, но иметь дебитную карту да еще и без альтернативы, имхо, в путешествии рискованно.</t>
  </si>
  <si>
    <t>Валерій Гуцалюк</t>
  </si>
  <si>
    <t>17:21</t>
  </si>
  <si>
    <t>Ну и это, вот, например, с сайта Avis:
Payment options
What payment cards do you accept?
We accept:
• American Express (excluding American Express Traveller’s Cheque cards)
• Diners cards
• Discover cards
• Visa credit cards
• Visa debit cards
• MasterCard credit cards
• MasterCard debit cards
• Avis-issued charge cards
We don’t accept Visa Electron cards, Maestro cards, Cirrus cards, JCB cards, any pre-paid cards – even if they carry the Visa or MasterCard logo – or any other cards not listed above.
Can I pay by cash?
In some locations we do accept cash – but we will need to carry out additional identity, security, driving licence and credit checks and will need to see proof of address. Cash payment is only acceptable on return of the vehicle.
What happens if I am late in making payment?
If you are late in paying us, interest will be calculated at 4% per year above the base lending rate of National Westminster Bank PLC from time to time.</t>
  </si>
  <si>
    <t>Kostyantyn Filonenko</t>
  </si>
  <si>
    <t>17:19</t>
  </si>
  <si>
    <t>Oleksandr Cheban Это везение называлось - AUTH транзакция по карте. С последующим снятием по возвращению машины.</t>
  </si>
  <si>
    <t>В любом случае можно иметь две карты, для разных случаев, она ж кушать не просит.</t>
  </si>
  <si>
    <t>17:17</t>
  </si>
  <si>
    <t>Kostyantyn Filonenko вам повезло, так как нужна кредитная карта для оплаты аренды авто.</t>
  </si>
  <si>
    <t>17:16</t>
  </si>
  <si>
    <t>Oleksandr Cheban брал я как-то машину напрокат (пару раз) с помощью дебетной карты. Один раз - какой-то ноунейм в Турции, один раз - AVIS в Италии. Что я делал не так?</t>
  </si>
  <si>
    <t>17:14</t>
  </si>
  <si>
    <t>Сергій Нагорний вопрос не в кредитном лимите, а в том, как она в платежных системах зарегистрирована. Недавно встретил пост, что машину в прокат с ней не возьмешь, в отеле депозит не оставишь. Оне дебетная с точки зрения платежных систем.</t>
  </si>
  <si>
    <t>17:13</t>
  </si>
  <si>
    <t>А почему ты говоришь, что она не кредитная? Мне вроде как сразу предложили 40 тыщ гривень кредитный лимит.</t>
  </si>
  <si>
    <t>ПриватБанк WTF Мені у відділені на Шота Руставелі не можуть видати довідку, яка коштує 100 грн, бо немає начальниці</t>
  </si>
  <si>
    <t>монобанк ;)</t>
  </si>
  <si>
    <t>Mihail Melnichenko</t>
  </si>
  <si>
    <t>Iryna Zemlyana</t>
  </si>
  <si>
    <t>Екатерина Рыбкина</t>
  </si>
  <si>
    <t>Ну, если бы банк забашлял мне бабла, чтоб я это написал, то да, это была бы реклама. Если бы я сделал эту карту для того, чтоб написать этот пост и вставить эту ссылку, то это тоже была бы реклама. Но карту я сделал сам, для того чтоб ею пользоваться, и все эти плюшки реальны, и каждый их может получить. А если за эту инфу о плюшках мне капнет якась копийчына, то будет приятно)</t>
  </si>
  <si>
    <t>17:06</t>
  </si>
  <si>
    <t>Меня кредиты вообще не интересуют, всегда ставлю кредитный лимит - 0.</t>
  </si>
  <si>
    <t>Это просто расширенная информация так просто?
И ссылка, которая к тебе лично ничего не имеет?
Ну ладно, сорри еще раз)</t>
  </si>
  <si>
    <t>Dmitriy Titorenko</t>
  </si>
  <si>
    <t>17:04</t>
  </si>
  <si>
    <t>По своей сути это дебитная, а не кредитная карта. Так что для путешествий не подойдет.</t>
  </si>
  <si>
    <t>Дарья Красиля</t>
  </si>
  <si>
    <t>Тем более шо это не реклама)</t>
  </si>
  <si>
    <t>Я думал, что в рекламе нельзя шутить, сорри, недопонял.</t>
  </si>
  <si>
    <t>17:01</t>
  </si>
  <si>
    <t>Дмитрий, хто у вас отключил чувство гумору?)</t>
  </si>
  <si>
    <t>там ест ьпункт о предаче персональніх данніх третmbv jcj,fv/</t>
  </si>
  <si>
    <t>Dmytro  Mariyevsky</t>
  </si>
  <si>
    <t>@Happy_Revo @shekelbaum Какое ещё отделение? Монобанка? Лол. Тебе курьер в рученьки принесет.</t>
  </si>
  <si>
    <t>дурочка</t>
  </si>
  <si>
    <t>*Для чего я оформил себе карту монобанка? Во-первых это красиво!*
--- открыть карточку ВО-ПЕРВЫХ из-за ее красоты? серьезно?
Зеркало перестало качественно отражать, что пришлось даже красивую карточку оформить?</t>
  </si>
  <si>
    <t>16:58</t>
  </si>
  <si>
    <t>так трохи інші)) вдома наклейки зара не покажу</t>
  </si>
  <si>
    <t>Iryna Onyshchenko</t>
  </si>
  <si>
    <t>16:57</t>
  </si>
  <si>
    <t>А раніше інші були?</t>
  </si>
  <si>
    <t>Не вопрос</t>
  </si>
  <si>
    <t>16:54</t>
  </si>
  <si>
    <t>Сергей Нагорный хочу своим френдам предлодить</t>
  </si>
  <si>
    <t>Dolgopolova Lusya</t>
  </si>
  <si>
    <t>Dolgopolova Lusya Можно, но зачем?)</t>
  </si>
  <si>
    <t>16:52</t>
  </si>
  <si>
    <t>О! Нові наклейки :)</t>
  </si>
  <si>
    <t>16:50</t>
  </si>
  <si>
    <t>А можно у тебя скопировать текст?</t>
  </si>
  <si>
    <t>/forum/index.php?act=findpost&amp;pid=72007648  Mezer, а можно подробнее?
Вы переводили с моно на карту ОТП, и за неё зачислилось на 1% меньше, чем ушло с моно?
Или пополняли моно с ОтП?</t>
  </si>
  <si>
    <t>kadabusha</t>
  </si>
  <si>
    <t>16:43</t>
  </si>
  <si>
    <t>Мне никто оттуда ничего не пересылает, и не нужно)</t>
  </si>
  <si>
    <t>Tetiana Kyrychenko Я ничего про джуниоров не знал, так как не актуально)</t>
  </si>
  <si>
    <t>Сергій Нагорний ну, я в принципе для твоих читателей) Не один миллион украинцев по-прежнему работают там, а деньги пересылают домой, и нет тут ничего страшного</t>
  </si>
  <si>
    <t>Andrew Bondik</t>
  </si>
  <si>
    <t>а то приват немного надоел, да</t>
  </si>
  <si>
    <t>Tetiana Kyrychenko</t>
  </si>
  <si>
    <t>Сергей Нагорный пока тестирую.</t>
  </si>
  <si>
    <t>Aleksandr  Timonovich</t>
  </si>
  <si>
    <t>16:41</t>
  </si>
  <si>
    <t>Регистрируюсь))</t>
  </si>
  <si>
    <t>ну, как бы нужен аналог джуниорбанка от привата</t>
  </si>
  <si>
    <t>Что нравится, что не нравится?</t>
  </si>
  <si>
    <t>и у меня есть</t>
  </si>
  <si>
    <t>Это меня меньше всего интересует.</t>
  </si>
  <si>
    <t>Ваш первый степ к я —команда monobank Старт новой группы в monobank на позицию:Эксперт КЦ (клиенткая поддержка) г. Днепр</t>
  </si>
  <si>
    <t>Ваш первый степ к я —команда monobank
Старт новой группы в monobank на позицию:Эксперт КЦ (клиенткая поддержка) г. Днепр
До 16.04.18 ведется набор
Обязанности: консультация Клиентов в разных каналах (мессенджеры, телефон)
Графики:
11:00- 23:00 - 2/2
10:00- 22:00 - 2/2
13:00- 01:00 - 2/2 из дома некоторые смены
13:00 - 22:00 - 5/2
14:00- 23:00 - 5/2
Целевой доход: 11 000 грн. (лучшие получают 13 000 грн.)
Локация:  Сичеславская Набережная (Днепр)
Команда **monobank** приглашает в канал Telegram  NEWS_HR_CC https://t.me/ftbcc
Ждём ваши резюме:
isy.yakusheva@gmail.com
+38099212 68 89 Ирина Якушева</t>
  </si>
  <si>
    <t>Вакансии от друзей</t>
  </si>
  <si>
    <t>Можно из России переводить деньги, без процентов и по хорошему курсу</t>
  </si>
  <si>
    <t>16:40</t>
  </si>
  <si>
    <t>Tetiana Kyrychenko Можете оформить на себя и отдать ребенку)</t>
  </si>
  <si>
    <t>эх!</t>
  </si>
  <si>
    <t>Только совершеннолетних.</t>
  </si>
  <si>
    <t>@daryaway Бери кредит в монобанке(((</t>
  </si>
  <si>
    <t>Mrklv</t>
  </si>
  <si>
    <t>А есть варианты карт для детей?</t>
  </si>
  <si>
    <t>16:33</t>
  </si>
  <si>
    <t>Ага. Правда денег через отделение не положишь если не будет справки откуда они у тебя. Но открыть счет и карту можно</t>
  </si>
  <si>
    <t>Роман Юхновец</t>
  </si>
  <si>
    <t>16:32</t>
  </si>
  <si>
    <t>Роман Юхновец А в других банках можно?</t>
  </si>
  <si>
    <t>Ну думал по виду на жительство можно, а нифига</t>
  </si>
  <si>
    <t>Даже паспорт Украины с донецкой пропиской не работает((</t>
  </si>
  <si>
    <t>Юлия Тертица</t>
  </si>
  <si>
    <t>16:30</t>
  </si>
  <si>
    <t>Ну да, а как без паспорта)</t>
  </si>
  <si>
    <t>16:29</t>
  </si>
  <si>
    <t>Не смог оформить месяца два назад( Говорят, нужен паспорт гражданина Украины обязательно</t>
  </si>
  <si>
    <t>Друзья, вы наверное уже много раз слышали про Monobank? Я тоже слышал, но все время пропускал мимо ушей. А зря, потому что банк годный! Я вообще люблю все новое, а это, как никак, первый в Украине цифровой банк.... https://www.facebook.com/sergey.nagorny/posts/10216460219362335</t>
  </si>
  <si>
    <t>Сергей Нагорный</t>
  </si>
  <si>
    <t>16:23</t>
  </si>
  <si>
    <t>Друзья, вы наверное уже много раз слышали про Monobank? Я тоже слышал, но все время пропускал мимо ушей. А зря, потому что банк годный! Я вообще люблю все новое, а это, как никак, первый в Украине цифровой банк. Очень смелое решение, учитывая то, что у нас люди в принципе предпочитают держать деньги в кэше, а тут банк, у которого даже отделений нет. Но, мы то с вами прогрессивные, или где?
А благодаря тому, что весь банк сосредоточен в приложении на телефоне, это самое приложение сделано очень круто и удобно, а также банк может предложить куда более выгодные тарифы чем конкуренты.
Для чего я оформил себе карту монобанка? Во-первых это красиво! Карточка действительно выглядит очень солидно и стильно) А чего только стоят наклеечки в подарок? Да только ради низ стоит взять карту!
Во-вторых надоело платить комиссию Приватбанка за многие операции: пополнил телефон, коммуналку оплатил, и везде вынь да полож еще парочку гривен сверху. Мелочь, а неприятно...
Хочешь снять деньги из банкомата, теряешь процент. А монобанк берет всего полпроцента.
К тому же монобанк набрасывает 10% годовых от ваших денег каждый месяц живыми деньгами. У Привата тоже такое есть, но только 7% и в виде бонусов.
Ну, и конечно же кэшбек! Если постараетесь, то можете просто на ровном месте получить до 500 грн обратно в месяц.
Там еще есть какие-то плюшки для любителей кредитов и рассрочек, но эта тема мне не интересна.
Я не говорю о том, что нужно похоронить свой старый банк, но как вторую карточку однозначно стоит завести!
Все это я написал, для того, чтоб срубить с вас бабла! Если перейдете по этой ссылке и установите приложение Монобанка, а затем получите карту, то и вы и я получите по 50 грн. Повторюсь, даже одни наклейки стоят того, так что не тормозите)
Если есть еще вопросы, пишите, постараюсь ответить, как владелец карты самого хипстерского банка Украины, и просто как экономный чел)
Оформіть картку, перейшовши за персональним посиланням, і ви обидва отримаєте по 50 грн на рахунок кешбека!
https://monobank.com.ua/r/DRt1</t>
  </si>
  <si>
    <t>16:19</t>
  </si>
  <si>
    <t>В чому її переваги?</t>
  </si>
  <si>
    <t>у кого есть карта монобанка отпишитесь плес питання є</t>
  </si>
  <si>
    <t>Міхей Попеску</t>
  </si>
  <si>
    <t>16:03</t>
  </si>
  <si>
    <t>Монобанк.Приват вже викинутий</t>
  </si>
  <si>
    <t>Rostyslav Konros</t>
  </si>
  <si>
    <t>15:55</t>
  </si>
  <si>
    <t>Володимир приглашает вас в monobank! Оформите карту, перейдя по персональной ссылке, и вы оба получите по 50 грн на счет кешбэка!
https://monobank.com.ua/r/D4Ed</t>
  </si>
  <si>
    <t>Владимир Тишевский</t>
  </si>
  <si>
    <t>Дорогой ПриватБанк, как мне нужно уже убиться об стену, чтобы перестать получать от вас звонки рекламного характера? Вы</t>
  </si>
  <si>
    <t>Макс Крутоверцев завела карту в Монобанке, потестим</t>
  </si>
  <si>
    <t>Karina Avetisova</t>
  </si>
  <si>
    <t>Ігор Гудзь: «Українські бренди не конкуренти GUD. Ми – одна команда, яка розвиває ринок»
Сотня рюкзаків на місяць і 99% задоволених покупців — як робити Made in Ukraine розповідає Ігор Гудзь, засновник бренду міських рюкзаків «GUD»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переказів: +380963302229
Підтримай skrypin.ua криптою: http://skrypin.ua/help/
Bitcoin. Adress: 338E4EYVNBohzLg8zimAHEpL6rsyJADwzU
Litecoin. Adress: MTix58Y6qF9u8PhPhDLBWXB9xMbvMkniMv
Dash. Adress: XbBhf7fBq8UR6uZzib6A9QM3bHuiws21a9
Ethereum. Adress: 0x885069fd66272e2d874b77fd76c44993d00677a2
Підпишись на skrypin.ua у соціальних мережах:
Facebook: https://www.facebook.com/SKRYPIN.UA/
Telegram: https://t.me/SkrypinUA
Twitter: https://twitter.com/SkrypinUa
Instagram: https://www.instagram.com/skrypinua/
Слухай подкасти в iTunes:
skrypin.ua ➡️ https://goo.gl/mvGUgk
UMN  ➡️ https://goo.gl/LUUodu
Danylo Yanevsky  ➡️ https://goo.gl/1QTWGU
Skype для дзвінків у студію: hello@skrypin.ua / Етер Ether
www.skrypin.ua</t>
  </si>
  <si>
    <t>Роман приглашает вас в monobank! Оформите карту, перейдя по персональной ссылке, и вы оба получите по 50 грн на счет кешбэка!
https://monobank.com.ua/r/ECkD</t>
  </si>
  <si>
    <t>Anatoly Lungor</t>
  </si>
  <si>
    <t>РАБОТА:ТЕМЫ</t>
  </si>
  <si>
    <t>другими словами, чем больше тратишь, тем меньше кешбек (подозревака)</t>
  </si>
  <si>
    <t>Дмитро Ященко приглашает вас в monobank! Оформите карту, перейдя по персональной ссылке, и вы оба получите по 50 грн на</t>
  </si>
  <si>
    <t>Дмитро Ященко приглашает вас в monobank! Оформите карту, перейдя по персональной ссылке, и вы оба получите по 50 грн на счет кешбэка!
https://monobank.com.ua/r/bGxQ</t>
  </si>
  <si>
    <t>Дмитрий Ященко</t>
  </si>
  <si>
    <t>да-да, мне и ответили что "Подход к выбору категорий по каждому Клиенту индивидуален и основывается на расчете скоринговой модели."</t>
  </si>
  <si>
    <t>У всех банков кешбек облагается налогами (18% НДФЛ и 1,5% - военный сбор). Просто некоторые банки в рекламе пишут процент после вычета налога, а некоторые - до вычета, вот и разница :)
А разный кешбек - это не "мутки", а "персонализированный кешбек для каждого клиента, который учитывает ̶O̶V̶E̶R̶ ̶9̶0̶0̶0̶ более 1000 факторов"</t>
  </si>
  <si>
    <t>Artiom Komolov</t>
  </si>
  <si>
    <t>приглашает вас в monobank! Оформите карту, перейдя по персональной ссылке, и вы оба получите по 50 грн на счет кешбэка!
https://monobank.com.ua/r/yp5v</t>
  </si>
  <si>
    <t>Виталий</t>
  </si>
  <si>
    <t>Чи є в нас розуміння, питання до Леоніда Кравчука...!? Чи є в нас розуміння, питання до Леоніда Кравчука...!? Финансовая</t>
  </si>
  <si>
    <t>Чи є в нас розуміння, питання до Леоніда Кравчука...!?
Чи є в нас розуміння, питання до Леоніда Кравчука...!? Финансовая помощь каналу: Подяка за стріми Monobank, Dmitriyev Dmitriy Mikhaylovich, 5375 4141 0005 ...
https://www.youtube.com/watch?v=KSxnfb_IULs&amp;feature=share</t>
  </si>
  <si>
    <t>media1.tenor.co</t>
  </si>
  <si>
    <t>Дмитрий Конференция украинского бизнеса с представителями Франции в Украине! Подяка за стріми Monobank, Dmitriyev</t>
  </si>
  <si>
    <t>Дмитрий
Конференция украинского бизнеса с представителями Франции в Украине!
Подяка за стріми Monobank, Dmitriyev Dmitriy Mikhaylovich, 5375 4141 0005 0599.
Подяка за стріми ПриватБанк, Дмитриев Дмитрий Михайлович, 5168 7456 0147 0328.</t>
  </si>
  <si>
    <t>это вообще ад. в США он всегда чистыми</t>
  </si>
  <si>
    <t>ох уж этот знаменитый налог на кешбек...</t>
  </si>
  <si>
    <t>Olga Kovalska</t>
  </si>
  <si>
    <t>облагают)</t>
  </si>
  <si>
    <t>Никита я от природы большой скептик: не верю ни в биткоин, ни в Монобанк ;))</t>
  </si>
  <si>
    <t>Oleg Safonov</t>
  </si>
  <si>
    <t>это твой кешбек еще не успели обложить налогом 19% как у меня :D лол</t>
  </si>
  <si>
    <t>О в ОТР за вывод с мони забрали 1%, неделю тому было 0%
Сообщение отредактировал Mezer //4pda.ru/forum/index.php?showuser=1535519  - Сегодня, 14:08</t>
  </si>
  <si>
    <t>Mezer</t>
  </si>
  <si>
    <t>знаешь, до этого момента все было, по большей части, оч ок.</t>
  </si>
  <si>
    <t>Конференция украинского бизнеса с представителями Франции в Украине! Подяка за стріми Monobank, Dmitriyev Dmitriy</t>
  </si>
  <si>
    <t>Ігор Романович</t>
  </si>
  <si>
    <t>https://forum.finance.ua/viewtopic.php?p=4339005#p4339005    sens написав:
р2р тут вещь !!!
Только надо помнить, что с телефона никакой лимит не спасет. Впрочем, его тут же с телефона можно и поменять в любую сторону.</t>
  </si>
  <si>
    <t>Хорошо, что не пользуюсь Монобанком</t>
  </si>
  <si>
    <t>телеграмщики! На каналі @eventLviv я вже співпрацюю з такими відомими в україні компаніями, як АльфаБанк, ПриватБанк, monobank, O'STIN, METRO UA, Sneakerhead, Фокстрот, TEZ TOUR, Готівочка, moneyveo, ROZETKA, і найближчим часом цей список буде а</t>
  </si>
  <si>
    <t>Навіщо брехати? Ти нізким не співпрацюєш просто береш партнерські посилання з адмітаду</t>
  </si>
  <si>
    <t>Andriy Orlov</t>
  </si>
  <si>
    <t>Акція по ремонту дороги Маріуполь - Запоріжжя. Дійсно їздити стало нереально. P.S. Підтримати наші репортажі та</t>
  </si>
  <si>
    <t>Акція по ремонту дороги Маріуполь - Запоріжжя. Дійсно їздити стало нереально.
P.S. Підтримати наші репортажі та розслідування  можна на картки нижче (сильна потреба є завжди, бо я не офіційне ЗМІ):
Приват: 5168 7427 0092 7662 (UAH)
Монобанк: 5375 4141 0142 4975 (UAH)
#s_s_s_c_c ///</t>
  </si>
  <si>
    <t>Денис Малихін</t>
  </si>
  <si>
    <t>Хвалил Монобанк за солидный кешбек, но, увы, у нас всему приходит быстрый конец. Как бетатестер был в особом восторге. А теперь банк принялся за мутки и в одностороннем порядке уменьшает кешбек кому и как захотят. У меня, например, 3% кешбек на супермаркеты, а у жены - 4%. И так во всех категориях. Вопрос к Дмитрий Дубилет: почему во всех нормальных банках заграницей кешбек для всех клиентов фиксированный, а вы творите что хотите. Непрозрачно и неприятно. Имхо.</t>
  </si>
  <si>
    <t>Запрошую вас у monobank! Оформіть картку, перейшовши за персональним посиланням, і ви обидва отримаєте по 50 грн на рахунок кешбека!
https://monobank.com.ua/r/Vi11</t>
  </si>
  <si>
    <t>Во Ван</t>
  </si>
  <si>
    <t>14:51</t>
  </si>
  <si>
    <t>Хочешь Ничего не делать и получать деньги ? Тогда тебе сюда :
 Оформите карту, перейдя по персональной ссылке, и вы получите 50 грн на ваш счет)
https://monobank.com.ua/r/Vhbr</t>
  </si>
  <si>
    <t>Vape Cloud Sumy, Украина, Сумы, вейп шоп</t>
  </si>
  <si>
    <t>14:43</t>
  </si>
  <si>
    <t>Слава Марков Жирно было бы еще и с кешбеком)))</t>
  </si>
  <si>
    <t>Олег Піддубний, даа монобанк уже не торт</t>
  </si>
  <si>
    <t>Слава Марков</t>
  </si>
  <si>
    <t>Мені подобається відео @YouTube Monobank - рождение нового Тинькофф банка?</t>
  </si>
  <si>
    <t>14:35</t>
  </si>
  <si>
    <t>Мені подобається відео @YouTube Дмитрий Дубилет о Монобанке и Тинькове. Анонс.</t>
  </si>
  <si>
    <t>14:29</t>
  </si>
  <si>
    <t>Вопрос - вы пишите про работу с брендами, это значит что на вашем канале выходили посты с их упоминаниям?</t>
  </si>
  <si>
    <t>✈️ Очередная новинка от Agent’s Clothes  Ан-225 «Мрія» ➖➖➖➖➖➖➖➖➖➖➖➖ 480 UAH  Доставка по Украине 25-50грн</t>
  </si>
  <si>
    <t>✈️ Очередная новинка от Agent’s Clothes   Ан-225 «Мрія»
➖➖➖➖➖➖➖➖➖➖➖➖
480 UAH
 Доставка по Украине 25-50грн
 Наложенный платёж
✅ ПриватБанк
☑️ Monobank
➖➖➖➖➖➖➖➖➖➖➖➖
 Самовывоз из магазина NAUshop, г. Киев, проспект Космонавта Комарова 1.
Главный корпус НАУ
Credit Card, cash, безналичный расчёт ➖➖➖➖➖➖➖➖➖➖➖➖
Заказ в Директ
+38 (063) 990 55 26
#NAUshop #nau #нау #avgeek #aviationlovers #antonov #an225 #plane #aircraft #aviationgeek @ NAUshop</t>
  </si>
  <si>
    <t>Arthur Novak</t>
  </si>
  <si>
    <t>14:14</t>
  </si>
  <si>
    <t>телеграмщики!
На каналі @eventLviv я вже співпрацюю з такими відомими в україні компаніями, як АльфаБанк, ПриватБанк, monobank, O'STIN, METRO UA, Sneakerhead, Фокстрот, TEZ TOUR, Готівочка, moneyveo, ROZETKA, і найближчим часом цей список буде активно поповнюватись.
 Найцікавіше те, що всі ці, та багато інших компаній зацікавлені у співпраці з вами!
 Тоді в чому ж полягає спільна проблема власників українських каналів з ними? В се просто, в тому, що більшість з вас та рекламодавці не знають як знайти одне одного і почати співпрацювати.
 Я можу запропонувати вам дуже просте вирішення цієї проблеми.
 Цікаво?
Давайте наберемо 100 підписників на каналі @tsadm, після чого тут негайно з'явиться публікація, в якій я пролию світло на цю тему.
 Хочу також добавити, що я вже на власному досвіді переконався в тому, що продавати рекламу всім відомим українським компаніям в рази прибутковіше, ніж продавати рекламу іншим каналам.
 3</t>
  </si>
  <si>
    <t>https://forum.finance.ua/viewtopic.php?p=4338926#p4338926    mephala написав:
прикольно. выходит если обрезали процент то это на долго.
чем больше читаю про карту мони тем больше убеждаюсь что карта скатывается в унылое Г.
Она рождена унылой, но есть в ней некоторые приятные бонусы  почему нет за халявную карту то?
Вот налоги с нее платить прикольно</t>
  </si>
  <si>
    <t>curiousobro</t>
  </si>
  <si>
    <t>Кешбек от #монобанк это очень выгодно, так как зарабатываешь в том числе на экономии! Получить карту просто:  1.Переход</t>
  </si>
  <si>
    <t>Elena</t>
  </si>
  <si>
    <t>DostigaTOR</t>
  </si>
  <si>
    <t>Друзья крутой банк) присоединяйтесь: приглашает вас в monobank! Оформите карту, перейдя по персональной ссылке, и вы</t>
  </si>
  <si>
    <t>Поддерживаю. в плане обслуживание/контактности клиент-банк лучшее из того с чем приходилось сталкивать. ну и + мобильность и минимум времени на различные операции</t>
  </si>
  <si>
    <t>Dmitry  Pirogovsky</t>
  </si>
  <si>
    <t>Evgeniy Vasyliev</t>
  </si>
  <si>
    <t>14:04</t>
  </si>
  <si>
    <t>https://forum.finance.ua/viewtopic.php?p=4338940#p4338940    wig написав:
 https://forum.finance.ua/viewtopic.php?p=4338926#p4338926    mephala написав:прикольно. выходит если обрезали процент то это на долго.
чем больше читаю про карту мони тем больше убеждаюсь что карта скатывается в унылое Г.
Технологически она изначально такая, но ради повышенных кэшбеков и выгодных курсов - можно терпеть. р2р тут вещь !!!</t>
  </si>
  <si>
    <t>14:03</t>
  </si>
  <si>
    <t>Монобанк - это проект Универсалбанка, первый мобильный банк в Украине! Банк без отделений. 1) Весь банк в вашем “карман</t>
  </si>
  <si>
    <t>А наклейки то крутые</t>
  </si>
  <si>
    <t>Hi it's me!</t>
  </si>
  <si>
    <t>Вячеслав и Ольга Колесник</t>
  </si>
  <si>
    <t>14:02</t>
  </si>
  <si>
    <t>Козацька революція 16-17 ст.  | ІСТОРІЯ З М'ЯСОМ #38
Передумови “Козацької революції” 1648 р. Пошуки свого місця у Речі Посполитій та вихід за рамки польського державного утворення. Виникнення держави “Військо Запорізькое”. Військова та дипломатична діяльність козацтва. 
Гість – Віктор Горобець, доктор історичних наук.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переказів: +380963302229
Підтримай skrypin.ua криптою: http://skrypin.ua/help/
Bitcoin. Adress: 338E4EYVNBohzLg8zimAHEpL6rsyJADwzU
Litecoin. Adress: MTix58Y6qF9u8PhPhDLBWXB9xMbvMkniMv
Dash. Adress: XbBhf7fBq8UR6uZzib6A9QM3bHuiws21a9
Ethereum. Adress: 0x885069fd66272e2d874b77fd76c44993d00677a2
Підпишись на skrypin.ua у соціальних мережах:
Facebook: https://www.facebook.com/SKRYPIN.UA/
Telegram: https://t.me/SkrypinUA
Twitter: https://twitter.com/SkrypinUa
Instagram: https://www.instagram.com/skrypinua/
Слухай подкасти в iTunes:
skrypin.ua ➡️ https://goo.gl/mvGUgk
UMN  ➡️ https://goo.gl/LUUodu
Danylo Yanevsky  ➡️ https://goo.gl/1QTWGU
Skype для дзвінків у студію: hello@skrypin.ua / Етер Ether
www.skrypin.ua</t>
  </si>
  <si>
    <t>Радити, то є небезпечна справа. Потім ще звинуватять. Але спробую сказати так, мене вражає банк без офісу, «Monobank". Його створили хлопці, які придумали Приват24.</t>
  </si>
  <si>
    <t>Сергій Дорошенко</t>
  </si>
  <si>
    <t>13:57</t>
  </si>
  <si>
    <t>Приглашаю вас в monobank! Оформите карту по персональной ссылке, и вы получите  50 грн на счет кешбэка!
https://monobank.com.ua/r/nn8u</t>
  </si>
  <si>
    <t>Дарья Руденко</t>
  </si>
  <si>
    <t>13:43</t>
  </si>
  <si>
    <t>Давид приглашает вас в monobank! Оформите карту, перейдя по персональной ссылке, и вы оба получите по 50 грн на счет кешбэка!
https://monobank.com.ua/r/tYyT</t>
  </si>
  <si>
    <t>Давид Акулов</t>
  </si>
  <si>
    <t>13:31</t>
  </si>
  <si>
    <t>Монобанк удобно как кошелёк, но ФОП там нет, только физлица</t>
  </si>
  <si>
    <t>Maksym Soloviov</t>
  </si>
  <si>
    <t>13:27</t>
  </si>
  <si>
    <t>Нет нет. Прошло по факту уже нужное количество дней</t>
  </si>
  <si>
    <t>Монобанк, на даний момент один із найзручніших</t>
  </si>
  <si>
    <t>Віктор Фітьо</t>
  </si>
  <si>
    <t>Если бы Монобанк предлагал премиальный сегмент карт, то с удовольствием попробовал бы их сервис. А массовый сегмент меня никогда не привлекал. С ним всегда могут быть проблемы за границей и не только по аренде машин.</t>
  </si>
  <si>
    <t>13:23</t>
  </si>
  <si>
    <t>На самом деле, если карта премиальная, то арендаторы, как правило, спокойно ее принимают. Арендую машины в Европе и Америке ежегодно, начиная с 1993 года и пока не имел проблем ни разу. Ни с картой, ни с правами. А до 2010 брал машины еще по красным корочкам :)</t>
  </si>
  <si>
    <t>13:22</t>
  </si>
  <si>
    <t>Монобанк не пробували?</t>
  </si>
  <si>
    <t>Sophie Zwil</t>
  </si>
  <si>
    <t>https://forum.finance.ua/viewtopic.php?p=4338926#p4338926    mephala написав:
прикольно. выходит если обрезали процент то это на долго.
чем больше читаю про карту мони тем больше убеждаюсь что карта скатывается в унылое Г.
Технологически она изначально такая, но ради повышенных кэшбеков и выгодных курсов - можно терпеть.</t>
  </si>
  <si>
    <t>13:16</t>
  </si>
  <si>
    <t>BetterBatteryStats</t>
  </si>
  <si>
    <t>/forum/index.php?act=findpost&amp;pid=72003848  callerid,
Через 3/4G качает...
Network
======================
10034 (Mobile) (Сервисы Google Play): 853.0 KBytes 60,5%
10113 (Mobile) (com.alibaba.aliexpresshd.AliExpress): 272.0 KBytes 19,3%
10044 (Mobile) (com.google.android.googlequicksearchbox.Google): 53.0 KBytes 3,8%
0 (Mobile) (0): 52.0 KBytes 3,7%
10097 (Mobile) (com.estrongs.android.pop.ES Проводник): 49.0 KBytes 3,5%
10091 (Mobile) (com.viber.voip.Viber): 33.0 KBytes 2,4%
10101 (Mobile) (com.actionlauncher.playstore.Action Launcher): 30.0 KBytes 2,2%
10103 (Mobile) (vn.innoloop.VOALearningEnglish.VOA Learning English): 21.0 KBytes 1,5%
1000 (Mobile) (Система Android): 11.0 KBytes 0,8%
10085 (Mobile) (com.google.android.instantapps.supervisor.Google Play services for Instant Apps): 9.0 KBytes 0,6%
10138 (Mobile) (com.asksven.betterbatterystats_xdaedition.BBS): 7.0 KBytes 0,5%
10082 (Mobile) (com.google.android.gm.Gmail): 6.0 KBytes 0,5%
10081 (Mobile) (com.google.android.calendar.Календарь): 5.0 KBytes 0,4%
10097 (Wifi) (com.estrongs.android.pop.ES Проводник): 2.0 KBytes 0,1%
10034 (Wifi) (Сервисы Google Play): 780.0 Bytes 0,1%
0 (Wifi) (0): 560.0 Bytes 0,0%
10038 (Wifi) (com.android.vending.Play Маркет): 312.0 Bytes 0,0%
1000 (Wifi) (Система Android): 187.0 Bytes 0,0%
10101 (Wifi) (com.actionlauncher.playstore.Action Launcher): 187.0 Bytes 0,0%
10079 (Wifi) (com.google.android.inputmethod.latin.Gboard): 135.0 Bytes 0,0%
10091 (Wifi) (com.viber.voip.Viber): 104.0 Bytes 0,0%
10044 (Wifi) (com.google.android.googlequicksearchbox.Google): 52.0 Bytes 0,0%
10111 (Wifi) (com.ftband.mono.monobank): 52.0 Bytes 0,0%
10138 (Wifi) (com.asksven.betterbatterystats_xdaedition.BBS): 52.0 Bytes 0,0%
10092 (Wifi) (cn.wps.moffice_eng.WPS Office): 52.0 Bytes 0,0%
10113 (Wifi) (com.alibaba.aliexpresshd.AliExpress): 40.0 Bytes 0,0%
И вафлю Вы , наверное, в спящем режиме не выключили
Wifi Running (): 7 h 4 m 47 s 100,0%</t>
  </si>
  <si>
    <t>ciacia</t>
  </si>
  <si>
    <t>4PDA &gt; Системные утилиты</t>
  </si>
  <si>
    <t>Agent's Clothes</t>
  </si>
  <si>
    <t>musthave-книга для бородачей, у кого есть карта #monobank  - #максимальныйкэшбэк на книги 2️⃣0️⃣% в апреле ❗❗ ❗ 
#книгалучшийподарок</t>
  </si>
  <si>
    <t>Elena Romanchenko</t>
  </si>
  <si>
    <t>https://forum.finance.ua/viewtopic.php?p=4338510#p4338510    Skiw написав:
 https://forum.finance.ua/viewtopic.php?p=4338427#p4338427    deneg net написав: https://forum.finance.ua/viewtopic.php?p=4338424#p4338424    Skiw написав:Третий месяц забираю с обоих карт по 500 кб. Одну в прошлом месяце срезали, вторую в этом срезали:(
Так теперь обе обрезанные или обрезание только на один месяц?
Обе
прикольно. выходит если обрезали процент то это на долго.
чем больше читаю про карту мони тем больше убеждаюсь что карта скатывается в унылое Г.</t>
  </si>
  <si>
    <t>спасибо за экономию бюджета! Не знал,что у привата не выгодные условия.</t>
  </si>
  <si>
    <t>Igor Vereveiko</t>
  </si>
  <si>
    <t>А хто хазяїн монобанку?)))</t>
  </si>
  <si>
    <t>Romchyk Romchyk</t>
  </si>
  <si>
    <t>Монобанк - это проект Универсалбанка, первый мобильный банк в Украине! Банк без отделений.
1) Весь банк в вашем “кармане” -  простота и удобство пользования самым крутым в Украине мобильным приложением
2) Услуга кешбэк - аналогов на рынке не существует 
Она позволяет клиенту возвращать до 20%, совершая покупки по всему миру в магазинах, ресторанах, заправках, кинотеатрах, аптеках, салонах красоты и других точках оплаты.
3) Банк БЕЗ отделений - это дистанционное управление картой в вашем смартфоне, экономя ваше время
4) Выпуск обслуживание и доставка карты - быстро, удобно и бесплатно.
5) Бесконтактная технология PayPass
6) Возможность всегда иметь деньги “про запас” на самых выгодных условиях.
Льготный период - до 62-х дней, т.е. клиент может пользоваться кредитным лимитом бесплатно 2 месяца.
#монобанк</t>
  </si>
  <si>
    <t>13:00</t>
  </si>
  <si>
    <t>в начале следующего месяца нет корректировки？</t>
  </si>
  <si>
    <t>Evgeniy Grigoriev</t>
  </si>
  <si>
    <t>Данный вопрос лучше в группе повесить</t>
  </si>
  <si>
    <t>Aleksandr Boyko</t>
  </si>
  <si>
    <t>Гляньте, пожалуйста, на дамп. Ночью при выключенном wifi уходит около процента в час. Люди пишут, что у них процент уходит за ночь. В чем может быть причина и что исправить?
Статистика/*
===================
General Information
===================
BetterBatteryStats version: 2.4-253
Creation Date: 2018-04-03 10:42:26
Statistic Type: Custom to Current
Since 7 h 4 m 47 s
Note:
VERSION.RELEASE: 7.1.2
BRAND: LeEco
DEVICE: le_zl1
MANUFACTURER: LeEco
MODEL: LEX727
OS.VERSION: 3.18.31-mokee-g24402d2
BOOTLOADER: unknown
HARDWARE: qcom
FINGERPRINT: LeEco/ZL1_NA/le_zl1:6.0.1/WEXNAOP5802101261S/letv01261206:user/release-keys
ID: NJH47F
TAGS: release-keys
USER: buildbot
PRODUCT: ZL1_NA
RADIO: MPSS.TH.2.0.c1.9.1-00010  1  [Nov 08 2016 02:00:00]
Root perms: false
SELinux Policy: Enforcing
BATTERY_STATS permission granted: true
XPosed BATTERY_STATS module enabled: false
============
Battery Info
============
Level lost [%]: Bat.: -6%(81% to 75%) [0,8%/h]
Voltage lost [mV]: (4136-4069) [9,5%/h]
===========
Other Usage
===========
Deep Sleep (): 6 h 28 m 29 s  91,5%
Awake (Screen Off) (): 34 m 21 s  8,1%
Screen On (): 1 m 56 s  0,5%
Wifi On (): 18 s  0,1%
Wifi Running (): 7 h 4 m 47 s  100,0%
Doze Interactive Time (): 1 m 55 s  0,5%
Doze Idle Mode Time (): 6 h 56 m 22 s  98,0%
Great Signal (): 7 h 4 m 47 s  100,0%
Screen dark (): 1 m 56 s  0,5%
======================================================
Wakelocks
======================================================
deviceidle_maint (Система Android): 1 m 11 s  Count:63 0,3%
wake:com.alibaba.aliexpresshd/org.android.agoo.gcm.AgooFirebaseMessagingService (com.alibaba.aliexpresshd.AliExpress): 56 s  Count:4 0,2%
*net_scheduler* (Сервисы Google Play): 23 s  Count:371 0,1%
AnyMotionDetector (Система Android): 10 s  Count:57 0,0%
NlpCollectorWakeLock (com.google.android.googlequicksearchbox.Google): 5 s  Count:8 0,0%
*alarm* (Система Android): 4 s  Count:156 0,0%
GCM_READ (Сервисы Google Play): 2 s  Count:381 0,0%
AudioMix (1041): 2 s  Count:1 0,0%
GCM_CONN_ALARM (Сервисы Google Play): 2 s  Count:145 0,0%
wake:CollectionChimeraSvc (Сервисы Google Play): 2 s  Count:160 0,0%
RILJ (Телефон – сервисы): 1 s  Count:122 0,0%
ConnectivityService (Система Android): 1 s  Count:56 0,0%
GOOGLE_C2DM (vn.innoloop.VOALearningEnglish.VOA Learning English): 1 s  Count:2 0,0%
================
Kernel Wakelocks
================
NETLINK      (*api*): 8 m 16 s  Cnt:(c/wc/ec)29559/0/0 1,9%
[timerfd]    (*api*): 8 m  Cnt:(c/wc/ec)9748/0/0 1,9%
ipc00000061_rild (*api*): 6 m 49 s  Cnt:(c/wc/ec)4329/0/0 1,6%
PowerManagerService.WakeLocks (*api*): 4 m 54 s  Cnt:(c/wc/ec)359/0/0 1,2%
alarmtimer   (*api*): 2 m 46 s  Cnt:(c/wc/ec)83/0/0 0,7%
PowerManagerService.Display (*api*): 1 m 56 s  Cnt:(c/wc/ec)2/0/0 0,5%
IPA_WS       (*api*): 1 m 17 s  Cnt:(c/wc/ec)1112/0/0 0,3%
ipc0000010d_dpmd (*api*): 24 s  Cnt:(c/wc/ec)997/0/0 0,1%
radio-interface (*api*): 16 s  Cnt:(c/wc/ec)75/0/0 0,1%
Fp_wakelock  (*api*): 15 s  Cnt:(c/wc/ec)3/0/0 0,1%
qcril        (*api*): 12 s  Cnt:(c/wc/ec)4471/0/0 0,0%
8-0028       (*api*): 8 s  Cnt:(c/wc/ec)4/0/0 0,0%
PowerManagerService.Broadcasts (*api*): 7 s  Cnt:(c/wc/ec)4/0/0 0,0%
wlan         (*api*): 6 s  Cnt:(c/wc/ec)4/0/0 0,0%
battery      (*api*): 3 s  Cnt:(c/wc/ec)4924/0/0 0,0%
ipc0000008b_netmgrd (*api*): 2 s  Cnt:(c/wc/ec)63/0/0 0,0%
ipc00000074_rild (*api*): 2 s  Cnt:(c/wc/ec)62/0/0 0,0%
ipc00000073_rild (*api*): 2 s  Cnt:(c/wc/ec)63/0/0 0,0%
ipc00000068_rild (*api*): 2 s  Cnt:(c/wc/ec)62/0/0 0,0%
ipc00000090_rild (*api*): 2 s  Cnt:(c/wc/ec)62/0/0 0,0%
usb          (*api*): 2 s  Cnt:(c/wc/ec)4919/0/0 0,0%
qpnp-smbcharger-17 (*api*): 1 s  Cnt:(c/wc/ec)4924/0/0 0,0%
qpnp_fg_memaccess (*api*): 1 s  Cnt:(c/wc/ec)879/0/0 0,0%
ipc0000008d_netmgrd (*api*): 1 s  Cnt:(c/wc/ec)182/0/0 0,0%
ipc000000fb_FLP Service Cal (*api*):  Cnt:(c/wc/ec)38/0/0 0,0%
ipc000000fe_sensors.qcom (*api*):  Cnt:(c/wc/ec)2968/0/0 0,0%
qpnp_fg_update_sram (*api*):  Cnt:(c/wc/ec)73/0/0 0,0%
qpnp_fg_update_temp (*api*):  Cnt:(c/wc/ec)217/0/0 0,0%
ipc00000019_rmt_storage (*api*):  Cnt:(c/wc/ec)5/0/0 0,0%
mpss_IPCRTR  (*api*):  Cnt:(c/wc/ec)6568/0/0 0,0%
qcom_rx_wakelock (*api*):  Cnt:(c/wc/ec)7/0/0 0,0%
eventpoll    (*api*):  Cnt:(c/wc/ec)39597/0/0 0,0%
dsps_IPCRTR  (*api*):  Cnt:(c/wc/ec)2996/0/0 0,0%
netmgr_wl    (*api*):  Cnt:(c/wc/ec)62/0/0 0,0%
event2       (*api*):  Cnt:(c/wc/ec)620/0/0 0,0%
KeyEvents    (*api*):  Cnt:(c/wc/ec)383/0/0 0,0%
rmt_storage_548422022224 (*api*):  Cnt:(c/wc/ec)3/0/0 0,0%
ipc000000fc_sensors.qcom (*api*):  Cnt:(c/wc/ec)219/0/0 0,0%
rmt_storage_548420985936 (*api*):  Cnt:(c/wc/ec)2/0/0 0,0%
ipc00000024_sensors.qcom (*api*):  Cnt:(c/wc/ec)12/0/0 0,0%
SensorService_wakelock (*api*):  Cnt:(c/wc/ec)2/0/0 0,0%
ipc00000082_rild (*api*):  Cnt:(c/wc/ec)92/0/0 0,0%
ipc00000081_rild (*api*):  Cnt:(c/wc/ec)81/0/0 0,0%
qpnp-rtc-8   (*api*):  Cnt:(c/wc/ec)100/0/0 0,0%
ipc0000010e_rild (*api*):  Cnt:(c/wc/ec)17/0/0 0,0%
ipc0000010b_rild (*api*):  Cnt:(c/wc/ec)3/0/0 0,0%
ipc00000057_slim_daemon (*api*):  Cnt:(c/wc/ec)5/0/0 0,0%
ipc00000058_Loc_hal (*api*):  Cnt:(c/wc/ec)5/0/0 0,0%
ipc0000009f_rild (*api*):  Cnt:(c/wc/ec)18/0/0 0,0%
ipc000000cd_imsdatadaemon (*api*):  Cnt:(c/wc/ec)5/0/0 0,0%
ipc000000f5_sensors.qcom (*api*):  Cnt:(c/wc/ec)6/0/0 0,0%
ipc0000002d_sensors.qcom (*api*):  Cnt:(c/wc/ec)5/0/0 0,0%
ipc00000033_tloc_daemon (*api*):  Cnt:(c/wc/ec)5/0/0 0,0%
ipc00000032_pm-service (*api*):  Cnt:(c/wc/ec)5/0/0 0,0%
ipc0000002a_qmuxd (*api*):  Cnt:(c/wc/ec)5/0/0 0,0%
ipc00000035_time_daemon (*api*):  Cnt:(c/wc/ec)5/0/0 0,0%
ipc0000006f_imsqmidaemon (*api*):  Cnt:(c/wc/ec)5/0/0 0,0%
ipc0000005e_rild (*api*):  Cnt:(c/wc/ec)5/0/0 0,0%
ipc000000d2_imsdatadaemon (*api*):  Cnt:(c/wc/ec)5/0/0 0,0%
ipc00000083_rild (*api*):  Cnt:(c/wc/ec)6/0/0 0,0%
ipc00000103_dpmd (*api*):  Cnt:(c/wc/ec)5/0/0 0,0%
ipc0000009c_rild (*api*):  Cnt:(c/wc/ec)11/0/0 0,0%
ipc0000009e_rild (*api*):  Cnt:(c/wc/ec)17/0/0 0,0%
ipc00000107_Thread-3 (*api*):  Cnt:(c/wc/ec)5/0/0 0,0%
ipc000000cf_ims_rtp_daemon (*api*):  Cnt:(c/wc/ec)5/0/0 0,0%
ipc0000010a_rild (*api*):  Cnt:(c/wc/ec)6/0/0 0,0%
bms          (*api*):  Cnt:(c/wc/ec)7/0/0 0,0%
ipc000000fd_sensors.qcom (*api*):  Cnt:(c/wc/ec)18/0/0 0,0%
ipc00000025_sensors.qcom (*api*):  Cnt:(c/wc/ec)5/0/0 0,0%
ipc00000041_sensors.qcom (*api*):  Cnt:(c/wc/ec)5/0/0 0,0%
ipc0000003f_sensors.qcom (*api*):  Cnt:(c/wc/ec)5/0/0 0,0%
ipc0000002c_sensors.qcom (*api*):  Cnt:(c/wc/ec)5/0/0 0,0%
ipc00000002_kworker/1:0 (*api*):  Cnt:(c/wc/ec)5/0/0 0,0%
ipc0000005b_netmgrd (*api*):  Cnt:(c/wc/ec)5/0/0 0,0%
ipc00000049_kworker/u8:2 (*api*):  Cnt:(c/wc/ec)5/0/0 0,0%
ipc00000054_mdtpd (*api*):  Cnt:(c/wc/ec)5/0/0 0,0%
ipc0000004f_kworker/u8:7 (*api*):  Cnt:(c/wc/ec)5/0/0 0,0%
ipc0000007f_rild (*api*):  Cnt:(c/wc/ec)5/0/0 0,0%
ipc000000d7_qti (*api*):  Cnt:(c/wc/ec)5/0/0 0,0%
ipc000000f7_system_server (*api*):  Cnt:(c/wc/ec)5/0/0 0,0%
ipc0000001a_rmt_storage (*api*):  Cnt:(c/wc/ec)5/0/0 0,0%
ipc0000001c_kworker/u8:0 (*api*):  Cnt:(c/wc/ec)5/0/0 0,0%
ipc0000002f_cnss-daemon (*api*):  Cnt:(c/wc/ec)5/0/0 0,0%
ipc00000012_swapper/0 (*api*):  Cnt:(c/wc/ec)5/0/0 0,0%
ipc00000016_kworker/0:2 (*api*):  Cnt:(c/wc/ec)5/0/0 0,0%
ipc00000014_kworker/u8:3 (*api*):  Cnt:(c/wc/ec)5/0/0 0,0%
ipc00000010_kworker/u8:4 (*api*):  Cnt:(c/wc/ec)5/0/0 0,0%
ipc0000000f_kworker/u8:4 (*api*):  Cnt:(c/wc/ec)5/0/0 0,0%
ipc00000026_thermal-engine (*api*):  Cnt:(c/wc/ec)5/0/0 0,0%
ipc000000a2_rild (*api*):  Cnt:(c/wc/ec)7/0/0 0,0%
ipc00000080_rild (*api*):  Cnt:(c/wc/ec)20/0/0 0,0%
ipc00000062_rild (*api*):  Cnt:(c/wc/ec)13/0/0 0,0%
sensor_ind   (*api*):  Cnt:(c/wc/ec)4/0/0 0,0%
=========
Processes
=========
system (Система Android): Uid: 1000 Sys: 1 h 35 m 44 s  Us: 7 m 41 s  Starts: 0
ueventd (0): Uid: 0 Sys: 15 m 39 s  Us: 12 m 3 s  Starts: 0
com.gsamlabs.bbm.pro (com.gsamlabs.bbm.pro.GSam Battery Monitor): Uid: 10140 Sys: 27 s  Us: 21 m 57 s  Starts: 0
smem_native_rpm (0): Uid: 0 Sys: 8 m 21 s  Us:  Starts: 0
migration/0 (0): Uid: 0 Sys: 8 m 12 s  Us:  Starts: 0
migration/3 (0): Uid: 0 Sys: 8 m 3 s  Us:  Starts: 0
rild (0): Uid: 0 Sys: 5 m 13 s  Us: 2 m 5 s  Starts: 0
logd (0): Uid: 0 Sys: 1 m 23 s  Us: 3 m 57 s  Starts: 0
migration/2 (0): Uid: 0 Sys: 5 m 20 s  Us:  Starts: 0
sugov:0 (0): Uid: 0 Sys: 5 m  Us:  Starts: 0
irq/174-cpr3 (0): Uid: 0 Sys: 4 m 58 s  Us:  Starts: 0
healthd (0): Uid: 0 Sys: 3 m 24 s  Us: 32 s  Starts: 0
sensors.qcom (0): Uid: 0 Sys: 3 m 16 s  Us: 10 s  Starts: 0
com.google.android.gms.persistent (Сервисы Google Play): Uid: 10034 Sys: 56 s  Us: 2 m 27 s  Starts: 0
netmgrd (0): Uid: 0 Sys: 2 m 59 s  Us: 2 s  Starts: 0
netroken.android.persistalternate (netroken.android.persistalternate.Регулировка громкости): Uid: 10112 Sys: 1 m 10 s  Us: 1 m 50 s  Starts: 0
migration/1 (0): Uid: 0 Sys: 2 m 38 s  Us:  Starts: 0
thermal-engine (0): Uid: 0 Sys: 2 m 18 s  Us: 8 s  Starts: 0
rcu_preempt (0): Uid: 0 Sys: 2 m 1 s  Us:  Starts: 0
kworker/u8:10 (0): Uid: 0 Sys: 2 m  Us:  Starts: 0
kworker/u8:8 (0): Uid: 0 Sys: 1 m 59 s  Us:  Starts: 0
kworker/u8:1 (0): Uid: 0 Sys: 1 m 56 s  Us:  Starts: 0
kworker/u8:22 (0): Uid: 0 Sys: 1 m 48 s  Us:  Starts: 0
audioserver (1041): Uid: 1041 Sys: 48 s  Us: 59 s  Starts: 0
kworker/u8:11 (0): Uid: 0 Sys: 1 m 36 s  Us:  Starts: 0
debuggerd (0): Uid: 0 Sys: 1 m 34 s  Us: 2 s  Starts: 0
ksoftirqd/0 (0): Uid: 0 Sys: 1 m 35 s  Us:  Starts: 0
kworker/u8:25 (0): Uid: 0 Sys: 1 m 34 s  Us:  Starts: 0
kworker/u8:2 (0): Uid: 0 Sys: 1 m 34 s  Us:  Starts: 0
kworker/u8:16 (0): Uid: 0 Sys: 1 m 28 s  Us:  Starts: 0
vold (0): Uid: 0 Sys: 1 m 2 s  Us: 24 s  Starts: 0
kworker/u8:18 (0): Uid: 0 Sys: 1 m 24 s  Us:  Starts: 0
surfaceflinger (0): Uid: 0 Sys: 48 s  Us: 35 s  Starts: 0
kworker/u8:9 (0): Uid: 0 Sys: 1 m 23 s  Us:  Starts: 0
kworker/u8:17 (0): Uid: 0 Sys: 1 m 23 s  Us:  Starts: 0
kworker/u8:6 (0): Uid: 0 Sys: 1 m 21 s  Us:  Starts: 0
kworker/u8:12 (0): Uid: 0 Sys: 1 m 20 s  Us:  Starts: 0
netd (0): Uid: 0 Sys: 1 m 3 s  Us: 15 s  Starts: 0
com.viber.voip (com.viber.voip.Viber): Uid: 10091 Sys: 33 s  Us: 44 s  Starts: 0
com.actionlauncher.playstore (com.actionlauncher.playstore.Action Launcher): Uid: 10101 Sys: 16 s  Us: 60 s  Starts: 0
kworker/u8:27 (0): Uid: 0 Sys: 1 m 16 s  Us:  Starts: 0
magisk_daemon (0): Uid: 0 Sys: 1 m 11 s  Us: 4 s  Starts: 0
kworker/u8:5 (0): Uid: 0 Sys: 1 m 16 s  Us:  Starts: 0
kworker/u8:13 (0): Uid: 0 Sys: 1 m 14 s  Us:  Starts: 0
kworker/u8:19 (0): Uid: 0 Sys: 1 m 13 s  Us:  Starts: 0
irq/21-408000.q (0): Uid: 0 Sys: 1 m 7 s  Us:  Starts: 0
logcat (0): Uid: 0 Sys: 57 s  Us: 9 s  Starts: 0
kworker/1:6 (0): Uid: 0 Sys: 1 m 2 s  Us:  Starts: 0
ksoftirqd/3 (0): Uid: 0 Sys: 57 s  Us:  Starts: 0
kworker/2:0 (0): Uid: 0 Sys: 57 s  Us:  Starts: 0
kswapd0 (0): Uid: 0 Sys: 56 s  Us:  Starts: 0
ksoftirqd/2 (0): Uid: 0 Sys: 56 s  Us:  Starts: 0
kworker/u8:20 (0): Uid: 0 Sys: 55 s  Us:  Starts: 0
ksoftirqd/1 (0): Uid: 0 Sys: 54 s  Us:  Starts: 0
kworker/u8:14 (0): Uid: 0 Sys: 48 s  Us:  Starts: 0
kworker/0:6 (0): Uid: 0 Sys: 48 s  Us:  Starts: 0
com.android.systemui (com.android.systemui.Интерфейс системы): Uid: 10029 Sys: 10 s  Us: 37 s  Starts: 0
com.google.android.gms.unstable (Сервисы Google Play): Uid: 10034 Sys: 15 s  Us: 32 s  Starts: 0
debuggerd64 (0): Uid: 0 Sys: 41 s  Us: 1 s  Starts: 0
dpmd (0): Uid: 0 Sys: 36 s  Us: 6 s  Starts: 0
kworker/u8:15 (0): Uid: 0 Sys: 42 s  Us:  Starts: 0
kworker/u8:24 (0): Uid: 0 Sys: 39 s  Us:  Starts: 0
kworker/0:3 (0): Uid: 0 Sys: 38 s  Us:  Starts: 0
kworker/u8:7 (0): Uid: 0 Sys: 38 s  Us:  Starts: 0
kworker/0:1 (0): Uid: 0 Sys: 38 s  Us:  Starts: 0
gx_fpd (Система Android): Uid: 1000 Sys: 31 s  Us: 5 s  Starts: 0
VosMCThread (0): Uid: 0 Sys: 36 s  Us:  Starts: 0
kworker/0:2 (0): Uid: 0 Sys: 34 s  Us:  Starts: 0
kworker/3:0 (0): Uid: 0 Sys: 32 s  Us:  Starts: 0
kworker/0:0 (0): Uid: 0 Sys: 32 s  Us:  Starts: 0
com.android.phone (Телефон – сервисы): Uid: 1001 Sys: 10 s  Us: 18 s  Starts: 0
com.google.android.gms (Сервисы Google Play): Uid: 10034 Sys: 10 s  Us: 17 s  Starts: 0
com.estrongs.android.pop (com.estrongs.android.pop.ES Проводник): Uid: 10097 Sys: 16 s  Us: 11 s  Starts: 0
perfd (0): Uid: 0 Sys: 25 s  Us: 1 s  Starts: 0
com.alibaba.aliexpresshd:channel (com.alibaba.aliexpresshd.AliExpress): Uid: 10113 Sys: 11 s  Us: 15 s  Starts: 0
rcu_sched (0): Uid: 0 Sys: 24 s  Us:  Starts: 0
imsdatadaemon (Система Android): Uid: 1000 Sys: 23 s  Us:  Starts: 0
jbd2/sde19-8 (0): Uid: 0 Sys: 23 s  Us:  Starts: 0
.dataservices (Система Android): Uid: 1000 Sys: 17 s  Us: 6 s  Starts: 0
jbd2/sda10-8 (0): Uid: 0 Sys: 22 s  Us:  Starts: 0
mm-pp-dpps (Система Android): Uid: 1000 Sys: 21 s  Us:  Starts: 0
com.alibaba.aliexpresshd (com.alibaba.aliexpresshd.AliExpress): Uid: 10113 Sys: 12 s  Us: 9 s  Starts: 0
ipacm (3005): Uid: 3005 Sys: 15 s  Us: 5 s  Starts: 0
sugov:2 (0): Uid: 0 Sys: 20 s  Us:  Starts: 0
slim_daemon (1021): Uid: 1021 Sys: 20 s  Us:  Starts: 0
kworker/0:4 (0): Uid: 0 Sys: 19 s  Us:  Starts: 0
servicemanager (Система Android): Uid: 1000 Sys: 11 s  Us: 7 s  Starts: 0
cnss-daemon (0): Uid: 0 Sys: 18 s  Us:  Starts: 0
kworker/2:0H (0): Uid: 0 Sys: 18 s  Us:  Starts: 0
ims_rtp_daemon (Система Android): Uid: 1000 Sys: 17 s  Us:  Starts: 0
mm-qcamera-daemon (1006): Uid: 1006 Sys: 17 s  Us:  Starts: 0
com.google.android.gm (com.google.android.gm.Gmail): Uid: 10082 Sys: 3 s  Us: 13 s  Starts: 0
time_daemon (0): Uid: 0 Sys: 16 s  Us:  Starts: 0
ipacm-diag (Система Android): Uid: 1000 Sys: 14 s  Us: 2 s  Starts: 0
qseecomd (0): Uid: 0 Sys: 15 s  Us:  Starts: 0
kworker/1:1H (0): Uid: 0 Sys: 15 s  Us:  Starts: 0
adsprpcd (1013): Uid: 1013 Sys: 15 s  Us:  Starts: 0
imsqmidaemon (Система Android): Uid: 1000 Sys: 14 s  Us:  Starts: 0
mdtpd (0): Uid: 0 Sys: 14 s  Us:  Starts: 0
com.google.android.instantapps.supervisor (com.google.android.instantapps.supervisor.Google Play services for Instant Apps): Uid: 10085 Sys: 4 s  Us: 10 s  Starts: 0
kworker/0:1H (0): Uid: 0 Sys: 14 s  Us:  Starts: 0
loop0 (0): Uid: 0 Sys: 13 s  Us:  Starts: 0
qti (Телефон – сервисы): Uid: 1001 Sys: 13 s  Us:  Starts: 0
jbd2/sde13-8 (0): Uid: 0 Sys: 12 s  Us:  Starts: 0
qmuxd (Телефон – сервисы): Uid: 1001 Sys: 11 s  Us:  Starts: 0
wpa_supplicant (0): Uid: 0 Sys: 10 s  Us: 1 s  Starts: 0
tloc_daemon (Система Android): Uid: 1000 Sys: 11 s  Us:  Starts: 0
kgsl_worker_thr (0): Uid: 0 Sys: 11 s  Us:  Starts: 0
com.ftband.mono (com.ftband.mono.monobank): Uid: 10111 Sys: 2 s  Us: 9 s  Starts: 0
kworker/u8:23 (0): Uid: 0 Sys: 10 s  Us:  Starts: 0
kworker/u9:0 (0): Uid: 0 Sys: 10 s  Us:  Starts: 0
kthreadd (0): Uid: 0 Sys: 10 s  Us:  Starts: 0
com.android.vending:instant_app_installer (com.android.vending.Play Маркет): Uid: 10038 Sys: 1 s  Us: 8 s  Starts: 1
wlan_logging_th (0): Uid: 0 Sys: 9 s  Us:  Starts: 0
kworker/0:5 (0): Uid: 0 Sys: 9 s  Us:  Starts: 0
com.google.android.googlequicksearchbox:search (com.google.android.googlequicksearchbox.Google): Uid: 10044 Sys: 2 s  Us: 6 s  Starts: 0
kworker/3:4 (0): Uid: 0 Sys: 9 s  Us:  Starts: 0
kworker/u9:2 (0): Uid: 0 Sys: 8 s  Us:  Starts: 0
audiod (Система Android): Uid: 1000 Sys: 8 s  Us:  Starts: 0
com.google.android.calendar (com.google.android.calendar.Календарь): Uid: 10081 Sys: 1 s  Us: 7 s  Starts: 0
kworker/1:5 (0): Uid: 0 Sys: 8 s  Us:  Starts: 0
kworker/1:4 (0): Uid: 0 Sys: 8 s  Us:  Starts: 0
kworker/3:2H (0): Uid: 0 Sys: 8 s  Us:  Starts: 0
kworker/3:3 (0): Uid: 0 Sys: 7 s  Us:  Starts: 0
kworker/3:0H (0): Uid: 0 Sys: 7 s  Us:  Starts: 0
mdss_fb0 (0): Uid: 0 Sys: 7 s  Us:  Starts: 0
.esfm (com.estrongs.android.pop.ES Проводник): Uid: 10097 Sys: 4 s  Us: 2 s  Starts: 0
com.google.process.gapps (Сервисы Google Play): Uid: 10034 Sys: 2 s  Us: 5 s  Starts: 0
kauditd (0): Uid: 0 Sys: 7 s  Us:  Starts: 0
*wakelock* (com.alibaba.aliexpresshd.AliExpress): Uid: 10113 Sys: 3 s  Us: 2 s  Starts: 0
lmkd (0): Uid: 0 Sys: 5 s  Us: 1 s  Starts: 0
logcat (de.robv.android.xposed.installer.Xposed Installer): Uid: 10073 Sys: 5 s  Us:  Starts: 0
loc_launcher (0): Uid: 0 Sys: 6 s  Us:  Starts: 0
jbd2/loop0-8 (0): Uid: 0 Sys: 6 s  Us:  Starts: 0
debuggerd:signaller (0): Uid: 0 Sys: 6 s  Us:  Starts: 0
rmt_storage (0): Uid: 0 Sys: 6 s  Us:  Starts: 0
iop (0): Uid: 0 Sys: 6 s  Us:  Starts: 0
jbd2/sda2-8 (0): Uid: 0 Sys: 5 s  Us:  Starts: 0
kworker/2:1 (0): Uid: 0 Sys: 5 s  Us:  Starts: 0
ifaa_daemon (0): Uid: 0 Sys: 5 s  Us:  Starts: 0
*wakelock* (Сервисы Google Play): Uid: 10034 Sys: 1 s  Us: 3 s  Starts: 0
tftp_server (0): Uid: 0 Sys: 5 s  Us:  Starts: 0
libestool2.so (com.estrongs.android.pop.ES Проводник): Uid: 10097 Sys: 5 s  Us:  Starts: 0
cn.wps.moffice_eng:gcmpush (cn.wps.moffice_eng.WPS Office): Uid: 10092 Sys: 2 s  Us: 2 s  Starts: 0
com.android.nfc (com.android.nfc.Служба NFC): Uid: 1027 Sys: 4 s  Us:  Starts: 0
kworker/3:1H (0): Uid: 0 Sys: 5 s  Us:  Starts: 0
*wakelock* (Телефон – сервисы): Uid: 1001 Sys: 2 s  Us: 2 s  Starts: 0
zygote64 (0): Uid: 0 Sys: 4 s  Us:  Starts: 0
zygote (0): Uid: 0 Sys: 4 s  Us:  Starts: 0
com.topjohnwu.magisk (com.topjohnwu.magisk.Magisk Manager): Uid: 10084 Sys: 3 s  Us:  Starts: 0
VosTlshimRxThre (0): Uid: 0 Sys: 4 s  Us:  Starts: 0
debuggerd64:signaller (0): Uid: 0 Sys: 4 s  Us:  Starts: 0
jbd2/sda3-8 (0): Uid: 0 Sys: 4 s  Us:  Starts: 0
sh (0): Uid: 0 Sys: 4 s  Us:  Starts: 0
pm-service (Система Android): Uid: 1000 Sys: 4 s  Us:  Starts: 0
libweexjsb.so (com.alibaba.aliexpresshd.AliExpress): Uid: 10113 Sys: 3 s  Us:  Starts: 0
kworker/3:2 (0): Uid: 0 Sys: 4 s  Us:  Starts: 0
kworker/3:1 (0): Uid: 0 Sys: 3 s  Us:  Starts: 0
cnd (0): Uid: 0 Sys: 3 s  Us:  Starts: 0
kworker/2:2 (0): Uid: 0 Sys: 3 s  Us:  Starts: 0
xposed_logcat (0): Uid: 0 Sys: 3 s  Us:  Starts: 0
*wakelock* (com.google.android.googlequicksearchbox.Google): Uid: 10044 Sys: 1 s  Us: 2 s  Starts: 0
vn.innoloop.VOALearningEnglish (vn.innoloop.VOALearningEnglish.VOA Learning English): Uid: 10103 Sys: 2 s  Us: 1 s  Starts: 1
kworker/2:4 (0): Uid: 0 Sys: 2 s  Us:  Starts: 0
mpss_smd_trans_ (0): Uid: 0 Sys: 2 s  Us:  Starts: 0
com.google.android.inputmethod.latin (com.google.android.inputmethod.latin.Gboard): Uid: 10079 Sys:  Us: 1 s  Starts: 0
mediaserver (1013): Uid: 1013 Sys:  Us: 1 s  Starts: 0
kworker/2:1H (0): Uid: 0 Sys: 2 s  Us:  Starts: 0
irq/419-synapti (0): Uid: 0 Sys: 2 s  Us:  Starts: 0
kworker/2:3 (0): Uid: 0 Sys: 2 s  Us:  Starts: 0
com.android.providers.calendar (com.android.providers.calendar.Память календаря): Uid: 10000 Sys:  Us: 1 s  Starts: 0
kworker/2:2H (0): Uid: 0 Sys: 1 s  Us:  Starts: 0
android.process.acore (Android Core Apps): Uid: 10002 Sys:  Us: 1 s  Starts: 0
kworker/1:3 (0): Uid: 0 Sys: 1 s  Us:  Starts: 0
com.asksven.betterbatterystats_xdaedition (com.asksven.betterbatterystats_xdaedition.BBS): Uid: 10138 Sys: 1 s  Us:  Starts: 1
media.codec (1046): Uid: 1046 Sys:  Us:  Starts: 0
com.google.android.gms.ui (Сервисы Google Play): Uid: 10034 Sys: 1 s  Us:  Starts: 1
system (0): Uid: 0 Sys: 1 s  Us:  Starts: 0
com.qualcomm.telephony (Система Android): Uid: 1000 Sys:  Us:  Starts: 1
kworker/1:2 (0): Uid: 0 Sys: 1 s  Us:  Starts: 0
dsps_smd_trans_ (0): Uid: 0 Sys: 1 s  Us:  Starts: 0
com.grarak.kerneladiutor (com.grarak.kerneladiutor.Kernel Adiutor): Uid: 10107 Sys:  Us:  Starts: 1
kworker/1:0 (0): Uid: 0 Sys: 1 s  Us:  Starts: 0
com.pittvandewitt.viperfx (com.pittvandewitt.viperfx.ViPER4Android FX): Uid: 10100 Sys:  Us:  Starts: 0
msm_watchdog (0): Uid: 0 Sys: 1 s  Us:  Starts: 0
ATFWD-daemon (Система Android): Uid: 1000 Sys:  Us:  Starts: 0
com.android.vending (com.android.vending.Play Маркет): Uid: 10038 Sys:  Us:  Starts: 0
kworker/1:0H (0): Uid: 0 Sys:  Us:  Starts: 0
com.estrongs.android.pop:local (com.estrongs.android.pop.ES Проводник): Uid: 10097 Sys:  Us:  Starts: 1
kworker/1:1 (0): Uid: 0 Sys:  Us:  Starts: 0
com.google.android.ext.services (com.google.android.ext.services.Android Services Library): Uid: 10039 Sys:  Us:  Starts: 0
/init (0): Uid: 0 Sys:  Us:  Starts: 0
org.mokee.profiles (org.mokee.profiles.Поставщик доверенных профилей): Uid: 10065 Sys:  Us:  Starts: 1
media.extractor (1040): Uid: 1040 Sys:  Us:  Starts: 0
fingerprintd (Система Android): Uid: 1000 Sys:  Us:  Starts: 0
irq/173-lmh-int (0): Uid: 0 Sys:  Us:  Starts: 0
com.google.android.partnersetup (com.google.android.partnersetup.Настройка Google Partner): Uid: 10037 Sys:  Us:  Starts: 0
com.google.android.googlequicksearchbox:interactor (com.google.android.googlequicksearchbox.Google): Uid: 10044 Sys:  Us:  Starts: 0
com.android.deskclock (com.android.deskclock.Часы): Uid: 10053 Sys:  Us:  Starts: 1
com.mokee.pay (com.mokee.pay.MoKee кошелек): Uid: 10019 Sys:  Us:  Starts: 0
======================
Alarms
======================
com.android.phone (*api*): Wakeups: 68 (9,5 / h)
com.google.android.gms (*api*): Wakeups: 48 (7,0 / h)
cn.wps.moffice_eng (*api*): Wakeups: 3 (0,4 / h)
com.qualcomm.fastdormancy (*api*): Wakeups: 3 (0,4 / h)
com.google.android.googlequicksearchbox (*api*): Wakeups: 3 (0,4 / h)
android (*api*): Wakeups: 1 (0,2 / h)
com.google.android.gms (*api*): Wakeups: 1 (0,1 / h)
com.viber.voip (*api*): Wakeups: 1 (0,1 / h)
======================
Network
======================
10034 (Mobile) (Сервисы Google Play): 853.0 KBytes 60,5%
10113 (Mobile) (com.alibaba.aliexpresshd.AliExpress): 272.0 KBytes 19,3%
10044 (Mobile) (com.google.android.googlequicksearchbox.Google): 53.0 KBytes 3,8%
0 (Mobile) (0): 52.0 KBytes 3,7%
10097 (Mobile) (com.estrongs.android.pop.ES Проводник): 49.0 KBytes 3,5%
10091 (Mobile) (com.viber.voip.Viber): 33.0 KBytes 2,4%
10101 (Mobile) (com.actionlauncher.playstore.Action Launcher): 30.0 KBytes 2,2%
10103 (Mobile) (vn.innoloop.VOALearningEnglish.VOA Learning English): 21.0 KBytes 1,5%
1000 (Mobile) (Система Android): 11.0 KBytes 0,8%
10085 (Mobile) (com.google.android.instantapps.supervisor.Google Play services for Instant Apps): 9.0 KBytes 0,6%
10138 (Mobile) (com.asksven.betterbatterystats_xdaedition.BBS): 7.0 KBytes 0,5%
10082 (Mobile) (com.google.android.gm.Gmail): 6.0 KBytes 0,5%
10081 (Mobile) (com.google.android.calendar.Календарь): 5.0 KBytes 0,4%
10097 (Wifi) (com.estrongs.android.pop.ES Проводник): 2.0 KBytes 0,1%
10034 (Wifi) (Сервисы Google Play): 780.0 Bytes 0,1%
0 (Wifi) (0): 560.0 Bytes 0,0%
10038 (Wifi) (com.android.vending.Play Маркет): 312.0 Bytes 0,0%
1000 (Wifi) (Система Android): 187.0 Bytes 0,0%
10101 (Wifi) (com.actionlauncher.playstore.Action Launcher): 187.0 Bytes 0,0%
10079 (Wifi) (com.google.android.inputmethod.latin.Gboard): 135.0 Bytes 0,0%
10091 (Wifi) (com.viber.voip.Viber): 104.0 Bytes 0,0%
10044 (Wifi) (com.google.android.googlequicksearchbox.Google): 52.0 Bytes 0,0%
10111 (Wifi) (com.ftband.mono.monobank): 52.0 Bytes 0,0%
10138 (Wifi) (com.asksven.betterbatterystats_xdaedition.BBS): 52.0 Bytes 0,0%
10092 (Wifi) (cn.wps.moffice_eng.WPS Office): 52.0 Bytes 0,0%
10113 (Wifi) (com.alibaba.aliexpresshd.AliExpress): 40.0 Bytes 0,0%
==========
CPU States
==========
2,19 GHz (): 15 s  0,1%
1,06 GHz (): 9 m 54 s  2,3%
979,2 MHz (): 3 m 37 s  0,9%
902,4 MHz (): 2 m 23 s  0,6%
844,8 MHz (): 2 m 31 s  0,6%
768 MHz (): 3 m 12 s  0,8%
691,2 MHz (): 2 m 21 s  0,6%
614,4 MHz (): 1 m 31 s  0,4%
537,6 MHz (): 2 m 15 s  0,5%
460,8 MHz (): 5 m 39 s  1,3%
384 MHz (): 2 m 35 s  0,6%
Deep Sleep (): 6 h 28 m 29 s  91,5%
==========
Sensors
==========
 (Сервисы Google Play):   Sensor: LSM6DS3 Accelerometer(1), wakeup=false, Time: 0 s
  Sensor: Significant Motion Detector(20), wakeup=true, Time: 4 h 53 m 32 s
 (Система Android):   Sensor: Unknown, Time: 10 s
  Sensor: LSM6DS3 Accelerometer(1), wakeup=false, Time: 1 m 42 s
  Sensor: LTR579 ALSPS(7), wakeup=false, Time: 0 s
  Sensor: Significant Motion Detector(20), wakeup=true, Time: 0 s
 (com.android.systemui.Интерфейс системы):   Sensor: LTR579 ALSPS(6), wakeup=true, Time: 0 s
 (com.estrongs.android.pop.ES Проводник):   Sensor: LSM6DS3 Accelerometer(1), wakeup=false, Time: 0 s
  Sensor: LSM6DS3 Gyroscope(4), wakeup=false, Time: 0 s
========
Services
========
Active since: The time when the service was first made active, either by someone starting or binding to it.
Last activity: The time when there was last activity in the service (either explicit requests to start it or clients binding to it)
See http://developer.andro…unningServiceInfo.html http://developer.android.com/reference/android/app/ActivityManager.RunningServiceInfo.html 
com.android.bluetooth (com.android.bluetooth.hid.HidService)
  Active since: 32 s
  Last activity: 32 s
  Crash count:0
com.estrongs.android.pop (com.android.apps.pros.LocalMService)
  Active since: 43 s
  Last activity: 43 s
  Crash count:0
com.alibaba.aliexpresshd (anetwork.channel.aidl.NetworkService)
  Active since: 1 m 34 s
  Last activity: 1 m 34 s
  Crash count:0
org.mokee.profiles (org.cyanogenmod.profiles.ProfilesTrustAgent)
  Active since: 4 m 59 s
  Last activity: 3 m 59 s
  Crash count:0
com.qualcomm.telephony (com.qualcomm.fastdormancy.FastDormancyService)
  Active since: 1 m 23 s
  Last activity: 1 m 23 s
  Crash count:0
com.android.phone (org.codeaurora.ims.ImsService)
  Active since: 32 s
  Last activity: 32 s
  Crash count:0
com.alibaba.aliexpresshd:channel (com.alibaba.analytics.AnalyticsService)
  Active since: 1 m 39 s
  Last activity: 1 m 39 s
  Crash count:0
com.alibaba.aliexpresshd (com.alibaba.aliexpresshd.tlog.AccsTlogService)
  Active since: 1 m 37 s
  Last activity: 41 m 1 s
  Crash count:0
system (com.qualcomm.location.LocationService)
  Active since: 44 s
  Last activity: 1 m 23 s
  Crash count:0
com.actionlauncher.playstore (com.actionlauncher.unreadcountlib.phone.SmsExtension)
  Active since: 41 s
  Last activity: 41 s
  Crash count:0
com.google.android.gms.persistent (com.google.android.gms.deviceconnection.service.DeviceConnectionWatcherService)
  Active since: 1 m 17 s
  Last activity: 1 m 17 s
  Crash count:0
com.gsamlabs.bbm.pro (com.gsamlabs.bbm.lib.NotifyingService)
  Active since: 1 m 35 s
  Last activity: 10 m 41 s
  Crash count:0
com.android.systemui (com.android.systemui.keyguard.KeyguardService)
  Active since: 30 s
  Last activity: 32 s
  Crash count:0
com.google.android.gms (com.google.android.gms.measurement.service.MeasurementBrokerService)
  Active since: 40 s
  Last activity: 12 m 25 s
  Crash count:0
projekt.substratum (projekt.substratum.services.binder.InterfacerBinderService)
  Active since: 1 m 24 s
  Last activity: 1 m 24 s
  Crash count:0
system (com.qualcomm.location.izat.IzatService)
  Active since: 44 s
  Last activity: 1 m 23 s
  Crash count:0
com.alibaba.aliexpresshd (org.android.agoo.accs.AgooService)
  Active since: 1 m 48 s
  Last activity: 28 m 48 s
  Crash count:0
projekt.interfacer (projekt.interfacer.services.JobService)
  Active since: 1 m 24 s
  Last activity: 1 m 25 s
  Crash count:0
com.google.android.gms.persistent (com.google.android.gms.instantapps.service.InstantAppsService)
  Active since: 1 m 33 s
  Last activity: 3 m 16 s
  Crash count:0
com.android.systemui (com.android.systemui.ImageWallpaper)
  Active since: 31 s
  Last activity: 31 s
  Crash count:0
com.google.android.gms.persistent (com.google.android.location.geocode.GeocodeService)
  Active since: 2 m 11 s
  Last activity: 2 m 11 s
  Crash count:0
com.google.android.gms.persistent (com.google.android.gms.thunderbird.OutgoingSmsListenerService)
  Active since: 1 m 21 s
  Last activity: 1 m 21 s
  Crash count:0
.dataservices (com.qualcomm.qti.tetherservice.TetherService)
  Active since: 1 m 23 s
  Last activity: 1 m 23 s
  Crash count:0
com.google.android.gms.persistent (com.google.android.gms.auth.setup.devicesignals.LockScreenService)
  Active since: 1 m 16 s
  Last activity: 1 m 16 s
  Crash count:0
com.google.android.gms.persistent (com.google.android.gms.gcm.GcmService)
  Active since: 1 m 18 s
  Last activity: 11 m 47 s
  Crash count:0
com.actionlauncher.playstore (com.actionlauncher.notificationlistener.NotificationService)
  Active since: 38 s
  Last activity: 39 s
  Crash count:0
system (com.dsi.ant.server.AntService)
  Active since: 1 m 11 s
  Last activity: 1 m 11 s
  Crash count:0
.esfm (com.estrongs.android.scanner.service.FileMonitorService)
  Active since: 53 s
  Last activity: 54 s
  Crash count:0
com.google.android.gms.persistent (com.google.location.nearby.direct.service.NearbyDirectService)
  Active since: 1 m 22 s
  Last activity: 1 m 23 s
  Crash count:0
com.alibaba.aliexpresshd (com.taobao.orange.service.OrangeApiService)
  Active since: 1 m 28 s
  Last activity: 1 m 28 s
  Crash count:0
com.google.android.gms.persistent (com.google.android.gms.chimera.PersistentBoundBrokerService)
  Active since: 3 m 43 s
  Last activity: 40 m 8 s
  Crash count:0
com.google.android.gms.persistent (com.google.android.location.fused.service.FusedProviderService)
  Active since: 2 m 11 s
  Last activity: 2 m 11 s
  Crash count:0
com.google.android.gms (com.google.android.gms.chimera.GmsBoundBrokerService)
  Active since: 7 h 9 m 39 s
  Last activity: 40 m 23 s
  Crash count:0
com.google.android.gms.persistent (com.google.android.gms.usagereporting.service.UsageReportingService)
  Active since: 1 m 18 s
  Last activity: 41 m 13 s
  Crash count:0
com.google.android.gms.persistent (com.google.android.gms.pseudonymous.service.PseudonymousIdService)
  Active since: 2 m
  Last activity: 40 m 16 s
  Crash count:0
com.estrongs.android.pop (com.dianxinos.dxservice.core.DXCoreService)
  Active since: 42 s
  Last activity: 42 s
  Crash count:0
com.alibaba.aliexpresshd:channel (com.taobao.accs.ChannelService)
  Active since: 1 m 27 s
  Last activity: 40 m 9 s
  Crash count:0
com.pittvandewitt.viperfx (com.audlabs.viperfx.service.ViPER4AndroidService)
  Active since: 1 m 5 s
  Last activity: 1 m 5 s
  Crash count:0
com.google.android.gms.persistent (com.google.android.gms.phenotype.service.PhenotypeService)
  Active since: 7 h 9 m 38 s
  Last activity: 41 m 13 s
  Crash count:0
ua.privatbank.ap24 (pb.ua.wallet.service.NfcService)
  Active since: 40 s
  Last activity: 40 s
  Crash count:0
netroken.android.persistalternate (netroken.android.persistlib.presentation.common.floatingvolume.FloatingVolumeService)
  Active since: 44 s
  Last activity: 44 s
  Crash count:0
com.google.android.ext.services (android.ext.services.notification.Ranker)
  Active since: 28 s
  Last activity: 37 s
  Crash count:0
com.android.bluetooth (com.android.bluetooth.pbap.BluetoothPbapService)
  Active since: 32 s
  Last activity: 32 s
  Crash count:0
com.estrongs.android.pop (com.estrongs.android.scanner.service.FileScannerService)
  Active since: 42 s
  Last activity: 54 s
  Crash count:0
com.google.android.gms (com.google.android.gms.update.SystemUpdateService)
  Active since: 1 m 22 s
  Last activity: 11 m 47 s
  Crash count:0
com.google.android.gms.persistent (com.google.android.location.fused.FusedLocationService)
  Active since: 2 m 11 s
  Last activity: 2 m 11 s
  Crash count:0
com.mokee.aegis (com.mokee.aegis.service.ManageHibernateService)
  Active since: 1 m 20 s
  Last activity: 1 m 20 s
  Crash count:0
com.grarak.kerneladiutor (com.grarak.kerneladiutor.services.monitor.Monitor)
  Active since: 1 m 8 s
  Last activity: 5 m 39 s
  Crash count:0
com.actionlauncher.playstore (com.actionlauncher.unreadcountlib.UnreadCountService)
  Active since: 41 s
  Last activity: 40 m 29 s
  Crash count:0
com.android.bluetooth (com.android.bluetooth.a2dp.A2dpService)
  Active since: 30 s
  Last activity: 30 s
  Crash count:0
==================
Reference overview
==================
ref_boot: Reference ref_boot created 1 m 59 s  (Wl: 9 elements; KWl: 128elements; NetS: 11 elements; Alrm: 8 elements; Proc: 130 elements; Oth: 12 elements; CPU: 19 elements; Sensors: 4 elements)
ref_custom: Reference ref_custom created 6 m 30 s  (Wl: 21 elements; KWl: 134elements; NetS: 17 elements; Alrm: 17 elements; Proc: 186 elements; Oth: 13 elements; CPU: 20 elements; Sensors: 4 elements)
ref_current: Reference ref_current created 7 h 11 m 18 s  (Wl: 32 elements; KWl: 143elements; NetS: 30 elements; Alrm: 32 elements; Proc: 243 elements; Oth: 14 elements; CPU: 20 elements; Sensors: 4 elements)
------ human readable part end here
*/
Сообщение отредактировал callerid //4pda.ru/forum/index.php?showuser=6384104  - Сегодня, 12:05</t>
  </si>
  <si>
    <t>callerid</t>
  </si>
  <si>
    <t>Попов изобрел радио. Включил его, а слушать нечего. Так и я с картой Monobank. Для тех, кто ещё не знает, это мобайл</t>
  </si>
  <si>
    <t>Alex Volskyi фиксировано</t>
  </si>
  <si>
    <t>Дмитрий Сандуленко</t>
  </si>
  <si>
    <t>Vladislav Gruba</t>
  </si>
  <si>
    <t>Дмитрий Сандуленко с привата фиксировано 5 грн не зависимо от суммы перевода или процент?</t>
  </si>
  <si>
    <t>Alex Volskyi</t>
  </si>
  <si>
    <t>Andrey Korlyuk так с привата фиксировано 5 грн не зависимо от суммы перевода или процент?</t>
  </si>
  <si>
    <t>12:46</t>
  </si>
  <si>
    <t>✈️ Очередная новинка от Agent’s Clothes   Ан-225 «Мрія»
➖➖➖➖➖➖➖➖➖➖➖➖
480 UAH
 Доставка по Украине 25-50грн
 Наложенный платёж
✅ ПриватБанк
☑️ Monobank
➖➖➖➖➖➖➖➖➖➖➖➖
 Самовывоз из магазина NAUshop, г. Киев, проспект Космонавта Комарова 1. 
Главный корпус НАУ
Credit Card, cash, безналичный расчёт ➖➖➖➖➖➖➖➖➖➖➖➖
Заказ в Директ
+38 (063) 990 55 26
#NAUshop #nau #нау #avgeek #aviationlovers #antonov #an225 #plane #aircraft #aviationgeek</t>
  </si>
  <si>
    <t>✈️Aviation Casual Clothes</t>
  </si>
  <si>
    <t>12:45</t>
  </si>
  <si>
    <t>ТруЪ. Крупные фирмы в аренде по карте с надписью Debit откажут и будут правы. Сам попадал на это. А без надписи -  не сталкивался, чтобы хоть когда-то были проблемы, хоть карта по сути дебетовая была. Говорю о Европе в разнообразных местах и странах.</t>
  </si>
  <si>
    <t>Тони Старк</t>
  </si>
  <si>
    <t>✈️World’s biggest aircraft. У нас новые футболочки «Мрія»
➖➖➖➖➖➖➖➖➖➖➖➖
480 грн
 Доставка по Украине 25-50грн
 Наложенный платёж
✅ ПриватБанк
☑️ Monobank
➖➖➖➖➖➖➖➖➖➖➖➖
 Самовывоз из магазина NAUshop, г. Киев, проспект Космонавта Комарова 1. 
Главный корпус НАУ
Credit Card, cash, безналичный расчёт ➖➖➖➖➖➖➖➖➖➖➖➖
Заказ в Директ
+38 (063) 990 55 26
#NAUshop #nau #нау #avgeek #aviationlovers #antonov #an124 #plane #aircraft #aviationgeek</t>
  </si>
  <si>
    <t>NAUshop</t>
  </si>
  <si>
    <t>Заходив сьогодні подати дещо до ДНАП Миколаївської міськради. Спілкуванням із співробітником місця 13 задоволений</t>
  </si>
  <si>
    <t>Заходив сьогодні подати дещо до ДНАП Миколаївської міськради.
Спілкуванням із співробітником місця 13 задоволений цілком: зовнішній вигляд, професійність, швидкість обробки (прошу Dmitry Lazarev це відмітити).
Лише одне зауваження-пропозиція: всі провідні надавачі послуг обрали новіший сервіс спілкування із замовником ніж дзвінки за телефоном із міського.
Як приклад, навожу Viberчат із Monobank.
Є можливість і особистих повідомлень і публічний чат. Це точно дешевше ніж дзвонити з міського на мобільні.</t>
  </si>
  <si>
    <t>Alex  Zelikov</t>
  </si>
  <si>
    <t>#monobank #mono #qrcat #challenge #googkepay Про можливості. Днями я розраховувалась картою Моно в супермаркеті за</t>
  </si>
  <si>
    <t>Скоро будет!</t>
  </si>
  <si>
    <t>Ирина Пивовар</t>
  </si>
  <si>
    <t>жду эппл пэй как соловей лета</t>
  </si>
  <si>
    <t>Лера Леонова</t>
  </si>
  <si>
    <t>12:31</t>
  </si>
  <si>
    <t>Galandzovskyi Stanislav</t>
  </si>
  <si>
    <t>Круто)</t>
  </si>
  <si>
    <t>Татьяна Михальченко</t>
  </si>
  <si>
    <t>#monobank #card #mastercard #black #app</t>
  </si>
  <si>
    <t>Ура! Присылай денег</t>
  </si>
  <si>
    <t>Denis Gaievskyi</t>
  </si>
  <si>
    <t>Daniik</t>
  </si>
  <si>
    <t>Интересно. Спасибо.</t>
  </si>
  <si>
    <t>Evdokia Shlyakhetko</t>
  </si>
  <si>
    <t>Как бы 50 Грн на земле не валяются  Ксенія Башибулар запрошує вас у monobank! Оформіть картку, перейшовши за</t>
  </si>
  <si>
    <t>Как бы 50 Грн на земле не валяются 
Ксенія Башибулар запрошує вас у monobank! Оформіть картку, перейшовши за персональним посиланням, і ви обидва отримаєте по 50 грн на рахунок кешбека!
f6mq8.app.goo.gl
https://monobank.com.ua/r/stXz</t>
  </si>
  <si>
    <t>Ксения Башибулар</t>
  </si>
  <si>
    <t>Monobank может ответят)</t>
  </si>
  <si>
    <t>Александр Палий</t>
  </si>
  <si>
    <t>12:02</t>
  </si>
  <si>
    <t>да, все верно, у меня спиывается 1к1</t>
  </si>
  <si>
    <t>Eugen Bartko</t>
  </si>
  <si>
    <t>Заробітчани їдуть на батьківщину. Скільки заробила баба Наташа в Італії за 2 місяці
Реєструйся по цій силці і отримаєш 50 грн: https://monobank.com.ua/r/oFd6 Інстаграм: https://www.instagram.com/x6andre/ Канал Віталіка: ...
https://www.youtube.com/attribution_link?a=eU4rg29TxJ4&amp;u=/watch?v=4gi50AfHfyE&amp;feature=share</t>
  </si>
  <si>
    <t>Андрій Дідух</t>
  </si>
  <si>
    <t>11:51</t>
  </si>
  <si>
    <t>Норм :)</t>
  </si>
  <si>
    <t>Виталий Кравчук</t>
  </si>
  <si>
    <t>11:47</t>
  </si>
  <si>
    <t>Pavlo Haychuk</t>
  </si>
  <si>
    <t>11:44</t>
  </si>
  <si>
    <t>Вот жаль, но нет)))</t>
  </si>
  <si>
    <t>11:40</t>
  </si>
  <si>
    <t>А кешбек не начисляют? )</t>
  </si>
  <si>
    <t>Oleksandr Nadtochii</t>
  </si>
  <si>
    <t>Хм) Будем знать, спасибо</t>
  </si>
  <si>
    <t>Сергей Гальчук</t>
  </si>
  <si>
    <t>Тоже авалем сто лет как пользуюсь. 1:1 снимает без конвертации как в привате.</t>
  </si>
  <si>
    <t>Victoria Polovinka</t>
  </si>
  <si>
    <t>Данило приглашает вас в monobank! Оформите карту, перейдя по персональной ссылке, и вы оба получите по 50 грн на счет кешбэка!
https://monobank.com.ua/r/5rHB
monobank – банк без відділень</t>
  </si>
  <si>
    <t>Daniil Serkili</t>
  </si>
  <si>
    <t>Зайшов сьогодні в KredoBank змінити пін-коди, які я забувся на гривневій і доларовій картці. З гривневою ще пів біди -</t>
  </si>
  <si>
    <t>Нема бажання юзати монобанк)</t>
  </si>
  <si>
    <t>Володимир Тернопільський</t>
  </si>
  <si>
    <t>Дмитрий Дубилет как прокомментируете?)</t>
  </si>
  <si>
    <t>Marina Rudenko</t>
  </si>
  <si>
    <t>Украина - Мекка высоких технологий ... печаль печальная   .</t>
  </si>
  <si>
    <t>Sergey  Kovalenko</t>
  </si>
  <si>
    <t>Monobank — первый в Украине мобильный банк без отделений. Чтобы стать клиентом, нужно иметь смартфон на Android или iOS. Большой кэшбэк за оплату картой и лучшая альтернатива Privat24 на сегодняшний день! Следует упомянуть, что МоноБанк работает по лицензии Universal Bank, который в свою очередь уже более 20-и лет работает на рынке Украины.
Хотите иметь карту с большим лимитом кредитных средств, с которых при покупки вы получаете кэшбэк, с маленьким процентом за использование не своих денег, с возможностью получить выгодную рассрочку, пользоваться ею за рубежом, удобные мобильное приложение? Тогда вы попали туда куда нужно!
MonoBank – банк без отделений, кэшбэк и альтернатива Privat24
Monobank - первый в Украине мобильный банк без отделений. Чтобы стать клиентом, нужно иметь смартфон на Android или iOS. Большой кэшбэк за оплату картой и лучшая альтернатива Privat24 на сегодняшний день! Следует упомянуть, что МоноБанк работает по лицензии Universal Bank, который в свою очередь уже более 20-и лет работает на рынке Украины.
https://ibuyonline.ru/monobank-bank-cashback/</t>
  </si>
  <si>
    <t>Михайловский Максим</t>
  </si>
  <si>
    <t>заснуть можно ... хорошая конференция</t>
  </si>
  <si>
    <t>Дмитро, привіт. А Михайло Терещенко присутній є?</t>
  </si>
  <si>
    <t>Казнокрады пришли обсуждать бизнес и экономику)))</t>
  </si>
  <si>
    <t>Artem  Kolesnikov</t>
  </si>
  <si>
    <t>Tatyana  Muzychenko</t>
  </si>
  <si>
    <t>Якщо іменна, тоді так.
Як варіант, можна випустити додаткову неіменну, а коли буде можливість - змінити ПІН до основної. Якщо цей банк таке робить )
А взагалі процедура заміни ПІН-а в них жестяк.
В монобанку, наприклад - це робиться за декілька секунд, через додаток</t>
  </si>
  <si>
    <t>Oleksandr Koshchuk</t>
  </si>
  <si>
    <t>Яр Громов Мне в аккаунт 2000 чистыми зашло, так что получается что все включено</t>
  </si>
  <si>
    <t>Спасибо!</t>
  </si>
  <si>
    <t>Іван Борейчук</t>
  </si>
  <si>
    <t>Олег Піддубний а что с конвертацией ? курс в том числе ?</t>
  </si>
  <si>
    <t>Яр Громов</t>
  </si>
  <si>
    <t>Я специально пару дней выждал чтоб понять. больше не списало денег. Скорее всего так и есть.</t>
  </si>
  <si>
    <t>Аваль тоже не берет</t>
  </si>
  <si>
    <t>Igor Saldyga</t>
  </si>
  <si>
    <t>подпишусь, интересно понимать точно</t>
  </si>
  <si>
    <t>Вполне возможно</t>
  </si>
  <si>
    <t>Обмен карты из-за окончания срока действия в #ПриватБанк для GOLD CLUB клиентов - ожидание VS реальность. ОЖИДАНИЕ:</t>
  </si>
  <si>
    <t>Саша, монобанк) и ноу проблем)</t>
  </si>
  <si>
    <t>Yana Velichkevich</t>
  </si>
  <si>
    <t>Alexander Kuznyak</t>
  </si>
  <si>
    <t>Мне показалось, или с Монобанка  в AdWords не берет комиссию?!))
Если это так, то вот вам полезность</t>
  </si>
  <si>
    <t>Сергей Овчаренко</t>
  </si>
  <si>
    <t>Дима привет из Белой Церкви , переводи если во фр.силен :)</t>
  </si>
  <si>
    <t>Ксения Безсмертная</t>
  </si>
  <si>
    <t>Чего монобанк в бете?</t>
  </si>
  <si>
    <t>Потому что пользуюсь ещё с бета-теста</t>
  </si>
  <si>
    <t>alex</t>
  </si>
  <si>
    <t>Rozetked Chat</t>
  </si>
  <si>
    <t>Kostya Vadis</t>
  </si>
  <si>
    <t>Руслан Стахів</t>
  </si>
  <si>
    <t>Привет</t>
  </si>
  <si>
    <t>Lenka Leskiv</t>
  </si>
  <si>
    <t>Конференция украинского бизнеса с представителями Франции в Украине!
Подяка за стріми Monobank, Dmitriyev Dmitriy Mikhaylovich, 5375 4141 0005 0599.
Подяка за стріми ПриватБанк, Дмитриев Дмитрий Михайлович, 5168 7456 0147 0328.</t>
  </si>
  <si>
    <t>@neonchik40 вот именно!!!</t>
  </si>
  <si>
    <t>Ξ B Γ Ξ Ν И Й</t>
  </si>
  <si>
    <t>Xbox One \ One S \ One X</t>
  </si>
  <si>
    <t>для Украины советую взять  карту монобанка https://monobank.com.ua/r/ujE9 . На этой карте есть кешбек. При покупке игр кешбек получается 10%
Сообщение отредактировал -MaXiK- //4pda.ru/forum/index.php?showuser=378553  - Вчера, 09:35</t>
  </si>
  <si>
    <t>-MaXiK-</t>
  </si>
  <si>
    <t>4PDA &gt; Microsoft</t>
  </si>
  <si>
    <t>Нововведение в МоноБанке, реально пользуюсь уже 3 месяца и чувствую себя лучше чем с приватом и на тебе кэш-бэк  по дв</t>
  </si>
  <si>
    <t>great post</t>
  </si>
  <si>
    <t>WiredKings</t>
  </si>
  <si>
    <t>Anton Protsenko</t>
  </si>
  <si>
    <t>Отримала вчора картку від Monobank, особливо подобається дизайн, в мобільному додатку все просто і прикольно! Наклейки в мене відібрали)))
Є опція - запроси друга, де обидвоє отримають по 50 грн, просто завантажте додаток і замовте картку(а це взагалі легко - скануєш документи з телефона): https://monobank.com.ua/r/VE8Q
Всі "бонусні" гроші інвестую в навчання та книжки! Будь ласка, замовте собі картку!</t>
  </si>
  <si>
    <t>Насыщенный #понедельник: поход в @barbershopgarage_niko, #monobank и #макдональдс</t>
  </si>
  <si>
    <t>Alex Masyura</t>
  </si>
  <si>
    <t>Хочу поделиться тремя приемами по повышению продуктивности в мессенджерах. Авось кому-то будет полезным. 1. Явление,</t>
  </si>
  <si>
    <t>Дима, вы можете помочь связаться с маркетологом ТМ Monobank для коммерческого предложения по проведению Smart Build Forum/UNIT.City? Спасибо!</t>
  </si>
  <si>
    <t>Gleb Zyuzin</t>
  </si>
  <si>
    <t>@neonchik40 а шо такое?</t>
  </si>
  <si>
    <t>FranchTV Скоро! Интервью с основателем Monobank Дмитрием Дубилетом. Таким вы его еще не видели. Подпишись на канал</t>
  </si>
  <si>
    <t>FranchTV
Скоро! Интервью с основателем Monobank Дмитрием Дубилетом. Таким вы его еще не видели. Подпишись на канал FranchTV, чтобы не пропустить интервью:  https://goo.gl/d8eWAc</t>
  </si>
  <si>
    <t>Александр Коренной</t>
  </si>
  <si>
    <t>Кто там говорил о поддержке монобанк в телеграм? Приват обиделся и сделал тоже)</t>
  </si>
  <si>
    <t>Yaroslav Horbach</t>
  </si>
  <si>
    <t>Bauhaus design chat</t>
  </si>
  <si>
    <t>Метрополитен подарил мне поездку. Или Монобанк. В любом случае, спасибо и на том, куплю себе... ничего.</t>
  </si>
  <si>
    <t>Slavko Konoff</t>
  </si>
  <si>
    <t>И ты туда же</t>
  </si>
  <si>
    <t>neonchik40</t>
  </si>
  <si>
    <t>09:45</t>
  </si>
  <si>
    <t>Друзі, прошу долучатися до пасхальної волонтерської поїздки #КиївПлюсДонбас в прифронтову Красногорівку! В дописі нижче</t>
  </si>
  <si>
    <t>Друзі, прошу долучатися до пасхальної волонтерської поїздки #КиївПлюсДонбас в прифронтову Красногорівку!
В дописі нижче є список потреб!
Зібрано вже половину, необхідної для поїздки, суми!
Давайте об'єднувати Україну не словом а ділом! Нехай Бог буде з нами!
Привет, друзья!
По доброй традиции планируем отпраздновать Пасху 2018 со смыслом — едем командой волонтеров 6-9 апреля в Красногоровку (Донецкой области).
Цели поездки:
- Привезти поддержку: как материальную (продукты, дрова, и пр.) так и духовную (ободрить, напомнить про смысл Пасхи)
- Сделать вклад в единство людей из разных регионов Украины.
- Найти способы помочь местным самостоятельно выбираться из серости и депрессии и двигаться дальше (для этого будем встречаться с местными лидерами и брейнштормить).
Приглашаем каждого участвовать:
1) Выбрать что-то из списка http://bit.ly/easterdonbass18f записаться там и принести (до 5 апреля 17-00). Можно принести на Раисы Окипной 8А. Обязательно напишите или наклейте на коробке или пакете номер потребности (напр. 1001).
2) Сброситься финансово и мы докупим то, чего не будет хватать. Сброситься можно на карту Приват 5168 7573 3367 7096 (Стависюк Елена) или мой monobank .
5375 4141 0040 5595 Пожалуйста пишите в личном сообщении или комментарии сумму, чтобы идентифицировать платеж. Финансовый отчет в том же списке.
3)  ⭐Если есть идеи, как еще можно послужить людям в АТО — пишите и участвуйте (например подписать и принести открытки, сделать какой-то мастер-класс, рассказать о возможностях переезда на учебу в Киев и поддерживать их в этом...).
Благословений и отличной недели!
Максим и команда
Екатерина Тимченко (Katya Tymchenko), Влад Гизимчук, Оля Геращенко (Olga Geraschshenko) Дмитрий Канцидайло</t>
  </si>
  <si>
    <t>Dmitriy Pavlov</t>
  </si>
  <si>
    <t>#monobank Нещодавно почав юзати таку штуку як Монобанк. Крутий та зручний банк, є своєрідний кешбек (як у приваті</t>
  </si>
  <si>
    <t>#monobank
Нещодавно почав юзати таку штуку як Монобанк. Крутий та зручний банк, є своєрідний кешбек (як у приваті БонусПлюс) ви отримуєте певний відсоток грошей на ваш рахунок за всі розрахунки карткою. Також якщо перейдете за посиланням і оформите її, то отримаєте 50 грн. Одразу на рахунок!
Плюси:
- Сучасний банк
- Стильна картка
- Не потрібно тусуватися біля відділень, все в тебе в телефоні
- Вигідні тарифи
- Кредитні ліміти до 100 000
- Круті наклейки в комплекті
https://monobank.com.ua/r/qCxC
Переходьте за посиланням та юзайте!</t>
  </si>
  <si>
    <t>Volodymyr Shevchenko</t>
  </si>
  <si>
    <t>Максим, свій банківський стаж я у 97 році у платіжних картках ексіму розпочав. :-)</t>
  </si>
  <si>
    <t>Viktor Guroma</t>
  </si>
  <si>
    <t>Роберто Карлос</t>
  </si>
  <si>
    <t>ВЗАИМНЫЙ|ПИАР-1-☑️</t>
  </si>
  <si>
    <t>Картку свою перевірив</t>
  </si>
  <si>
    <t>Yuriy Kostiv</t>
  </si>
  <si>
    <t>Ася, где на трое монобанк, я не могу на картах найти, по-идио.тски, ничего не находит</t>
  </si>
  <si>
    <t>Кузьменко Владислав</t>
  </si>
  <si>
    <t>Чат Київ</t>
  </si>
  <si>
    <t>Дмитро приглашает вас в monobank! Оформите карту, перейдя по персональной ссылке, и вы оба получите по 50 грн на счет кешбэка!
https://monobank.com.ua/r/ZzTY
monobank – банк без відділень
Ми не несемо витрати на відділення, і тому можемо дати вам найвигідніші умови!</t>
  </si>
  <si>
    <t>Дмитрий Филиппов</t>
  </si>
  <si>
    <t>08:20</t>
  </si>
  <si>
    <t>Цікава позиція замість просто дякую. Вивести комсомол із Привату виявилось простіше ніж із приватівців</t>
  </si>
  <si>
    <t>08:15</t>
  </si>
  <si>
    <t>Как поживает господин Дубилет со своим #Monobank. У него ведь запрет на профессию...))) Английская разведка MI6 в курсе,</t>
  </si>
  <si>
    <t>https://finclub.net/news/vladelets-mikhajlovskogo-polishchuk-ne-smog-ochistit-chest.html
Владелец «Михайловского» Полищук не смог очистить честь - Финансовый клуб
Репутация НБУ оказалась суду дороже, чем репутация Виктора Полищука. Верховный суд 1 марта 2018 года поставил точку в конфликте собственника ...</t>
  </si>
  <si>
    <t>Максим Бужор</t>
  </si>
  <si>
    <t>08:05</t>
  </si>
  <si>
    <t>А що перевіряти? Максим все правильно сказав. Останнього разу брав машину у Італії пів року тому- менеджер з поганою англійською почала вимагати кеш депозит, хоча я зразу замовив full cdw with no excess. Машину дали</t>
  </si>
  <si>
    <t>08:01</t>
  </si>
  <si>
    <t>❕❗❕❗❕❗❕❗❕❗❌❎❌❎❌❎❌❎❌❎Продам карты Ощада, Привата и Монобанка (карта+все что к ней прилагается)
Цена адекватная и качественный сервис. Все карты работают без сбоев т.к. дропы всегда под рукой.✊
Работа через #GARANT приветствуется
✔✅✔✅✔✅✔✅✔✅</t>
  </si>
  <si>
    <t>Pepsi Cola</t>
  </si>
  <si>
    <t>ЛУК:DARKNET</t>
  </si>
  <si>
    <t>07:42</t>
  </si>
  <si>
    <t>Первый промах от Monobank. Оплатил интернет,уже час оплата не доходит,квитанция на почту не оправляется.Поддержка в телеге говорит,что оплата проведена и деньги поступят в течении завтрашнего дня.Когда читаешь извинение их, чувствуешь уже себя виноватым,что потревожил</t>
  </si>
  <si>
    <t>Sergey Grek</t>
  </si>
  <si>
    <t>07:16</t>
  </si>
  <si>
    <t>У цій країні, якщо ти сплачуєш за щось, будь готовий до того, що те, за що видаєш свої гроші, можеш не отримати. І</t>
  </si>
  <si>
    <t>Віталій Литвин О том что посредник в частности портмоне не несёт ответственности. Оплата даже на сайте большинства компаний идёт через платёжный сервис. 1. Можно было платить прямо с ПУМБ (водафон без комиссии). 2 С монобанк ВСЁ без комиссии и Дмитрий Дубилет несёт ответственность за своё детище.</t>
  </si>
  <si>
    <t>Mihail Nik</t>
  </si>
  <si>
    <t>07:01</t>
  </si>
  <si>
    <t>Рекомендую карту monobank, удобно и без комиссии. + кэшбэк.:)</t>
  </si>
  <si>
    <t>06:54</t>
  </si>
  <si>
    <t>Заробітчани їдуть на батьківщину. Скільки заробила баба Наташа в Італії за 2 місяці
Реєструйся по цій силці і отримаєш 50 грн: https://monobank.com.ua/r/oFd6 Інстаграм: https://www.instagram.com/x6andre/ Канал Віталіка: ...
https://www.youtube.com/attribution_link?a=C3vOdF0GYrY&amp;u=/watch?v=4gi50AfHfyE&amp;feature=share</t>
  </si>
  <si>
    <t>Yaroslav  Shkriblyak</t>
  </si>
  <si>
    <t>06:03</t>
  </si>
  <si>
    <t>Дмитрий Друзья, подписчики, рад представить Вам свой YouTube канал Dmitriev TV!!! Сюда я буду сбрасывать интересные</t>
  </si>
  <si>
    <t>Дмитрий
Друзья, подписчики, рад представить Вам свой YouTube канал Dmitriev TV!!!
Сюда я буду сбрасывать интересные видео, которые получилось заснять!
Подписывайтесь!
Чи є в нас розуміння, питання до Леоніда Кравчука...!? Финансовая помощь каналу: Подяка за стріми Monobank, Dmitriyev Dmitriy Mikhaylovich, 5375 4141 0005 ...
https://youtu.be/KSxnfb_IULs</t>
  </si>
  <si>
    <t>05:55</t>
  </si>
  <si>
    <t>Ещё не была, но говорят отлично) ***** ENGLISH VERSION BELOW ***** Мир поразительный. Величественный в своей постоянной</t>
  </si>
  <si>
    <t>Ещё не была, но говорят отлично)
***** ENGLISH VERSION BELOW *****
Мир поразительный. Величественный в своей постоянной динамике, он изменяет живое и неживое. Жизнь восхищает. Она грандиозна многообразием форм, звуков, цветов и смыслов. Мы - удивительные создания, обладающие способностью жить и ощущать движение времени.
Проносясь по дороге жизни из точки А в точку Z на огромной скорости, нам дана уникальная возможность остановиться. Оглядеться. Сделать вдох. Полюбоваться видом за окном. Улыбнуться солнцу. Выйти, и продолжить путь пешком. Или вернуться обратно. Или остаться тут же, влюбившись в окрестности. И еще бесконечное количество вариантов - столько, сколько есть жизней.
Нам доступно чудо жизни.
Бесконечное многообразие мира мы дополняем собой.
Мы и есть чудо.
Друзья, мы объявляем праздник жизни. Карнавал разнообразия, где каждый сможет удивить и удивиться. Мир, в котором можно увидеть собственную улыбку в зеркале счастливых глаз и наполниться силами для новых свершений.
Караван чудес и багаж бесценного опыта, из которого каждый сможет взять себе частичку дальше в путь.
Join us. Let’s do wonder.
Vibronica festival 2018. Wonder Caravan.
12-15 Июля 2018, Киев, open-air.
Следите за новостями, мы будем дополнять информацию с деталями о лайнапе, декоре, перформансах, лекциях и мастер-классах.
******************************************************
БИЛЕТЫ
Оплата на карту Monobank:
5375 4141 0099 0299 (Томина Катерина)
Пополнить можно через терминалы Приватбанка, терминалы IBOX, терминалы ТАСКОМБАНК, касcы Universal Bank, приложение privat24, либо любым другим удобным сервисом перечислений с карты на карту (по типу easypay).
После оплаты - заполняем форму (http://bit.ly/2oGPKzP), вносим информацию об оплате.
В течении 48 часов вы получите ответное письмо с подтверждением об оплате.
Информация о месте проведения будет опубликована ближе к событию.
СТОИМОСТЬ ПОСЕЩЕНИЯ*:
800 UAH - blind early birdie ticket - Март 14 - Март 31
900 UAH - early birdie ticket - Апрель 1 - Апрель 30
1000 UAH - standard ticket - Май 1 - Июль 5
900 UAH - билет "выходного дня" - с Пятницы по Воскресенье при оплате до 8 Июля
1200 UAH - цена на входе на все дни фестиваля
1100 UAH - цена на входе с Пятницы по Воскресенье
1000 UAH - цена на входе с Субботы по Воскресенье
*Дети до 14 лет - бесплатно.
******************************************************
ДЛЯ УЧАСТИЯ
Для участия как театр/танцовщик/фаерщик/и другие виды перформансов  - заполните анкету http://bit.ly/2Fk8QoV
Для участия как музыкальный проект - заполните форму http://bit.ly/2H1NKci
Для проведения мастер/класса или лекции - заполните анкету: http://bit.ly/2oOBX9L
Для волонтерства - заполните анкету http://bit.ly/2FRNvBj
Для участия магазина в ярмарке - заполните анкету https://bit.ly/2utvAyP
******************************************************
ВИДЕО ОТЧЕТЫ ПРОШЛЫХ ЛЕТ:
Vibronica 2014 - https://www.youtube.com/watch?v=JoKryU6KHas
Vibronica 2015 - https://www.youtube.com/watch?v=VWptiM7Z2aA
Vibronica 2016 - https://www.youtube.com/watch?v=Q4tr1sIZK_4
Vibronica 2017 - https://www.youtube.com/watch?v=IkhfPWDcz5U
******************************************************
ИДЕИ, ПРЕДЛОЖЕНИЯ, ПОЖЕЛАНИЯ:
info.vibronica@gmail.com
https://www.facebook.com/vibronicafestival
...let the beat go Om!
******************************************************
***ENGLISH VERSION***
The world is amazing. Magnificent in its constant dynamics, it changes the living and the lifeless. Life is fascinating. It is sublime in the variety of forms, sounds, colors and meanings. We are amazing creatures. We have the ability to live and experience the motion of time.
Rushing along the road of life from point A to point Z at great speed, we are given a unique opportunity to stop. Look around. Take a deep breath. Admire the view outside the window. Smile to the Sun. Exit, and continue on foot. Or go back. Or stay right there, falling in love with the place. We have an infinite number of options - as many as there are lives.
We are given the miracle of life.
We complement the infinite diversity of the world with ourselves.
We are a miracle.
Dear Friends! We announce a celebration of life. Carnival of diversity, where everyone can surprise and be surprised. The place where you can see your smile in the mirror of happy eyes around. A spot that gives you energy for new achievements.
Caravan of wonders and a well of experience, from which everyone can take a sip to go further on the way.
Join us. Let’s do wonder.
Vibronica Festival 2018. Wonder Caravan.
12-15 July  2018, Kyiv, Ukraine, open-air.
Follow the news - the information with details about line-up, decor, performances, lectures and master classes will be announced soon
******************************************************
TICKETS:
You can buy tickets by sending money on a Monobak card:
Bank: Monobank
Card number: 5375 4141 0099 0299
Card holder: Tomina Kateryna
When you are done with it, fill in the form (http://bit.ly/2oGPKzP) and provide the information about the payment. Within 48 hours you will receive a reply letter with confirmation of payment.
Information about the venue location will be published closer to the event.
PRICE*
800 UAH - blind early bird ticket - till March 31
900 UAH - early birdie ticket - April 1 - May 15
1000 UAH - want-to-be-sure birdie ticket - May 16 - July 8
900 UAH - Friday-Sunday weekend ticket fee, available till July 8
1200 UAH - whole party on the gate price
1100 UAH - Friday-Sunday weekend ticket on the gate price
1000 UAH - Saturday-Sunday weekend ticket on the gate price
30 EUR - on the gate for our guests from abroad
*kids under 14 - free entrance.
******************************************************
PARTICIPATION:
Want to perform art? Please follow the link: http://bit.ly/2Fk8QoV
Want to share music? Please, follow the link http://bit.ly/2H1NKci
Want to give a lecture or a workshop? Please follow the link: http://bit.ly/2oOBX9L
Want to volunteer? Please, follow this link: http://bit.ly/2FRNvBj
Want a spot on a flee market? Please, follow the link: https://bit.ly/2utvAyP
******************************************************
VIBRONICA MEMORIES:
Vibronica 2014 - https://www.youtube.com/watch?v=JoKryU6KHas
Vibronica 2015 - https://www.youtube.com/watch?v=VWptiM7Z2aA
Vibronica 2016 - https://www.youtube.com/watch?v=Q4tr1sIZK_4
Vibronica 2017 - https://www.youtube.com/watch?v=IkhfPWDcz5U
******************************************************
QUESTIONS, IDEAS, OFFERS - contact us at:
info.vibronica@gmail.com
https://www.facebook.com/vibronicafestival/
Stay tuned for the updates. Oh yes, there is more to come!
******************************************************
#multicultural_electronics #openair #kyiv #ukraine #vibronica #vibronicafestival #vibronicafestival2018</t>
  </si>
  <si>
    <t>Tatiana  Zheliezniak</t>
  </si>
  <si>
    <t>04:56</t>
  </si>
  <si>
    <t>Люблю зарабатывать деньги! Деньги, нужны чтобы их тратить и получать удовольствия:) С #monobank это интересней! Получить</t>
  </si>
  <si>
    <t>Класс!</t>
  </si>
  <si>
    <t>HackLab ремонт техники Apple</t>
  </si>
  <si>
    <t>03:05</t>
  </si>
  <si>
    <t>nice feeds</t>
  </si>
  <si>
    <t>cosimo wise</t>
  </si>
  <si>
    <t>02:20</t>
  </si>
  <si>
    <t>Дивіться, так, я не йду на компроміси, але маю досвід та певні вміння. Як і наша команда. Якщо хтось бажає співпрацювати</t>
  </si>
  <si>
    <t>Дивіться, так, я не йду на компроміси, але маю досвід та певні вміння. Як і наша команда. Якщо хтось бажає співпрацювати з нами - велкам. Давайте відкинемо поки подобаємося чи не подобаємося. Я готовий зробити перший крок на зустріч (танці з прапорами та інші піар - ходи не пропонувати).
Про те одна умова - працюємо як партнери, під когось лягати, дозволяти на собі піаритися чи нас використовувати ми не дозволимо. Людей з подібними пропозиціями чи діями рахуємо зрадниками чи агентами ворога.
Рулити ми не рвемося. Якщо хтось знає чи вміє більше за нас - хай керує. Але в людини чи в людей мають бути СПРАВЖНІ знання та ДОСВІД, а не тому, що "його знають" чи йому "більше довіряють". Якось так. Можете плюватися, можете ображатися, але інакше ядро суспільства побудоване не буде.
Р.S. Дякую добрій людині за довіру і невеличку пожертву на мою картку. 400 грн., але кожна копійка зараз важлива. Створюємо матеріальну базу, щоб не залежати від волонтерів, виясняємо, скільки невідомих хлопців ще сидить в СІЗО, підтримуємо побратимів на волі. Так, в нас нема красивих фото та постів зі "звітами". Ми працюємо тихо. В усіх сенсах.
Підтримати при бажанні можна сюди, завжди є потреба:
Приват 24: 5168 7427 0092 7662 (UAH)
Monobank: 5375 4141 0142 4975 (UAH)
Питання та звіти: +380983852787 (Телеграм або Вацап).
#s_s_s_c_c ///</t>
  </si>
  <si>
    <t>Алехандро Гагавович</t>
  </si>
  <si>
    <t>02:11</t>
  </si>
  <si>
    <t>Люблю зарабатывать деньги! Деньги, нужны чтобы их тратить и получать удовольствия:) С #monobank это интересней!
Получить карту просто:
 1.Переходим по ссылке,  В ПРОФИЛЕ УКАЗАНА ПРЯМАЯ ССЫЛКА скачиваем приложение, если скачаете приложение не по ссылке подарок 50 грн не получите 2.Фотографируем паспорт и код  3. Забираем карту в отделении. 4.Активируем и сразу получаем 50 грн  #монобанк #кредиткамонобанк #кредитка #кредитукраина #кредит #кешбек #кешбэк #кешбэкнакарту #кешбэкзапокупки #банконлайн #50грнвподарунок #ua #ukr #ukraine #ukrainian #ukrainiangirl #ukraine_recommends #ukraina #neography #instaukraine #instagramanet #instatag #ukrainestyle #ukrainianstyle #ukraine_beauty</t>
  </si>
  <si>
    <t>01:48</t>
  </si>
  <si>
    <t>Кешбек от #монобанк это очень выгодно, так как зарабатываешь в том числе на экономии!  Получить карту просто:
 1.Переходим по ссылке, В ПРОФИЛЕ УКАЗА ПРЯМАЯ ССЫЛКА скачиваем приложение, если скачаете приложение не по ссылке подарок 50 грн не получите 2.Фотографируем паспорт и код  3. Забираем карту в отделении. 4.Активируем и сразу получаем 50 грн#кредиткамонобанк #кредитка #кредитукраина #кредит #кешбек #кешбэк #кешбэкнакарту #кешбэкзапокупки #банконлайн #50грнвподарунок
#ua #ukr #ukraine #ukrainian #ukrainiangirl #ukraine_recommends #ukraina #ukrain #ukrainegirl #ukraine_vsco #ukrainianblog #ukrainian_insta</t>
  </si>
  <si>
    <t>Получить карту просто:
 1.Переходим по ссылке, В ПРОФИЛЕ УКАЗА ПРЯМАЯ ССЫЛКА скачиваем приложение, если скачаете приложение не по ссылке подарок 50 грн не получите 2.Фотографируем паспорт и код  3. Забираем карту в отделении. 4.Активируем и сразу получаем 50 грн  #монобанк #кредиткамонобанк #кредитка #кредитукраина #кредит #кешбек #кешбэк #кешбэкнакарту #кешбэкзапокупки #банконлайн #50грнвподарунок
#ua #ukr #ukraine #ukrainian #ukrainiangirl #ukraine_recommends #ukraina #ukrain #ukrainegirl #ukraine_vsco #ukrainianblog #ukrainian_insta #ukrainiangirls #ukrainki #ukrainianboy #ukraine_blog #ukrainians #ukrainegrams #</t>
  </si>
  <si>
    <t>01:24</t>
  </si>
  <si>
    <t>/forum/index.php?act=findpost&amp;pid=72011267  kadabusha,
Да</t>
  </si>
  <si>
    <t>Спасибо Макс, надо проверить</t>
  </si>
  <si>
    <t>01:12</t>
  </si>
  <si>
    <t>Заработай сам и своему другу!  Получить карту просто:
 1.Переходим по ссылке, В ПРОФИЛЕ УКАЗА ПРЯМАЯ ССЫЛКА скачиваем приложение, если скачаете приложение не по ссылке подарок 50 грн не получите 2.Фотографируем паспорт и код  3. Забираем карту в отделении. 4.Активируем и сразу получаем 50 грн. #монобанк #кредиткамонобанк #кредитка #кредитукраина #кредит #кешбек #кешбэк #кешбэкнакарту #кешбэкзапокупки #банконлайн #50грнвподарунок #apple #final</t>
  </si>
  <si>
    <t>Классная была реклама на Новый год! Круто, что перешла весна! Ждём не менее креативную рекламу от #monobank Считаю, самым продуманным банком идущим в ногу со временем!
Напоминаю, что Получить карту просто:
 1.Переходим по ссылке, В ПРОФИЛЕ УКАЗА ПРЯМАЯ ССЫЛКА скачиваем приложение, если скачаете приложение не по ссылке подарок 50 грн не получите 2.Фотографируем паспорт и код  3. Забираем карту в отделении. 4.Активируем и сразу получаем 50 грн #монобанк #кредиткамонобанк #кредитка #кредитукраина #кредит #кешбек #кешбэк #кешбэкнакарту #кешбэкзапокупки #банконлайн #50грнвподарунок #деньгивсем</t>
  </si>
  <si>
    <t>Captain, розумієш про що пишеш? Який кожен зарегається в Моно і собі поповнить? Той, який забіжить в розливайку пропустити 100 гр, і заодно поповнити тел на 10ку, заплативши 12? Так це вже бізнес, свинорильский. Правильно все роблять.</t>
  </si>
  <si>
    <t>Maxxx</t>
  </si>
  <si>
    <t>Это очень удобно! Регистрируйся и приглашай друзей 1.Переходим по ссылке, В ПРОФИЛЕ УКАЗА ПРЯМАЯ ССЫЛКА скачиваем приложение, если скачаете приложение не по ссылке подарок 50 грн не получите. #монобанк #кредиткамонобанк #кредитка #кредитукраина #кредит #кешбек #кешбэк #кешбэкнакарту #кешбэкзапокупки #банконлайн #50грнвподарунок
https://monobank.com.ua/r/gQpW</t>
  </si>
  <si>
    <t>00:34</t>
  </si>
  <si>
    <t>Первый в Украине mobile-only банк – Monobank – запускает привлечение депозитов.
Об этом сообщил сооснователь Fintech Band, экс-первый заместитель главы национализированного Приватбанка Олег Гороховский на своей Facebook-странице. "Мы с Универсал банком пока согласовали два срочных депозита на 6 и 12 месяцев под 15% годовых. Депозит можно разместить с любой украинской карты. Минимум 1 тыс. грн. Мы возмещаем комиссию за перевод средств на депозит. Проценты начисляются ежемесячно на карту mono.  Отметим, что по состоянию на 12 февраля средние ставки в украинских банках для депозитов в нацвалюте находились на уровне 12,33% на срок от 6 до 12 месяцев и 12,29% на срок от 12 месяцев.
Напомним, что в ноябре прошлого года Fintech Band запустила полноценную версию Monobank.
Мобильный банк разработали в Fintech Band экс-менеджеры национализированного Приватбанка. Он будет представлять собой b2b-платформу по выпуску кредитных карт, которая не принадлежит конкретному банку, но позволяет банкам подключаться на партнерских условиях. Первыми подключиться к ней решили iBox Bank и Universal Bank. #монобанк #кредиткамонобанк #кредитка #кредитукраина #кредит #кешбек #кешбэк #кешбэкнакарту #кешбэкзапокупки #банконлайн #50грнвподарунок
https://monobank.com.ua/r/gQpW #kiev #love #nice #ukraine #деньгивсем</t>
  </si>
  <si>
    <t>00:30</t>
  </si>
  <si>
    <t>Lyubov Fedornyak</t>
  </si>
  <si>
    <t>Хотели бы вести бюджет, но лень его заполнять? Мы решили вам помочь. Бюджет полезен, если есть необходимость вписаться в</t>
  </si>
  <si>
    <t>Дзен-мани вот пару замечаний, буду благодарен, если поправите-реализируете:
1. Неудобный и запутанный процесс подключения пользователя к семейному доступу. В свой аккаунт я зашел через Google, девушка тоже, но тогда ей уже не выйдет подключится поскольку подключение пользователя происходит через логин/пароль с телефона второго пользователя (секюрити!!!). Через гугл аккаунт такой возможности нет, ну и вообще флоу по моему мнению не интуитивный.
2. Для нескольких пользователей множество "Счета" является общим, где id айтема является его же имя. Иначе говоря два пользователя не могут создать два счета "Наличные". Приходится делать костыли в виде юзер_название-счета. Я считаю стоит разделить счета явно и показать это на UI.
3. По той же причине очень неудобные процесс долгов между пользователями одного аккаунта. То есть нужно по сути продублировать операцию долга - сначала с одного счета ты даешь, потом с другого берешь.
4. UI баг - после выставления цветов категорий, у другого пользователя они все равно останутся серыми. Ну и вообще стоит добавить больше иконок - я видел где-то, что очень многие это просили
5. Я считаю стоит расширить возможности меню "Плательщики и получатели" - на данном этапе это просто набор уникальных строк. И вообще почему место платежа берется оттуда?
6. Добавьте пожалуйста возможность синхронизации с Монобанком (monobank.com.ua), его делали те же люди, что Приват Банк. Я думаю вы можете связаться с их директором:
https://www.facebook.com/dubilet
7. С гугл аккаунта можно вытянуть такие вещи как имя, фамилия, аватарку - это бы немного освежило бы приложение. Приятнее же человека видеть, а не название его счета
8. Добавьте пожалуйста на UI точное время транзакции и возможность его выставления таймпикером - я более чем уверен, что такая величина во внутренней реализации существует (как-то же дни отличает)
Дмитрий Дубилет</t>
  </si>
  <si>
    <t>Kostya Bakay</t>
  </si>
  <si>
    <t>Дзен-мани</t>
  </si>
  <si>
    <t>Тарас запрошує вас у monobank! Оформіть картку, перейшовши за персональним посиланням, і ви обидва отримаєте по 50 грн на рахунок кешбека!
https://monobank.com.ua/r/GDhP
monobank – банк без відділень</t>
  </si>
  <si>
    <t>Тарас Драч</t>
  </si>
  <si>
    <t>Получить карту просто:
 https://monobank.com.ua/r/gQpW
 1.Переходим по ссылке, В ПРОФИЛЕ УКАЗА ПРЯМАЯ ССЫЛКА скачиваем приложение, если скачаете приложение не по ссылке подарок 50 грн не получите  #монобанк #кредиткамонобанк #кредитка #кредитукраина #кредит #кешбек #кешбэк #кешбэкнакарту #кешбэкзапокупки #банконлайн #50грнвподарунок
https://monobank.com.ua/r/gQpW</t>
  </si>
  <si>
    <t>У кого еще нет карты МОНОБАНКА и давно хотел ее получить, переходим по ссылке. Лучшие условия только у нас https://goo.gl/3K3urY</t>
  </si>
  <si>
    <t>Катя Белова</t>
  </si>
  <si>
    <t>Макс Афишин</t>
  </si>
  <si>
    <t>Vecherko Georgiy</t>
  </si>
  <si>
    <t>Получить карту просто:
 https://monobank.com.ua/r/gQpW
 1.Переходим по ссылке, В ПРОФИЛЕ УКАЗА ПРЯМАЯ ССЫЛКА скачиваем приложение, если скачаете приложение не по ссылке подарок 50 грн не получите 2.Фотографируем паспорт и код  3. Забираем карту в отделении. 4.Активируем и сразу получаем 50 грн
https://monobank.com.ua/r/gQpW  monobank — первый мобильный банк в Украине. Проект возник в рамках сотрудничества Universal Bank с командой Fintech Band. Мы выпускаем кредитные карты для клиентов, а лучшее мобильное приложение сделает управление финансами максимально удобным. monobank не имеет отделений и работает исключительно на мобильных устройствах.  Мы развиваем кредитование населения Украины и мобильное приложение как удобный инструмент управления кредитной картой. Мы уверены, что наши кредиты наилучшим образом отразятся на покупательной способности граждан. Стимулируя спрос, мы сможем оказать значительную поддержку отраслям экономики, предприятиям малого и среднего бизнеса. И это не иллюзия экономического роста, а реальный способ повысить благосостояние страны.
https://monobank.com.ua/r/gQpW  В удобном мобильном приложении большое количество банковских услуг — бесплатные переводы и коммунальные платежи, удобные и функциональные выписки. А также вас ждет живая служба поддержки в привычных для вас мессенджерах (Viber, Facebook Messenger, Telegram) или по телефону. #монобанк #кредиткамонобанк #кредитка #кредитукраина #кредит #кешбек #кешбэк #кешбэкнакарту #кешбэкзапокупки #банконлайн #50грнвподарунок
https://monobank.com.ua/r/gQpW</t>
  </si>
  <si>
    <t>00:08</t>
  </si>
  <si>
    <t>Скорее всего, уже много кто видел посты про Monobank.
Расскажу и я, почему Монобанк лучше других и чем привлек мое внимание)
Во-первых - нет комиссий. На пополнение карты с любого IBoxa, на перевод средств на другую карту, пополнение моб. счета и оплату комуналки! Комиссия - 0%! Ну где еще вы видели бесплатные переводы?
Во-вторых это кешбек. Возвращается до 20% от покупок с карты! Получайте кешбэк от покупок в виде реальных денег. А не бонусов, которые непонятно, где потратить
В-третьих - удобный функционал. Любые действия со счетом осуществляются в несколько кликов! Экономьте свое время и нервы!
Ну и самое приятное) Получайте лимит до 100 000 грн!
Без интервью с кредитными брокерами и походами в отделения! От Вас будут нужны только код и фото паспорта!
Получите выгодную карту с кредитным лимитом до 100 000 грн - https://goo.gl/3K3urY
monobank – банк без отделений
https://goo.gl/3K3urY</t>
  </si>
  <si>
    <t>Павел Астахов</t>
  </si>
  <si>
    <t>Когда твой баг репорт лайкает сам создатель Монобанка</t>
  </si>
  <si>
    <t>ОБМАН С РАССРОЧКОЙ! #monobank такой #монобанк, все красиво, топы привата @дубилет, но важно не забывать что @тигипко у</t>
  </si>
  <si>
    <t>Да ничего наверное, чуть почвы для размышлений остальным, не более, радужно ооткак начиналось )</t>
  </si>
  <si>
    <t>Vadym Koruz</t>
  </si>
  <si>
    <t>Larysa Ivnova</t>
  </si>
  <si>
    <t>Что скажет на это Дмитрий Дубилет ?</t>
  </si>
  <si>
    <t>Нед Дмитрий</t>
  </si>
  <si>
    <t>Ирина Клименко</t>
  </si>
  <si>
    <t>02.04.2018</t>
  </si>
  <si>
    <t>Андрій Білецький</t>
  </si>
  <si>
    <t>ОБМАН С РАССРОЧКОЙ!
#monobank такой #монобанк, все красиво, топы привата @дубилет, но важно не забывать что @тигипко у руля, аккуратно там с рассрочкой или кредитом, ребята балуются мелким шрифтом на 5 странице договора, но кредит всеравно говорят что мелкий, про за услугу рассрочки берут всего под 20% )</t>
  </si>
  <si>
    <t>Аня Петрова</t>
  </si>
  <si>
    <t>Денис Литвинов</t>
  </si>
  <si>
    <t>23:48</t>
  </si>
  <si>
    <t>Петя Тапочкин</t>
  </si>
  <si>
    <t>Друзья, подписчики, рад представить Вам свой YouTube канал Dmitriev TV!!! Сюда я буду сбрасывать интересные видео,</t>
  </si>
  <si>
    <t>Друзья, подписчики, рад представить Вам свой YouTube канал Dmitriev TV!!!
Сюда я буду сбрасывать интересные видео, которые получилось заснять!
Подписывайтесь!
Чи є в нас розуміння, питання до Леоніда Кравчука...!?
Чи є в нас розуміння, питання до Леоніда Кравчука...!? Финансовая помощь каналу: Подяка за стріми Monobank, Dmitriyev Dmitriy Mikhaylovich, 5375 4141 0005 ...
https://youtu.be/KSxnfb_IULs</t>
  </si>
  <si>
    <t>Рахман Висирхаджиев</t>
  </si>
  <si>
    <t>23:36</t>
  </si>
  <si>
    <t>05.04.2018 14:15</t>
  </si>
  <si>
    <t>Никита Курбашев</t>
  </si>
  <si>
    <t>23:33</t>
  </si>
  <si>
    <t>Максим Шахолов</t>
  </si>
  <si>
    <t>23:32</t>
  </si>
  <si>
    <t>Артем запрошує вас у monobank! Оформіть картку, перейшовши за персональним посиланням, і ви обидва отримаєте по 50 грн на рахунок кешбека!
https://monobank.com.ua/r/vvSU
monobank – банк без відділень</t>
  </si>
  <si>
    <t>Артём Филимончук</t>
  </si>
  <si>
    <t>Интересно, если в инста сторис всегда не меньше 100 просмотров, уже можно банчить рекламой? З.Ы. С монобанком всё и так ок, гоняю на майбахе благодаря этим ребятам</t>
  </si>
  <si>
    <t>Yevgenii Prykhodko</t>
  </si>
  <si>
    <t>Настюшка Дергачёва</t>
  </si>
  <si>
    <t>Mixailakis Lutcsenko приглашает вас в monobank! Оформите карту, перейдя по персональной ссылке, и вы оба получите по 50 грн на счет кешбэка! 
https://monobank.com.ua/r/7n6y</t>
  </si>
  <si>
    <t>Mixailakis Lutcsenko</t>
  </si>
  <si>
    <t>23:26</t>
  </si>
  <si>
    <t>Станіслав запрошує вас у monobank! Оформіть картку, перейшовши за персональним посиланням, і ви обидва отримаєте по 50 грн на рахунок кешбека!
https://monobank.com.ua/r/j5UU
monobank – банк без відділень
Ми не несемо витрати на відділення, і тому можемо дати вам найвигідніші умови!</t>
  </si>
  <si>
    <t>Стас Толмачов</t>
  </si>
  <si>
    <t>тыдыщ https://monobank.com.ua/r/Er3q</t>
  </si>
  <si>
    <t>Artur Pyrogovskyi</t>
  </si>
  <si>
    <t>Интересно, если в места сторис всегда не меньше 100 просмотров, уже можно банчить рекламой? З.Ы. С монобанком всё и так ок, гоняю на майбахе благодаря этим ребятам</t>
  </si>
  <si>
    <t>Оля Чередниченко</t>
  </si>
  <si>
    <t>Mixailakis Lutcsenko приглашает вас в monobank! Оформите карту, перейдя по персональной ссылке, и вы оба получите по 50 грн на счет кешбэка!
https://monobank.com.ua/r/7n6y
monobank – банк без відділень</t>
  </si>
  <si>
    <t>23:19</t>
  </si>
  <si>
    <t>Досить платити за картку! Тепер картка платить вам!  
Оформіть кредитну карту Монобанку. Пільговий період до 62 днів та кешбек до 20%. 
Найвигідніша кредитна карта.  Спробуйте, не пошкодуєте! 
Монобанк - перший в Україні банк без відділень. Від творців Приват24.  https://goo.gl/8jS6Si</t>
  </si>
  <si>
    <t>Mari Mari</t>
  </si>
  <si>
    <t>Mark-Anthony Pacifico</t>
  </si>
  <si>
    <t>23:16</t>
  </si>
  <si>
    <t>Месяц соревнования
с Дмитрий Дубилет, кто больше привлечет клиентов по своей реферальной ссылке подходит к концу.
Напомню, соревноваться с Димой в этом вопросе была чистая авантюра: у него 102’000 читателей и кот, а у меня 31’000.
Он предложил каждому, кто откроет карту по его ссылке, кроме 50 грн., прислать уникальное видео с котом, а я предложил, кроме 50 грн., еще свои 50 грн., итого 100 грн.
Вот почти окончательные результаты 
Итак, по состоянию на 29.03:
У Димы:
Привлечено 60 клиентов и 73 ожидают доставки.
У меня:
Привлечено 185 клиентов и 148 ожидает доставки.
Ну и раз это так важно для привлечения клиентов, я решил сделать свою акцию бессрочной.
Любой, кто откроет карту по моей реферальной ссылке, кроме положенных 50 грн. получит дополнительно 50 грн. лично от меня.
Присоединяйтесь, нас уже больше 155’000!
Вот ссылка:
https://monobank.com.ua/r/Piww</t>
  </si>
  <si>
    <t>Mykola Shylo</t>
  </si>
  <si>
    <t>bbk, Увы но нет.</t>
  </si>
  <si>
    <t>Sanic</t>
  </si>
  <si>
    <t>Макс Протасов</t>
  </si>
  <si>
    <t>23:10</t>
  </si>
  <si>
    <t>Дмитрий Лепшин</t>
  </si>
  <si>
    <t>23:07</t>
  </si>
  <si>
    <t>Marco Ratti</t>
  </si>
  <si>
    <t>f6mq8.app.goo.gl
https://monobank.com.ua/r/29qe</t>
  </si>
  <si>
    <t>Petro  Faberskiy</t>
  </si>
  <si>
    <t>Сообщение от Captain
Якщо кожен мешканець України сам собі буде поповнювати мобільний зі своєї карти Монобанка то
А якщо кожен мешканець України зареєструється в помешканні Captain, то сумарно населення України не зміниться, а комірне можна буде поділити на 40млн..</t>
  </si>
  <si>
    <t>Qwertивый</t>
  </si>
  <si>
    <t>Валерия Красникова</t>
  </si>
  <si>
    <t>Олечка Потапенко</t>
  </si>
  <si>
    <t>Александр Веров</t>
  </si>
  <si>
    <t>Илья Брянский</t>
  </si>
  <si>
    <t>22:56</t>
  </si>
  <si>
    <t>Nikolai Borodai</t>
  </si>
  <si>
    <t>Сообщение от Sanic
только на кловской
А тетки в окошках, которые жетоны продают, они банковские карты не принимают к оплате?</t>
  </si>
  <si>
    <t>bbk</t>
  </si>
  <si>
    <t>Акось Мамербай</t>
  </si>
  <si>
    <t>22:54</t>
  </si>
  <si>
    <t>Руслан Фибичев</t>
  </si>
  <si>
    <t>А якщо ви ще з якоюсь людиною "впустите" банківські неіменні картки, які наприклад всім монобанк видає, то як ви їх розрізняєте? Правильно, за номером. На картках крім номеру ще штрихкод буде. Картку з фото будуть робити для пільгових категорій, для всіх інших за бажанням. Для отримання пільгової картки потрібно звернутись в центр обслуговування пасажирів, принести фото, або посміхнутись в камеру. Картки з фото потрібні щоб уникнути шахрайства. Студенти і учні оформлятимуть картки через свій навчальний заклад.</t>
  </si>
  <si>
    <t>Електронний квиток</t>
  </si>
  <si>
    <t>22:49</t>
  </si>
  <si>
    <t>Ну, что, друзья) Совсем скоро выйдет видео-обзор (краткий) сравнение карт #Monobank и#PrivatBank.</t>
  </si>
  <si>
    <t>Максим [Mr.Shoz]</t>
  </si>
  <si>
    <t>"В любой непонятной ситуации ложись спать!" Кто применял эту народную мудрость на собственном опыте? Помогает??</t>
  </si>
  <si>
    <t>однозначно))) И МоноБанк об этом тоже пишет, как памятку на стикерах))</t>
  </si>
  <si>
    <t>Elenka Lubiana</t>
  </si>
  <si>
    <t>Annyrock Rocking-Chicks</t>
  </si>
  <si>
    <t>Анна Гайдай</t>
  </si>
  <si>
    <t>22:46</t>
  </si>
  <si>
    <t>Валерий Михеев</t>
  </si>
  <si>
    <t>Макс Петров</t>
  </si>
  <si>
    <t>Артемий Лебединцев</t>
  </si>
  <si>
    <t>22:43</t>
  </si>
  <si>
    <t>Лада Лягушкина</t>
  </si>
  <si>
    <t>bbk, На всех станциях поснимали терминалы пополнения, якобы для модернизации, в данный момент только на кловской пополнить можно.</t>
  </si>
  <si>
    <t>22:34</t>
  </si>
  <si>
    <t>Халявні 50 гривень, теж непогано) Скоро Приватбанк канет в небытие) Monobank предоставляет халявные 50 гривен всем, кто</t>
  </si>
  <si>
    <t>Халявні 50 гривень, теж непогано)
Скоро Приватбанк канет в небытие) Monobank предоставляет халявные 50 гривен всем, кто зарегистрируется по ссылке и получит карту с офигенным кешбеком (да-да, 400-500 гривен в месяц можно получать просто рассчитываясь картой). А, ну и мобильный пополняется без комиссии)
Собственно, ссылка: https://goo.gl/1WxnVL</t>
  </si>
  <si>
    <t>Олена Коновалова</t>
  </si>
  <si>
    <t>Сообщение от bbk
банковской картой пополнить количество поездок
На всех станциях киевского метро банковские терминалы убрали.</t>
  </si>
  <si>
    <t>Sergiys</t>
  </si>
  <si>
    <t>Уважаемые фрилансеры! 
Объявляем акцию - встречай весну вместе с monobank и Weblancer. 
Все участники Weblancer, которые откроют карту monobank в период с 01.04.2018 - 31.05.2018 по ссылке https://www.monobank.com.ua/cpa?utm_source=Weblancer&amp;utm_medium=card примут участие в розыгрыше подарков от monobank и Masterсard.</t>
  </si>
  <si>
    <t>Татьяна</t>
  </si>
  <si>
    <t>22:31</t>
  </si>
  <si>
    <t>Прикольна штука, рекомендую) Скоро Приватбанк канет в небытие) Monobank предоставляет халявные 50 гривен всем, кто</t>
  </si>
  <si>
    <t>Прикольна штука, рекомендую)
Скоро Приватбанк канет в небытие) Monobank предоставляет халявные 50 гривен всем, кто зарегистрируется по ссылке и получит карту с офигенным кешбеком (да-да, 400-500 гривен в месяц можно получать просто рассчитываясь картой). А, ну и мобильный пополняется без комиссии)
Собственно, ссылка: https://goo.gl/1WxnVL</t>
  </si>
  <si>
    <t>Ирина Ковальчук</t>
  </si>
  <si>
    <t>Макс Шамсовитов</t>
  </si>
  <si>
    <t>Skiw
Моня - жлоб!!!
Хрен с ним, буду чиркать Тазик и Аллочку - принципиально!
Звание свинорылых надо оправдывать</t>
  </si>
  <si>
    <t>deneg net</t>
  </si>
  <si>
    <t>Анжелика Жлоба</t>
  </si>
  <si>
    <t>Сообщение от x-shader
Да, "подорожі"
А на всех станциях метро можно банковской картой пополнить количество поездок?</t>
  </si>
  <si>
    <t>22:27</t>
  </si>
  <si>
    <t>Кирилл Богрянцев</t>
  </si>
  <si>
    <t>22:26</t>
  </si>
  <si>
    <t>Банк выбирает продукт у платежных систем, в том числе будет он Debit или Credit. На самой карте не обязательно пишется, но на чеке терминала можно увидеть или проверить на спец сайтах. Если НЕ Credit - могут быть проблемы.</t>
  </si>
  <si>
    <t>Скорее всего, уже много кто видел посты про #Monobank.
Расскажу и я, почему Монобанк лучше других и чем привлек мое внимание)
Во-первых - нет комиссий. На пополнение карты с любого IBoxa, на перевод средств на другую карту, пополнение моб. счета и оплату комуналки! Комиссия - 0%! Ну где еще вы видели бесплатные переводы?
Во-вторых это кешбек. Возвращается до 20% от покупок с карты! Получайте кешбэк от покупок в виде реальных денег. А не бонусов, которые непонятно, где потратить
В-третьих - удобный функционал. Любые действия со счетом осуществляются в несколько кликов! Экономьте свое время и нервы!
Ну и самое приятное) Получайте кредит до 100 000 грн!
Без интервью с кредитными брокерами и походами в отделения! От Вас будут нужны только код и фото паспорта!
Получите самую выгодную карту с кредитным лимитом до 100 000 грн - https://goo.gl/3K3urY</t>
  </si>
  <si>
    <t>Екатерина Молчанова</t>
  </si>
  <si>
    <t>22:25</t>
  </si>
  <si>
    <t>Борис Безуглый</t>
  </si>
  <si>
    <t>А я везде без карты брала в аренду)))</t>
  </si>
  <si>
    <t>Nataliia Loban</t>
  </si>
  <si>
    <t>Istare Vasea</t>
  </si>
  <si>
    <t>Віта Куровська</t>
  </si>
  <si>
    <t>Nataliia Loban да кто их знает. Они сами себе правила придумали. Но от банка это точно не зависит.
Я не эксперт в аренде авто.</t>
  </si>
  <si>
    <t>Evgeniy  Annenkov</t>
  </si>
  <si>
    <t>Скоро Приватбанк канет в небытие) Monobank предоставляет халявные 50 гривен всем, кто зарегистрируется по ссылке и</t>
  </si>
  <si>
    <t>Скоро Приватбанк канет в небытие) Monobank предоставляет халявные 50 гривен всем, кто зарегистрируется по ссылке и получит карту с офигенным кешбеком (да-да, 400-500 гривен в месяц можно получать просто рассчитываясь картой). А, ну и мобильный пополняется без комиссии)
Собственно, ссылка: https://goo.gl/1WxnVL</t>
  </si>
  <si>
    <t>Артём Белитский</t>
  </si>
  <si>
    <t>https://forum.finance.ua/viewtopic.php?p=4338471#p4338471    mihasik написав:
 https://forum.finance.ua/viewtopic.php?p=4338427#p4338427    deneg net написав: https://forum.finance.ua/viewtopic.php?p=4338424#p4338424    Skiw написав:Третий месяц забираю с обоих карт по 500 кб. Одну в прошлом месяце срезали, вторую в этом срезали:(
Так теперь обе обрезанные или обрезание только на один месяц?
По 1%, это шО много
Т.к. для меня в апреле доп.категорий  больше 9% нет, а обувь и одежда уже раньше затарены, то да - много</t>
  </si>
  <si>
    <t>22:21</t>
  </si>
  <si>
    <t>Ага. Даже, когда по сути карта дебетовая, но нет надписи, то можно?</t>
  </si>
  <si>
    <t>Nataliia Loban для арендной площадки была важна надпись.</t>
  </si>
  <si>
    <t>22:19</t>
  </si>
  <si>
    <t>Главное надпись на карте или содержание?</t>
  </si>
  <si>
    <t>https://forum.finance.ua/viewtopic.php?p=4338427#p4338427    deneg net написав:
 https://forum.finance.ua/viewtopic.php?p=4338424#p4338424    Skiw написав:Третий месяц забираю с обоих карт по 500 кб. Одну в прошлом месяце срезали, вторую в этом срезали:(
Так теперь обе обрезанные или обрезание только на один месяц?
Обе</t>
  </si>
  <si>
    <t>Петро Янусь</t>
  </si>
  <si>
    <t>#monobank
Я вже перейшла..а ти?)
Оформляй карту , перейшовши за посиланням у профілі і ти отримаєш 50 грн на рахунок кешбеку  #monobank #mono #монобанк #переходи #стильно #банк #отлично #чернаякарта #деньги #заработай #заработок #подпишись #первыйбанк #monobanks #моно #качай</t>
  </si>
  <si>
    <t>Nataliia Loban так это стандартная практика. Знакомая специально заказывала все возможные карты банка-бегемота, потому что непонятно было какая будет не debet. Ей израильтяне сказали, что машину дадут только если не debet.</t>
  </si>
  <si>
    <t>Лариса Гарасимчук</t>
  </si>
  <si>
    <t>Я хочу взять у тебя интервью. Личное, откровенное, про секс.
Интервью с сексологом – еще то приключение!
Это путь в себя и к себе, к партнеру, к вашему новому развороту в отношениях.
Буду:
- задавать неудобные вопросы;
- рассказывать полезные фишки;
- расспрашивать тебя о тебе и отвечать на твои вопросы;
- давать техники для налаживания коммуникации между партнерами по сексу и по жизни.
Не буду:
- учить позам для замужества;
- говорить о том, как сделать хорошо ему и забыть о себе;
- обучать сексуальным техникам.
Это интервью о всех сторонах секса: до, во время и после. Фрирайтинг и его анализ – лучшие инструменты для этого.
Как:
1. Каждое утро я буду задавать вопрос в секретной группе.
Ответ на него лучше всего давать письменно. Себе. Со мной или группой можно поделиться эмоциями, ощущением. настроением, открытием. А можно не делиться.
2. 3-4 раза в неделю в группе появляется видео на важные темы. В т.ч. ответы на вопросы участниц.
3. За эти 3 недели у тебя будет возможность узнать еще больше о себе, о сексе, о партнере. Без домашек никуда :)
4. Если ты будешь делиться своими мыслями, у меня будет возможность задавать тебе дополнительные вопросы. Он помогают раскрыть себя глубже.
5. Минимум 3 прямых эфира позволят задать все интересующие вопросы и получить на них ответы.
В этот раз будет 2 формата:
"ОДНА, НО ВМЕСТЕ".
21 день работы по теме сексуальности
17 вопросов (4 выходных дня)
Мои комментарии
Домашние задания
Моя постоянная поддержка и помощь
Изменение в направлении движения в зависимости от звучания общего пространства и появившихся вопросов
Возможность задать все свои вопросы и получить на них ответы
Доступ ко всем видео в группе
Дополнительные индивидуальные вопросы при условии постоянной обратной связи
10% скидки на мой онлайн-курс для женщин (анонс весной)
̶̶̶П̶̶̶о̶̶̶с̶̶̶т̶̶̶о̶̶̶я̶̶̶н̶̶̶н̶̶̶а̶̶̶я̶̶̶ ̶̶̶̶о̶̶̶б̶̶̶р̶̶̶а̶̶̶т̶̶̶н̶̶̶а̶̶̶я̶̶̶ ̶̶̶с̶̶̶в̶̶̶я̶̶̶з̶̶̶ь̶̶̶ ̶̶̶(̶̶̶в̶̶̶ ̶̶̶л̶̶̶и̶̶̶ч̶̶̶н̶̶̶ы̶̶̶х̶̶̶ ̶̶̶с̶̶̶о̶̶̶о̶̶̶б̶̶̶щ̶̶̶е̶̶̶н̶̶̶и̶̶̶я̶̶̶х̶̶̶)̶̶̶
̶̶̶+̶̶̶ ̶̶̶3̶ ̶̶̶л̶̶̶и̶̶̶ч̶̶̶н̶̶̶ы̶̶̶е̶̶̶ ̶̶̶ч̶̶̶а̶̶̶с̶̶̶о̶̶̶в̶̶̶ы̶̶̶е̶̶̶ ̶̶̶к̶̶̶о̶̶̶н̶̶̶с̶̶̶у̶̶̶л̶̶̶ь̶̶̶т̶̶̶а̶̶̶ц̶̶̶и̶̶̶и̶̶̶ ̶̶̶(̶̶̶o̶̶̶n̶̶̶l̶̶̶i̶̶̶n̶̶̶e̶̶̶)̶̶̶ ̶̶̶з̶̶̶а̶̶̶ ̶̶̶в̶̶̶р̶̶̶е̶̶̶м̶̶̶я̶̶̶ ̶̶̶н̶̶̶а̶̶̶ш̶̶̶е̶̶̶й̶̶̶ ̶̶̶р̶̶̶а̶̶̶б̶̶̶о̶̶̶т̶̶̶ы̶̶̶
̶̶̶Д̶̶̶о̶̶̶п̶̶̶о̶̶̶л̶̶̶н̶̶̶и̶̶̶т̶̶̶е̶̶̶л̶̶̶ь̶̶̶н̶̶̶ы̶̶̶е̶̶̶ ̶̶̶в̶̶̶о̶̶̶п̶̶̶р̶̶̶о̶̶̶с̶̶̶ы̶̶̶ ̶̶̶н̶̶̶а̶̶̶ ̶̶̶с̶̶̶а̶̶̶м̶̶̶о̶̶̶с̶̶̶т̶̶̶о̶̶̶я̶̶̶т̶̶̶е̶̶̶л̶̶̶ь̶̶̶н̶̶̶у̶̶̶ю̶̶̶ ̶̶̶п̶̶̶р̶̶̶о̶̶̶р̶̶̶а̶̶̶б̶̶̶о̶̶̶т̶̶̶к̶̶̶у̶̶̶ ̶̶̶п̶̶̶о̶̶̶ ̶̶̶о̶̶̶к̶̶̶о̶̶̶н̶̶̶ч̶̶̶а̶̶̶н̶̶̶и̶̶̶ю̶̶̶ ̶̶̶р̶̶̶а̶̶̶б̶̶̶о̶̶̶т̶̶̶ы̶̶̶
̶̶̶М̶̶̶о̶̶̶и̶̶̶ ̶̶̶р̶̶̶е̶̶̶к̶̶̶о̶̶̶м̶̶̶е̶̶̶н̶̶̶д̶̶̶а̶̶̶ц̶̶̶и̶̶̶и̶̶̶ ̶̶̶к̶̶̶а̶̶̶к̶̶̶ ̶̶̶п̶̶̶с̶̶̶и̶̶̶х̶̶̶о̶̶̶л̶̶̶о̶̶̶г̶̶̶а̶̶̶-̶̶̶с̶̶̶е̶̶̶к̶̶̶с̶̶̶о̶̶̶л̶̶̶о̶̶̶г̶̶̶а̶̶̶
̶̶̶1̶̶̶0̶̶̶%̶̶̶ ̶̶̶с̶̶̶к̶̶̶и̶̶̶д̶̶̶к̶̶̶и̶̶̶ ̶̶̶н̶̶̶а̶̶̶ ̶̶̶с̶̶̶л̶̶̶е̶̶̶д̶̶̶у̶̶̶ю̶̶̶щ̶̶̶и̶̶̶е̶̶̶ ̶̶̶М̶̶̶а̶̶̶р̶̶̶а̶̶̶ф̶̶̶о̶̶̶н̶̶̶ы̶̶̶ ̶̶̶п̶̶̶о̶̶̶ ̶̶̶и̶̶̶н̶̶̶д̶̶̶и̶̶̶в̶̶̶и̶̶̶д̶̶̶у̶̶̶а̶̶̶л̶̶̶ь̶̶̶н̶̶̶о̶̶̶м̶̶̶у̶̶̶ ̶̶̶ф̶̶̶р̶̶̶и̶̶̶р̶̶̶а̶̶̶й̶̶̶т̶̶̶и̶̶̶н̶̶̶г̶̶̶у̶̶̶ ̶̶̶̶
В общей группе ты сможешь идти сама в сообществе единомыщленниц. Стоимость такого формата: 850 грн (1700 руб или 32 дол).
или
ИНДИВИДУАЛЬНАЯ РАБОТА с акцентом на решение именно твоей задачи с разных сторон по индивидуальному графику. При этом мы общаемся в отдельной группе.
21 день индивидуальной работы на тему марафона и всего, что будет ее касаться в данный период твоей жизни.
Есть выходные от вопросов или нет - выбор только за тобой
Предварительная консультация-знакомство (1 час)
Составление индивидуального личного вопроса ежедневно (учитываю потребности и задачи, с которыми определимся в самом начале)
Постоянная обратная связь
Возможность задать все свои вопросы и получить на них ответы
+ 2 личные часовые консультации (online) за время нашей работы
Работа в пределах апреля.
Доступ ко всем видео в общей группе
Дополнительные вопросы на самостоятельную проработку по окончанию работы
Мои рекомендации как психолога-сексолога
10% скидки на мой онлайн-курс для женщин (анонс весной)
10% скидки на следующие Марафоны по индивидуальному фрирайтингу.
Стоимость такого формата - 3500 грн (7000 руб или 132 дол.)
Оплата для участниц из Украины возможна на карту Приватбанка или monobank (грн/дол).
Для девушек из России доступны Яндекс.Деньги / карта Тинькофф банка (для оплаты в рублях).
Для оплаты из других стран в долларах - liqpay или любой другой удобный вариант.
Хочешь лучше узнать себя и партнера? Хотелось бы прояснить что-то в теме секса? Или внести в отношения новизну?
Регистрируйся на этот горячий марафон просто написав мне "хочу + формат".</t>
  </si>
  <si>
    <t>Илона Грабенко</t>
  </si>
  <si>
    <t>22:12</t>
  </si>
  <si>
    <t>Как поживает господин Дубилет со своим #Monobank.
У него ведь запрет на профессию...)))
Английская разведка MI6 в курсе, что этот персонаж вещает, что будет создавать банк в Англии?)))
Мелеш запретили 10 лет возглавлять банки - Финансовый клуб
Директор департамента финансового мониторинга Нацбанка Игорь Береза сообщил, что глава ТАСкомбанка Екатерина Мелеш была уволена по требованию НБУ. ...
https://finclub.net/news/melesh-zapretili-10-let-vozglavlyat-banki.html</t>
  </si>
  <si>
    <t>Jennifer Dnepr</t>
  </si>
  <si>
    <t>Читаю, что авто на прокат с картой не возмешь</t>
  </si>
  <si>
    <t>Что случилось?</t>
  </si>
  <si>
    <t>Яна Яночка</t>
  </si>
  <si>
    <t>Елена Хоружая</t>
  </si>
  <si>
    <t>Власса Тефтелькина</t>
  </si>
  <si>
    <t>Евгений Анненков</t>
  </si>
  <si>
    <t>Александр Измайлов</t>
  </si>
  <si>
    <t>Ринат Беркесов</t>
  </si>
  <si>
    <t>Екатерина Зибель</t>
  </si>
  <si>
    <t>ФРОНТ #36
"Великоднє перемир'я". Є чи немає? Чи стане Валентин Манько головою держслужби у справах ветеранів? Навіщо прикордонникам здався російський курсант? 
Гість програми капелан Костянтин Холодов. Поговоримо про віру та війну. 
Правда про війну. Без цензури. Програму ФРОНТ готують люди, які дійсно знають що відбувається на Донбасі – журналіст і офіцер запасу, які пройшли війну. 
Збираємо актуальні новини з фронту, аналізуємо ситуацію у війську та згадуємо дні, коли все почалося. Щопонеділка о 20:00 у прямому ефірі на каналі UMN.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переказів: +380963302229
Підпишись на нас у соціальних мережах:
Facebook: https://www.facebook.com/UkrMediaNetwork
Twitter: https://twitter.com/UkrMediaNetwork
Telegram: https://t.me/SkrypinUA
Слухай подкасти в iTunes:
UMN  ➡️ https://goo.gl/LUUodu
skrypin.ua ➡️ https://goo.gl/mvGUgk
Danylo Yanevsky  ➡️ https://goo.gl/1QTWGU
Skype для дзвінків у студію: hello@skrypin.ua / Етер Ether
www.umn.com.ua</t>
  </si>
  <si>
    <t>Саша Титов</t>
  </si>
  <si>
    <t>Александра Молчанова</t>
  </si>
  <si>
    <t>Владіслав Зінзівер</t>
  </si>
  <si>
    <t>Мы рады объявить о старте совместной акции «monовесна» с monobank!
Для участия в акции необходимо лишь оформить карту monobank. Вы гарантировано становитесь участником розыгрыша полезных призов от monobank.
Подробнее — https://freelancehunt.com/promo/monospring</t>
  </si>
  <si>
    <t>mihasik написав:
 https://forum.finance.ua/viewtopic.php?p=4338427#p4338427    deneg net написав: https://forum.finance.ua/viewtopic.php?p=4338424#p4338424    Skiw написав:Третий месяц забираю с обоих карт по 500 кб. Одну в прошлом месяце срезали, вторую в этом срезали:(
Так теперь обе обрезанные или обрезание только на один месяц?
По 1%, это шО много
Книги - нет.. продукты - да  Смотря с чем сравнивать...</t>
  </si>
  <si>
    <t>Максим Павлов</t>
  </si>
  <si>
    <t>https://forum.finance.ua/viewtopic.php?p=4338427#p4338427    deneg net написав:
 https://forum.finance.ua/viewtopic.php?p=4338424#p4338424    Skiw написав:Третий месяц забираю с обоих карт по 500 кб. Одну в прошлом месяце срезали, вторую в этом срезали:(
Так теперь обе обрезанные или обрезание только на один месяц?
По 1%, это шО много</t>
  </si>
  <si>
    <t>Мирося Гончеренко</t>
  </si>
  <si>
    <t>Я хочу взять у тебя интервью. Личное, откровенное, про секс.
Интервью с сексологом – еще то приключение!
Это путь в себя, к партнеру, к вашему новому развороту в отношениях.
Буду:
- задавать неудобные вопросы;
- рассказывать полезные фишки;
- расспрашивать тебя о тебе и отвечать на твои вопросы;
- давать техники для налаживания коммуникации между партнерами по сексу и по жизни.
Не буду:
- учить позам для замужества;
- говорить о том, как сделать хорошо ему и забыть о себе;
- обучать сексуальным техникам.
Это интервью о всех сторонах секса: до, во время и после. Фрирайтинг и его анализ – лучшие инструменты для этого.
Хочешь лучше узнать себя и партнера? Внести в ваши отношения новизну и снять напряжение с неудобных тем?
Записывайся на апрельский онлайн-марафон по фрирайтингу с сексологом. Подробности в мероприятии.
Старт 10 апреля. Регистрация открыта. Оставь "+" в комментах или пиши мне "хочу+ формат".
Нескучного вечера!
Я хочу взять у тебя интервью. Личное, откровенное, про секс.
Интервью с сексологом – еще то приключение!
Это путь в себя и к себе, к партнеру, к вашему новому развороту в отношениях.
Буду:
- задавать неудобные вопросы;
- рассказывать полезные фишки;
- расспрашивать тебя о тебе и отвечать на твои вопросы;
- давать техники для налаживания коммуникации между партнерами по сексу и по жизни.
Не буду:
- учить позам для замужества;
- говорить о том, как сделать хорошо ему и забыть о себе;
- обучать сексуальным техникам.
Это интервью о всех сторонах секса: до, во время и после. Фрирайтинг и его анализ – лучшие инструменты для этого.
Как:
1. Каждое утро я буду задавать вопрос в секретной группе.
Ответ на него лучше всего давать письменно. Себе. Со мной или группой можно поделиться эмоциями, ощущением. настроением, открытием. А можно не делиться.
2. 3-4 раза в неделю в группе появляется видео на важные темы. В т.ч. ответы на вопросы участниц.
3. За эти 3 недели у тебя будет возможность узнать еще больше о себе, о сексе, о партнере. Без домашек никуда :)
4. Если ты будешь делиться своими мыслями, у меня будет возможность задавать тебе дополнительные вопросы. Он помогают раскрыть себя глубже.
5. Минимум 3 прямых эфира позволят задать все интересующие вопросы и получить на них ответы.
В этот раз будет 2 формата:
"ОДНА, НО ВМЕСТЕ".
21 день работы по теме сексуальности
17 вопросов (4 выходных дня)
Мои комментарии
Домашние задания
Моя постоянная поддержка и помощь
Изменение в направлении движения в зависимости от звучания общего пространства и появившихся вопросов
Возможность задать все свои вопросы и получить на них ответы
Доступ ко всем видео в группе
Дополнительные индивидуальные вопросы при условии постоянной обратной связи
10% скидки на мой онлайн-курс для женщин (анонс весной)
̶̶̶П̶̶̶о̶̶̶с̶̶̶т̶̶̶о̶̶̶я̶̶̶н̶̶̶н̶̶̶а̶̶̶я̶̶̶ ̶̶̶̶о̶̶̶б̶̶̶р̶̶̶а̶̶̶т̶̶̶н̶̶̶а̶̶̶я̶̶̶ ̶̶̶с̶̶̶в̶̶̶я̶̶̶з̶̶̶ь̶̶̶ ̶̶̶(̶̶̶в̶̶̶ ̶̶̶л̶̶̶и̶̶̶ч̶̶̶н̶̶̶ы̶̶̶х̶̶̶ ̶̶̶с̶̶̶о̶̶̶о̶̶̶б̶̶̶щ̶̶̶е̶̶̶н̶̶̶и̶̶̶я̶̶̶х̶̶̶)̶̶̶
̶̶̶+̶̶̶ ̶̶̶3̶ ̶̶̶л̶̶̶и̶̶̶ч̶̶̶н̶̶̶ы̶̶̶е̶̶̶ ̶̶̶ч̶̶̶а̶̶̶с̶̶̶о̶̶̶в̶̶̶ы̶̶̶е̶̶̶ ̶̶̶к̶̶̶о̶̶̶н̶̶̶с̶̶̶у̶̶̶л̶̶̶ь̶̶̶т̶̶̶а̶̶̶ц̶̶̶и̶̶̶и̶̶̶ ̶̶̶(̶̶̶o̶̶̶n̶̶̶l̶̶̶i̶̶̶n̶̶̶e̶̶̶)̶̶̶ ̶̶̶з̶̶̶а̶̶̶ ̶̶̶в̶̶̶р̶̶̶е̶̶̶м̶̶̶я̶̶̶ ̶̶̶н̶̶̶а̶̶̶ш̶̶̶е̶̶̶й̶̶̶ ̶̶̶р̶̶̶а̶̶̶б̶̶̶о̶̶̶т̶̶̶ы̶̶̶
̶̶̶Д̶̶̶о̶̶̶п̶̶̶о̶̶̶л̶̶̶н̶̶̶и̶̶̶т̶̶̶е̶̶̶л̶̶̶ь̶̶̶н̶̶̶ы̶̶̶е̶̶̶ ̶̶̶в̶̶̶о̶̶̶п̶̶̶р̶̶̶о̶̶̶с̶̶̶ы̶̶̶ ̶̶̶н̶̶̶а̶̶̶ ̶̶̶с̶̶̶а̶̶̶м̶̶̶о̶̶̶с̶̶̶т̶̶̶о̶̶̶я̶̶̶т̶̶̶е̶̶̶л̶̶̶ь̶̶̶н̶̶̶у̶̶̶ю̶̶̶ ̶̶̶п̶̶̶р̶̶̶о̶̶̶р̶̶̶а̶̶̶б̶̶̶о̶̶̶т̶̶̶к̶̶̶у̶̶̶ ̶̶̶п̶̶̶о̶̶̶ ̶̶̶о̶̶̶к̶̶̶о̶̶̶н̶̶̶ч̶̶̶а̶̶̶н̶̶̶и̶̶̶ю̶̶̶ ̶̶̶р̶̶̶а̶̶̶б̶̶̶о̶̶̶т̶̶̶ы̶̶̶
̶̶̶М̶̶̶о̶̶̶и̶̶̶ ̶̶̶р̶̶̶е̶̶̶к̶̶̶о̶̶̶м̶̶̶е̶̶̶н̶̶̶д̶̶̶а̶̶̶ц̶̶̶и̶̶̶и̶̶̶ ̶̶̶к̶̶̶а̶̶̶к̶̶̶ ̶̶̶п̶̶̶с̶̶̶и̶̶̶х̶̶̶о̶̶̶л̶̶̶о̶̶̶г̶̶̶а̶̶̶-̶̶̶с̶̶̶е̶̶̶к̶̶̶с̶̶̶о̶̶̶л̶̶̶о̶̶̶г̶̶̶а̶̶̶
̶̶̶1̶̶̶0̶̶̶%̶̶̶ ̶̶̶с̶̶̶к̶̶̶и̶̶̶д̶̶̶к̶̶̶и̶̶̶ ̶̶̶н̶̶̶а̶̶̶ ̶̶̶с̶̶̶л̶̶̶е̶̶̶д̶̶̶у̶̶̶ю̶̶̶щ̶̶̶и̶̶̶е̶̶̶ ̶̶̶М̶̶̶а̶̶̶р̶̶̶а̶̶̶ф̶̶̶о̶̶̶н̶̶̶ы̶̶̶ ̶̶̶п̶̶̶о̶̶̶ ̶̶̶и̶̶̶н̶̶̶д̶̶̶и̶̶̶в̶̶̶и̶̶̶д̶̶̶у̶̶̶а̶̶̶л̶̶̶ь̶̶̶н̶̶̶о̶̶̶м̶̶̶у̶̶̶ ̶̶̶ф̶̶̶р̶̶̶и̶̶̶р̶̶̶а̶̶̶й̶̶̶т̶̶̶и̶̶̶н̶̶̶г̶̶̶у̶̶̶ ̶̶̶̶
В общей группе ты сможешь идти сама в сообществе единомыщленниц. Стоимость такого формата: 850 грн (1700 руб или 32 дол).
или
ИНДИВИДУАЛЬНАЯ РАБОТА с акцентом на решение именно твоей задачи с разных сторон по индивидуальному графику. При этом мы общаемся в отдельной группе.
21 день индивидуальной работы на тему марафона и всего, что будет ее касаться в данный период твоей жизни.
Есть выходные от вопросов или нет - выбор только за тобой
Предварительная консультация-знакомство (1 час)
Составление индивидуального личного вопроса ежедневно (учитываю потребности и задачи, с которыми определимся в самом начале)
Постоянная обратная связь
Возможность задать все свои вопросы и получить на них ответы
+ 2 личные часовые консультации (online) за время нашей работы
Работа в пределах апреля.
Доступ ко всем видео в общей группе
Дополнительные вопросы на самостоятельную проработку по окончанию работы
Мои рекомендации как психолога-сексолога
10% скидки на мой онлайн-курс для женщин (анонс весной)
10% скидки на следующие Марафоны по индивидуальному фрирайтингу.
Стоимость такого формата - 3500 грн (7000 руб или 132 дол.)
Оплата для участниц из Украины возможна на карту Приватбанка или monobank (грн/дол).
Для девушек из России доступны Яндекс.Деньги / карта Тинькофф банка (для оплаты в рублях).
Для оплаты из других стран в долларах - liqpay или любой другой удобный вариант.
Хочешь лучше узнать себя и партнера? Хотелось бы прояснить что-то в теме секса? Или внести в отношения новизну?
Регистрируйся на этот горячий марафон просто написав мне "хочу + формат".</t>
  </si>
  <si>
    <t>Kristina Korzh</t>
  </si>
  <si>
    <t>Пиарим свои мероприятия СВОБОДНО! На пользу людям!</t>
  </si>
  <si>
    <t>Максим Невинных</t>
  </si>
  <si>
    <t>Оксана Гончарова</t>
  </si>
  <si>
    <t>Сообщение от bbk
Сейчас есть категория "путешествия", в нее метро входит?
Да, "подорожі". 20 коп - налог наливают</t>
  </si>
  <si>
    <t>x-shader</t>
  </si>
  <si>
    <t>Евгения Чонгукова</t>
  </si>
  <si>
    <t>Аман Жаман</t>
  </si>
  <si>
    <t>Вика Погромская</t>
  </si>
  <si>
    <t>Сообщение от alex_b
появились мобильные свинорылы - на точке со смарта тел пополнять по 5-10-20 грн с комисом в пару грн
Якщо кожен мешканець України сам собі буде поповнювати мобільний зі своєї карти Монобанка то і 20 поповнень вистачить. Але сумарно кількість поповнень не зменшиться для Монобанка. Отже, і "навантаження" теж саме буде. Так нащо тоді робить обмеження? Здається Монобанк хвилює недоотриманий прибуток а не стільки перевантаження мережі і таке інше.
А хвилювання за недоотриманий прибуток - це хто ще свинорил? Якщо було б невигідно Монобанку взагалі то навіть одне поповнення було б з комісією.</t>
  </si>
  <si>
    <t>Captain</t>
  </si>
  <si>
    <t>Роман Прокопьев</t>
  </si>
  <si>
    <t>Стася Поплавская</t>
  </si>
  <si>
    <t>Виктор Кучеренко</t>
  </si>
  <si>
    <t>Стою на кассе и тру кошельком терминал, paypass ловлю, с пятой (обычно с первой) попытки понял, что оставил карту дома #monobank vasyA получи карту и получи 50 шекелей, прям по этой ссылке  https://monobank.com.ua/r/jFYt</t>
  </si>
  <si>
    <t>Arsen</t>
  </si>
  <si>
    <t>Стою на кассе и тру кошельком терминал, paypass ловлю, с пятой (обычно с первой) попытки понял, что оставил карту дома</t>
  </si>
  <si>
    <t>Стою на кассе и тру кошельком терминал, paypass ловлю, с пятой (обычно с первой) попытки понял, что оставил карту дома #monobank vasyA получи карту и получи 50 шекелей, прям по этой ссылке 
f6mq8.app.goo.gl
https://monobank.com.ua/r/jFYt</t>
  </si>
  <si>
    <t>Arsen Chernykh</t>
  </si>
  <si>
    <t>Це стало можливо завдяки наполегливій праці Юлії Тимошенко та партії «Батьківщина»! Google зняли рекламу у київському</t>
  </si>
  <si>
    <t>Это Монобанк, Ощад и  Приват  мелькает?</t>
  </si>
  <si>
    <t>Ольга Денисюк</t>
  </si>
  <si>
    <t>Сергей Дидковский</t>
  </si>
  <si>
    <t>(megan @ Apr 1 2018, 20:50)  index.php?act=findpost&amp;pid=6218284 
хех, практически всех, кто сказал в группе (монобанк бета) про странное деление людей по процентам кешбека монябанковцы повыкидывали из группы.. )))
группу все больше причесывают под "тут мы все активно хвалим нас замечательных".. )))
От говнари.</t>
  </si>
  <si>
    <t>Huwk</t>
  </si>
  <si>
    <t>forum.0day.kiev.ua</t>
  </si>
  <si>
    <t>Главная - forum.0day.kiev.ua &gt; Флейм</t>
  </si>
  <si>
    <t>菊 时</t>
  </si>
  <si>
    <t>Взяточник Корупционер</t>
  </si>
  <si>
    <t>Александр Александров</t>
  </si>
  <si>
    <t>sauvignon написав:
Пользуясь моментом: на Karabas.com при покупке билетов платёж идёт в категории "Путешествия".
Вообщем литорея... я в феврале покупал билеты - были развлечения</t>
  </si>
  <si>
    <t>Женя Франк</t>
  </si>
  <si>
    <t>Алексей Васильчук</t>
  </si>
  <si>
    <t>Получите выгодную карту с кредитным лимитом до 100 000 грн!
monobank – банк без отделений
Мы не несем расходы на отделения, и поэтому можем дать вам самые выгодные условия!
https://goo.gl/3K3urY</t>
  </si>
  <si>
    <t>Станислав Волк</t>
  </si>
  <si>
    <t>Марина Шарифуллина</t>
  </si>
  <si>
    <t>Алия Кайынбай</t>
  </si>
  <si>
    <t>Обслуговування в українських банках (гарне і погане) - Універсал (Universal Bank)</t>
  </si>
  <si>
    <t>https://forum.finance.ua/viewtopic.php?p=4338189#p4338189    Stringer написав:
 https://forum.finance.ua/viewtopic.php?p=4336586#p4336586    IMPRINTER написав:господа так что всё кешбек точно?
можно класть карту на полку?
да, кешбек с апреля отменён, карты после срока дейсвтвия изымаются, кредитная программа универсала аннулируется, теперь в универсале только моня кредитует на карты
Депозит - универсал, кредит - монобанк,но свидетельство фонда общее на двоих</t>
  </si>
  <si>
    <t>Sergei Sergeef</t>
  </si>
  <si>
    <t>(QNX @ Apr 2 2018, 19:33)  index.php?act=findpost&amp;pid=6218865 
а кешбек например по одежде в модной касте рабоатет или нет? )
Должен,кажись малая у меня покупала и проходило по категории одежда</t>
  </si>
  <si>
    <t>TaPaKaH4er</t>
  </si>
  <si>
    <t>Ася Миравщенко</t>
  </si>
  <si>
    <t>Девочки, приглашаю на жаркие 3 недели. Я всё еще не обещаю запредельных сексуальных техник, поз для замужества и</t>
  </si>
  <si>
    <t>Девочки, приглашаю на жаркие 3 недели.
Я всё еще не обещаю запредельных сексуальных техник, поз для замужества и быстрого решения всех вопросов.
Могу обещать мою включенность, поддержку и ответы на все ваши вопросы.
Каждый раз как в первый класс. Трепетно, по-живому, эмоционально и горячо.
Впервые не с 4-го числа. Необычно, зато практично. Поймала дни без долгих выходных.
Кто со мной?
Я хочу взять у тебя интервью. Личное, откровенное, про секс.
Интервью с сексологом – еще то приключение!
Это путь в себя и к себе, к партнеру, к вашему новому развороту в отношениях.
Буду:
- задавать неудобные вопросы;
- рассказывать полезные фишки;
- расспрашивать тебя о тебе и отвечать на твои вопросы;
- давать техники для налаживания коммуникации между партнерами по сексу и по жизни.
Не буду:
- учить позам для замужества;
- говорить о том, как сделать хорошо ему и забыть о себе;
- обучать сексуальным техникам.
Это интервью о всех сторонах секса: до, во время и после. Фрирайтинг и его анализ – лучшие инструменты для этого.
Как:
1. Каждое утро я буду задавать вопрос в секретной группе.
Ответ на него лучше всего давать письменно. Себе. Со мной или группой можно поделиться эмоциями, ощущением. настроением, открытием. А можно не делиться.
2. 3-4 раза в неделю в группе появляется видео на важные темы. В т.ч. ответы на вопросы участниц.
3. За эти 3 недели у тебя будет возможность узнать еще больше о себе, о сексе, о партнере. Без домашек никуда :)
4. Если ты будешь делиться своими мыслями, у меня будет возможность задавать тебе дополнительные вопросы. Он помогают раскрыть себя глубже.
5. Минимум 3 прямых эфира позволят задать все интересующие вопросы и получить на них ответы.
В этот раз будет 2 формата:
"ОДНА, НО ВМЕСТЕ".
21 день работы по теме сексуальности
17 вопросов (4 выходных дня)
Мои комментарии
Домашние задания
Моя постоянная поддержка и помощь
Изменение в направлении движения в зависимости от звучания общего пространства и появившихся вопросов
Возможность задать все свои вопросы и получить на них ответы
Доступ ко всем видео в группе
Дополнительные индивидуальные вопросы при условии постоянной обратной связи
10% скидки на мой онлайн-курс для женщин (анонс весной)
̶̶̶П̶̶̶о̶̶̶с̶̶̶т̶̶̶о̶̶̶я̶̶̶н̶̶̶н̶̶̶а̶̶̶я̶̶̶ ̶̶̶̶о̶̶̶б̶̶̶р̶̶̶а̶̶̶т̶̶̶н̶̶̶а̶̶̶я̶̶̶ ̶̶̶с̶̶̶в̶̶̶я̶̶̶з̶̶̶ь̶̶̶ ̶̶̶(̶̶̶в̶̶̶ ̶̶̶л̶̶̶и̶̶̶ч̶̶̶н̶̶̶ы̶̶̶х̶̶̶ ̶̶̶с̶̶̶о̶̶̶о̶̶̶б̶̶̶щ̶̶̶е̶̶̶н̶̶̶и̶̶̶я̶̶̶х̶̶̶)̶̶̶
̶̶̶+̶̶̶ ̶̶̶3̶ ̶̶̶л̶̶̶и̶̶̶ч̶̶̶н̶̶̶ы̶̶̶е̶̶̶ ̶̶̶ч̶̶̶а̶̶̶с̶̶̶о̶̶̶в̶̶̶ы̶̶̶е̶̶̶ ̶̶̶к̶̶̶о̶̶̶н̶̶̶с̶̶̶у̶̶̶л̶̶̶ь̶̶̶т̶̶̶а̶̶̶ц̶̶̶и̶̶̶и̶̶̶ ̶̶̶(̶̶̶o̶̶̶n̶̶̶l̶̶̶i̶̶̶n̶̶̶e̶̶̶)̶̶̶ ̶̶̶з̶̶̶а̶̶̶ ̶̶̶в̶̶̶р̶̶̶е̶̶̶м̶̶̶я̶̶̶ ̶̶̶н̶̶̶а̶̶̶ш̶̶̶е̶̶̶й̶̶̶ ̶̶̶р̶̶̶а̶̶̶б̶̶̶о̶̶̶т̶̶̶ы̶̶̶
̶̶̶Д̶̶̶о̶̶̶п̶̶̶о̶̶̶л̶̶̶н̶̶̶и̶̶̶т̶̶̶е̶̶̶л̶̶̶ь̶̶̶н̶̶̶ы̶̶̶е̶̶̶ ̶̶̶в̶̶̶о̶̶̶п̶̶̶р̶̶̶о̶̶̶с̶̶̶ы̶̶̶ ̶̶̶н̶̶̶а̶̶̶ ̶̶̶с̶̶̶а̶̶̶м̶̶̶о̶̶̶с̶̶̶т̶̶̶о̶̶̶я̶̶̶т̶̶̶е̶̶̶л̶̶̶ь̶̶̶н̶̶̶у̶̶̶ю̶̶̶ ̶̶̶п̶̶̶р̶̶̶о̶̶̶р̶̶̶а̶̶̶б̶̶̶о̶̶̶т̶̶̶к̶̶̶у̶̶̶ ̶̶̶п̶̶̶о̶̶̶ ̶̶̶о̶̶̶к̶̶̶о̶̶̶н̶̶̶ч̶̶̶а̶̶̶н̶̶̶и̶̶̶ю̶̶̶ ̶̶̶р̶̶̶а̶̶̶б̶̶̶о̶̶̶т̶̶̶ы̶̶̶
̶̶̶М̶̶̶о̶̶̶и̶̶̶ ̶̶̶р̶̶̶е̶̶̶к̶̶̶о̶̶̶м̶̶̶е̶̶̶н̶̶̶д̶̶̶а̶̶̶ц̶̶̶и̶̶̶и̶̶̶ ̶̶̶к̶̶̶а̶̶̶к̶̶̶ ̶̶̶п̶̶̶с̶̶̶и̶̶̶х̶̶̶о̶̶̶л̶̶̶о̶̶̶г̶̶̶а̶̶̶-̶̶̶с̶̶̶е̶̶̶к̶̶̶с̶̶̶о̶̶̶л̶̶̶о̶̶̶г̶̶̶а̶̶̶
̶̶̶1̶̶̶0̶̶̶%̶̶̶ ̶̶̶с̶̶̶к̶̶̶и̶̶̶д̶̶̶к̶̶̶и̶̶̶ ̶̶̶н̶̶̶а̶̶̶ ̶̶̶с̶̶̶л̶̶̶е̶̶̶д̶̶̶у̶̶̶ю̶̶̶щ̶̶̶и̶̶̶е̶̶̶ ̶̶̶М̶̶̶а̶̶̶р̶̶̶а̶̶̶ф̶̶̶о̶̶̶н̶̶̶ы̶̶̶ ̶̶̶п̶̶̶о̶̶̶ ̶̶̶и̶̶̶н̶̶̶д̶̶̶и̶̶̶в̶̶̶и̶̶̶д̶̶̶у̶̶̶а̶̶̶л̶̶̶ь̶̶̶н̶̶̶о̶̶̶м̶̶̶у̶̶̶ ̶̶̶ф̶̶̶р̶̶̶и̶̶̶р̶̶̶а̶̶̶й̶̶̶т̶̶̶и̶̶̶н̶̶̶г̶̶̶у̶̶̶ ̶̶̶̶
В общей группе ты сможешь идти сама в сообществе единомыщленниц. Стоимость такого формата: 850 грн (1700 руб или 32 дол).
или
ИНДИВИДУАЛЬНАЯ РАБОТА с акцентом на решение именно твоей задачи с разных сторон по индивидуальному графику. При этом мы общаемся в отдельной группе.
21 день индивидуальной работы на тему марафона и всего, что будет ее касаться в данный период твоей жизни.
Есть выходные от вопросов или нет - выбор только за тобой
Предварительная консультация-знакомство (1 час)
Составление индивидуального личного вопроса ежедневно (учитываю потребности и задачи, с которыми определимся в самом начале)
Постоянная обратная связь
Возможность задать все свои вопросы и получить на них ответы
+ 2 личные часовые консультации (online) за время нашей работы
Работа в пределах апреля.
Доступ ко всем видео в общей группе
Дополнительные вопросы на самостоятельную проработку по окончанию работы
Мои рекомендации как психолога-сексолога
10% скидки на мой онлайн-курс для женщин (анонс весной)
10% скидки на следующие Марафоны по индивидуальному фрирайтингу.
Стоимость такого формата - 3500 грн (7000 руб или 132 дол.)
Оплата для участниц из Украины возможна на карту Приватбанка или monobank (грн/дол).
Для девушек из России доступны Яндекс.Деньги / карта Тинькофф банка (для оплаты в рублях).
Для оплаты из других стран в долларах - liqpay или любой другой удобный вариант.
Хочешь лучше узнать себя и партнера? Хотелось бы прояснить что-то в теме секса? Или внести в отношения новизну?
Регистрируйся на этот горячий марафон просто написав мне "хочу + формат".</t>
  </si>
  <si>
    <t>Приглашает вас в monobank! Оформите карту, перейдя по персональной ссылке, и вы оба получите по 50 грн на счет.
https://monobank.com.ua/r/5fkP</t>
  </si>
  <si>
    <t>Владислав Мальцев</t>
  </si>
  <si>
    <t>GLOOMER, есть свинорылы атб но походу еще появились мобильные свинорылы - на точке со смарта тел пополнять по 5-10-20 грн с комисом в пару грн.</t>
  </si>
  <si>
    <t>alex_b</t>
  </si>
  <si>
    <t>Света Корчина</t>
  </si>
  <si>
    <t>20:50</t>
  </si>
  <si>
    <t>Artur Bambula</t>
  </si>
  <si>
    <t>Марфуша Пукалова</t>
  </si>
  <si>
    <t>Звернення Надії Савченко до українців — читайте тут: Провал Майдана, отставка Порошенко и тотальная коррупция: Савченко</t>
  </si>
  <si>
    <t>Забирай карту с лучшими условиями в Украине!
✔ Без платы за выпуск и обслуживание
✔ Бесплатная доставка
✔ Кэшбэк до 20%
✔ Льготный период до 62 дней
 Весь банк в твоем мобильном
 получии 50 грн на счет кешбэка!
https://monobank.com.ua/r/htBr</t>
  </si>
  <si>
    <t>Алексей Троян</t>
  </si>
  <si>
    <t>NEWSONE TV</t>
  </si>
  <si>
    <t>Марина Одушкина</t>
  </si>
  <si>
    <t>Жанат Идрисов</t>
  </si>
  <si>
    <t>20:46</t>
  </si>
  <si>
    <t>Валерия Лебедева</t>
  </si>
  <si>
    <t>https://forum.finance.ua/viewtopic.php?p=4338424#p4338424    Skiw написав:
Третий месяц забираю с обоих карт по 500 кб. Одну в прошлом месяце срезали, вторую в этом срезали:(
Так теперь обе обрезанные или обрезание только на один месяц?</t>
  </si>
  <si>
    <t>20:44</t>
  </si>
  <si>
    <t>Олександр приглашает вас в monobank! Оформите карту, перейдя по персональной ссылке, и вы оба получите по 50 грн на счет кешбэка!
https://monobank.com.ua/r/3tGy
monobank – банк без відділень
Ми не несемо витрати на відділення, і тому можемо дати вам найвигідніші умови!</t>
  </si>
  <si>
    <t>Саня Зинченко</t>
  </si>
  <si>
    <t>Чего стоит ваша первоапрельская шутка, надеюсь, все-таки когда-то Дисней оценит</t>
  </si>
  <si>
    <t>Alyona Zobnina</t>
  </si>
  <si>
    <t>20:42</t>
  </si>
  <si>
    <t>Майбутнє викликає. Готовий? Vodafone</t>
  </si>
  <si>
    <t>Пополняй мобильный без комиссии!!
Забирай карту с лучшими условиями в Украине!
✔ Без платы за выпуск и обслуживание
✔ Бесплатная доставка
✔ Кэшбэк до 20%
✔ Льготный период до 62 дней
 Весь банк в твоем мобильном
 получии 50 грн на счет кешбэка!
https://monobank.com.ua/r/htBr</t>
  </si>
  <si>
    <t>Vodafone Ukraine</t>
  </si>
  <si>
    <t>Ольга Пакулева</t>
  </si>
  <si>
    <t>Александр Бень</t>
  </si>
  <si>
    <t>Третий месяц забираю с обоих карт по 500 кб. Одну в прошлом месяце срезали, вторую в этом срезали:(</t>
  </si>
  <si>
    <t>У такій корумпованій країні, як Україна, доволі важко визначити, хто правий, а хто винуватий в ситуації, що склалася між</t>
  </si>
  <si>
    <t>УНИАН</t>
  </si>
  <si>
    <t>velvet
Да, я покупал по категориям, да ещё и накешбечил ровно на 500. И грейс закрыл 29-го.
А разве это запрещено?
Например, у Аллочки, я тоже стреляю по категориям. Но, каждый месяц кешбек без обреза. И у Тазика тоже.
Получается, что финансово дисциплинированные клиенты моне не нужны. По ходу им лучше иметь безнадёжные просрочки.
Странные подходы</t>
  </si>
  <si>
    <t>20:33</t>
  </si>
  <si>
    <t>а кешбек например по одежде в модной касте рабоатет или нет? )</t>
  </si>
  <si>
    <t>QNX</t>
  </si>
  <si>
    <t>Олег Ткач</t>
  </si>
  <si>
    <t>20:31</t>
  </si>
  <si>
    <t>Федор Стоков</t>
  </si>
  <si>
    <t>Светлана Воина</t>
  </si>
  <si>
    <t>На месте пользователей монобанка я бы выяснила, что к чему И еще в продолжение предыдущего поста о Monobank, спасибо</t>
  </si>
  <si>
    <t>Олександр Осмоловський вы сейчас к чему это всё вообще? Ещё раз повторю — пополнять моно с социальной карты проблем нет, разве что я был не прав на счёт комиссий в других банках. Однако если нет социальной карты, то снятие наличных превращается в дорогую операцию, +/- нивелирующую пользу кэшбека.</t>
  </si>
  <si>
    <t>Yevgen Lasman</t>
  </si>
  <si>
    <t>Anna Berezetskaya</t>
  </si>
  <si>
    <t>Сейчас есть категория "путешествия", в нее метро входит?</t>
  </si>
  <si>
    <t>20:28</t>
  </si>
  <si>
    <t>f6mq8.app.goo.gl
https://monobank.com.ua/r/fxi5</t>
  </si>
  <si>
    <t>Taras Katinskiy</t>
  </si>
  <si>
    <t>на заметку: заменить утерянную карту Monobank = 30 секунд.</t>
  </si>
  <si>
    <t>Nazar Tkachenko</t>
  </si>
  <si>
    <t>Чому Vodafone обрав новий слоган «The future is exciting. Ready?» та як це пов'язано із запуском 4G, пояснює</t>
  </si>
  <si>
    <t>Пополняй счёт мобильного без комиссии!
Забирай карту с лучшими условиями в Украине!
✔ Без платы за выпуск и обслуживание
✔ Бесплатная доставка
✔ Кэшбэк до 20%
✔ Льготный период до 62 дней
 Весь банк в твоем мобильном
 получии 50 грн на счет кешбэка!
https://monobank.com.ua/r/htBr</t>
  </si>
  <si>
    <t>Читайте в дорозі, у черзі до лікаря, під час обідньої перерви. Читайте зранку, вдень, увечері та навіть вночі під</t>
  </si>
  <si>
    <t>Kyivstar</t>
  </si>
  <si>
    <t>Пользуясь моментом: на Karabas.com при покупке билетов платёж идёт в категории "Путешествия".</t>
  </si>
  <si>
    <t>sauvignon</t>
  </si>
  <si>
    <t>Полюбляєте говорити по телефону про все на світі — говоріть. Полюбляєте знімати й викладати сторіз — викладайте.</t>
  </si>
  <si>
    <t>Все геніальне – просто. У нашому випадку – простіше простого. Із послугою «Мій Київстар» ви можете миттєво поповнювати</t>
  </si>
  <si>
    <t>20:25</t>
  </si>
  <si>
    <t>Замучило безсоння – проведіть ніч із користю. Чому б не навчитись красиво згортати одяг чи не дізнатися 1000 і 1 спосіб</t>
  </si>
  <si>
    <t>Петр Иончиков</t>
  </si>
  <si>
    <t>20:19</t>
  </si>
  <si>
    <t>20:18</t>
  </si>
  <si>
    <t>Дмитрий Незаконне утримання людини за гратами!!!, Severion Dangadze, особиста вказівка-хотелка порошенка, справа</t>
  </si>
  <si>
    <t>Дмитрий
Незаконне утримання людини за гратами!!!, Severion Dangadze, особиста вказівка-хотелка порошенка, справа повністю сфальшована!
Вторая часть!
Репост!
Подяка за стріми Monobank, Dmitriyev Dmitriy Mikhaylovich, 5375 4141 0005 0599.
Embassy of Sweden in Kyiv
Royal Norwegian Embassy in Kyiv
Embassy of Switzerland in Ukraine / Посольство Швейцарії в Україні
Embassy of Canada in Ukraine
Embassy of France, Kiev
Embassy of Germany, Kiev
Посольство Японії в Україні / 在ウクライナ日本国大使館 / Embassy of Japan in Ukraine
Embassy of Denmark in Ukraine
U.S. Embassy Kyiv Ukraine
НАБУ
Всеволод Филимоненко
Сергій Лещенко
Голос Америки
Myroslava Gongadze
Bohdan Kutiepov
chastime
British Embassy, Kyiv
The White House
FBI – Federal Bureau of Investigation
The United States Department of Justice
Amnesty International
Amnesty International Ukraine
Justin Trudeau
John McCain
Theresa May
Angela Merkel
Donald J. Trump</t>
  </si>
  <si>
    <t>Александр Невский</t>
  </si>
  <si>
    <t>20:17</t>
  </si>
  <si>
    <t>Машечка Губарева</t>
  </si>
  <si>
    <t>Євген Ласман, простая дебетная карта того же Альфа-Банка стоит 10 грн. в месяц. Через неё же можно выводить некоторое количество наличности. Это, если совсем-совсем нет никакой карты (корме, привет-банка).
Возможно, есть куча других недорогих вариантов у других банков.</t>
  </si>
  <si>
    <t>Олександр Осмоловський</t>
  </si>
  <si>
    <t>20:15</t>
  </si>
  <si>
    <t>Александр Мартиненко</t>
  </si>
  <si>
    <t>Светлана Бондаренко</t>
  </si>
  <si>
    <t>Сергей Смолин</t>
  </si>
  <si>
    <t>Зарина Смирнова</t>
  </si>
  <si>
    <t>Отримайте картку з кредитним лімітом до 100 000 грн! 
Пільговий період до 62 днів та кешбек до 20%. 
Будь-які поповнення і переклади з карти на карту без комісії!
Спробуйте, не пошкодуєте!  https://goo.gl/3K3urY
monobank – банк без отделений
https://goo.gl/3K3urY</t>
  </si>
  <si>
    <t>Александра Давыдова</t>
  </si>
  <si>
    <t>Сообщение от [email protected]
Отримав минулого місяця майже весь кешбек по продуктам, а "краса/медицина" принесла десь 30грн. Між тим, "продукти" залишились, а "краса/медицина" чомусь зникла з варіантів
Краса у всіх зникла. Категорії кешбеку кожен місяць різні.</t>
  </si>
  <si>
    <t>Sankosan</t>
  </si>
  <si>
    <t>20:07</t>
  </si>
  <si>
    <t>Олександр Осмоловський ясно. Но не у всех есть пенсионные и/или зарплатные карты.</t>
  </si>
  <si>
    <t>Хух, на днях выпускаем из беты новую версию monobank “Живоглот”. Пожалуй, эту версию с момента старта мы пилили дольше всего.
Кстати, Живоглот, кто не знает — кот из романов о Гарри Поттере. Следующей будет “Зира” (других кошек на “З” мы не вспомнили). Надеюсь, она выйдет быстрее.
 187
 3</t>
  </si>
  <si>
    <t>Dubilet</t>
  </si>
  <si>
    <t>https://forum.finance.ua/viewtopic.php?p=4338282#p4338282    deneg net написав:
Кому налили, а кому и нет.
У меня почему-то кешбек в этом месяце меньше чем у всех.
Я один такой, или есть ещё с обрезанным кешбеком?
не печальтесь вы не один такой... поддержка мони пишет,что банк в индивидуальном порядке определяет категории и процент по ним для каждого клиента... это вероятно такой заградительный ход против тех, кто рассчитывался их картой только по выбранным категориям и причинил этому банку "супер убытки" и душевные страдания бобовому...</t>
  </si>
  <si>
    <t>velvet</t>
  </si>
  <si>
    <t>Євген Ласман, нет. Я пополняю карты другого банка, а с этих карт пополняю моно.</t>
  </si>
  <si>
    <t>Александр Тимошенко</t>
  </si>
  <si>
    <t>20:04</t>
  </si>
  <si>
    <t>Полина Морозова</t>
  </si>
  <si>
    <t>Ирина Измайлова</t>
  </si>
  <si>
    <t>Олександр Осмоловський вы пробовали в кассе другого банка пополнять моно?</t>
  </si>
  <si>
    <t>Отримав минулого місяця майже весь кешбек по продуктам, а "краса/медицина" принесла десь 30грн. Між тим, "продукти" залишились, а "краса/медицина" чомусь зникла з варіантів</t>
  </si>
  <si>
    <t>[email protected]</t>
  </si>
  <si>
    <t>20:03</t>
  </si>
  <si>
    <t>Привет друзья !!!
Хочу рассказать о самочувствии и настроение Костика. Подходит время к тому, что нужно ехать в Киев на пункцию. Так не хочется, от одной только мысли об этом дрожь по коже. Костик все это тоже прекрасно понимает, через что ему нужно пройти. И этот маленький мальчик, в свои 5 лет различает все виды пункций, 
какую позу нужно принять, каким кремом нужно намазать, чтобы не было так больно. Но хоть Костюшка храбрится, я вижу страх и переживание в его маленьких глазках. Билеты на поезд уже куплены, не хочется, а ехать обязательно нужно 3 апреля нас ждут в больнице.
Во вторник сдавали анализы, Костик эту процедуру проходит с лёгкостью, он не боится проколоть пальчик. А для меня вторник самый страшный день, весь день, как на иголках, пока дождешься результатов анализа. В этот раз показатели немного подскочили и нам назначили принимать 150% химии.
Утром Анечка идёт в школу, Максимка в садик, а у Костика один вопрос, почему мне нельзя в садик с братиком, я тоже хочу. И у меня сердце разрывается объясняя ему, что это все пройдёт, закончится это мучительное лечение. Я рассказываю Косте, как много нас поддерживают людей и помогают, чтобы он мог выздороветь, и вместе с Максимкой и Анечкой ходить в школу.
Спасибо вам больше,за понимание, за поддержку, за материальную помощь. Я верю, что мы вместе с вами насобираем ту огромную и не подъёмную сумму и наш мальчик будет здоров.
monobank: 5375414100658151 
пополнение во всех терминалах приват банка и ibox без комиссии (даже если выводит что с комиссией)
Приват Банка: 5168755111178048
Заиченко Иван Сергеевич
Тел:0953530745
Для переводов из России на карту Сбербанк : 4276380177214827 получатель Бубырь Денис (указывать наименование платежа)</t>
  </si>
  <si>
    <t>elena shalimova</t>
  </si>
  <si>
    <t>Виталина Мармышкина</t>
  </si>
  <si>
    <t>20:02</t>
  </si>
  <si>
    <t>Рома Плеать</t>
  </si>
  <si>
    <t>20:01</t>
  </si>
  <si>
    <t>«Обман и развод»</t>
  </si>
  <si>
    <t>На Минфине достаточно много негативных отзывов по Альфа-банку.
Желательно перед принятие решения хотя-бы по диагонали пролистать раздел отзывы.
Рекомендую присмотреться к Монобанку.
Единственный недостаток Монобанка — небходимость наличия
смартфона с Андроидом версии 4.4 и выше и конечно интернет…</t>
  </si>
  <si>
    <t>Katya  Zenkina</t>
  </si>
  <si>
    <t>Скорее всего, уже много кто видел посты про Monobank.
Расскажу и я, почему Монобанк выгоден и чем привлек мое внимание)
Во-первых - нет комиссий. На пополнение карты с любого IBoxa, на перевод средств на другую карту, пополнение моб. счета и оплату комуналки! Комиссия - 0%! Ну где еще вы видели бесплатные переводы?
Во-вторых это кешбек. Возвращается до 20% от покупок с карты! Получайте кешбэк от покупок в виде реальных денег. А не бонусов, которые непонятно, где потратить
В-третьих - удобный функционал. Любые действия со счетом осуществляются в несколько кликов! Экономьте свое время и нервы!
Ну и самое приятное) Получайте лимит до 100 000 грн!
Без интервью с кредитными брокерами и походами в отделения! От Вас будут нужны только код и фото паспорта!
Получите выгодную карту с кредитным лимитом до 100 000 грн - https://goo.gl/3K3urY
Выберите доставку карты сотрудником банка или заберите ее в ближайшей точке выдачи. Это бесплатно
https://goo.gl/3K3urY</t>
  </si>
  <si>
    <t>Виктория Старостина</t>
  </si>
  <si>
    <t>Саня Бойченко</t>
  </si>
  <si>
    <t>Ваня Патенко</t>
  </si>
  <si>
    <t>19:54</t>
  </si>
  <si>
    <t>Василь Демченко</t>
  </si>
  <si>
    <t>19:52</t>
  </si>
  <si>
    <t>David Vinokur</t>
  </si>
  <si>
    <t>19:51</t>
  </si>
  <si>
    <t>Рома-Оля Пара</t>
  </si>
  <si>
    <t>19:50</t>
  </si>
  <si>
    <t>Вероника Соколова</t>
  </si>
  <si>
    <t>19:49</t>
  </si>
  <si>
    <t>Нiна Онук</t>
  </si>
  <si>
    <t>Alex Nadari</t>
  </si>
  <si>
    <t>19:48</t>
  </si>
  <si>
    <t>Порт Так наоборот должны добавить. Денег и так нет</t>
  </si>
  <si>
    <t>Димас Дидидидди</t>
  </si>
  <si>
    <t>Василиса Теркина</t>
  </si>
  <si>
    <t>19:47</t>
  </si>
  <si>
    <t>Кроме монобанка, кэш-бек платят ещё некоторое количество банков Украины (в том числе Альфа-Банк).
Кроме того, доходами являются проценты, начисляемые на остаток на счету. Кстати, с этих процентов тоже снимается НДФЛ и военный сбор.</t>
  </si>
  <si>
    <t>Асанхан Умирзак</t>
  </si>
  <si>
    <t>Таня Шевчук</t>
  </si>
  <si>
    <t>Євген Ласман, у меня карта монобанка с ноября 2017. За это время я ни разу не пополнял её через iBox. Для пополнения карты монобанка использую пенсионную карту Альфа-Банка и зарплатную карту Райффайзена )))
За пополнение карты монобанка собственными средствами ни один банк Украины (кроме привет-банка) не берёт ни копейки комиссии. Сам монобанк тоже ничего за такие транзакции не берёт.</t>
  </si>
  <si>
    <t>Mi-фани! Беріть участь у нашому конкурсi, та вигравайте крутi призи з екосистеми розумного дому Xiaomi та MIJIA. Нарешті</t>
  </si>
  <si>
    <t>Покупай в Mi с кешбеком!!!
Забирай карту с лучшими условиями в Украине!
✔ Без платы за выпуск и обслуживание
✔ Бесплатная доставка
✔ Кэшбэк до 20%
✔ Льготный период до 62 дней
 Весь банк в твоем мобильном
 получии 50 грн на счет кешбэка!
https://monobank.com.ua/r/htBr</t>
  </si>
  <si>
    <t>Mi Fans Ukraine - Mi Україна</t>
  </si>
  <si>
    <t>Людмила Стронгова</t>
  </si>
  <si>
    <t>Александр Усиченко</t>
  </si>
  <si>
    <t>19:39</t>
  </si>
  <si>
    <t>Yulia Khudyk</t>
  </si>
  <si>
    <t>Зина Костина</t>
  </si>
  <si>
    <t>Илья Данчин</t>
  </si>
  <si>
    <t>Dias Baitugan</t>
  </si>
  <si>
    <t>Аяна Карпушкеева</t>
  </si>
  <si>
    <t>Любовь Польникова</t>
  </si>
  <si>
    <t>Ирина Смулина</t>
  </si>
  <si>
    <t>Ibot Suyunov</t>
  </si>
  <si>
    <t>19:29</t>
  </si>
  <si>
    <t>Merjen Batyrowa</t>
  </si>
  <si>
    <t>Спасибо! Мы стараемся. Думаем, нам ещё будет чем вас удивить</t>
  </si>
  <si>
    <t>19:25</t>
  </si>
  <si>
    <t>Влад Мирный</t>
  </si>
  <si>
    <t>Али Мухаммед</t>
  </si>
  <si>
    <t>19:22</t>
  </si>
  <si>
    <t>Сергей Портнягин</t>
  </si>
  <si>
    <t>Марінка Бледюк</t>
  </si>
  <si>
    <t>19:20</t>
  </si>
  <si>
    <t>Лиза Мокрова</t>
  </si>
  <si>
    <t>Мадияр Сулейменов</t>
  </si>
  <si>
    <t>19:17</t>
  </si>
  <si>
    <t>Хм Olga #тароскопсоломки От і квітень настав! А значить саме час дізнатися про те, яким він буде і запланувати щось</t>
  </si>
  <si>
    <t>Хм
Olga
#тароскопсоломки
От і квітень настав! А значить саме час дізнатися про те, яким він буде і запланувати щось грандіозне ;) Прогноз на цей місяць читайте вже, а на цей тиждень - трохи згодом. http://solomka.kiev.ua/?p=915
Хто хоче подякувати -
рахунок у Приватбанку № 5168 7556 0104 7000
рахунок у Monobank  № 5375 4141 0038 4113
Прогноз на місяць Прогноз на квітень 2018 Прогноз для Украины на апрель Общество. Император. На первый план выходит лидер, который все громче заявляет о себе, берет ...
http://solomka.kiev.ua/?p=915</t>
  </si>
  <si>
    <t>Надежда Ложкина</t>
  </si>
  <si>
    <t>Друзі, нарешті до Сум прийшла весна! Гріє сонечко, тане сніг та наближається Великдень, на якому традиційно збираються</t>
  </si>
  <si>
    <t>Покупай в Мануфактура с кешбеком!!!
Забирай карту с лучшими условиями в Украине!
✔ Без платы за выпуск и обслуживание
✔ Бесплатная доставка
✔ Кэшбэк до 20%
✔ Льготный период до 62 дней
 Весь банк в твоем мобильном
 получии 50 грн на счет кешбэка!
https://monobank.com.ua/r/htBr</t>
  </si>
  <si>
    <t>ТРЦ Мануфактура</t>
  </si>
  <si>
    <t>Як провести вечір неділі разом з родиною? Наприклад, піти до Планети Кіно в Мануфактурі на захоплюючий мультфільм</t>
  </si>
  <si>
    <t>19:12</t>
  </si>
  <si>
    <t>Алёна Перминова</t>
  </si>
  <si>
    <t>19:11</t>
  </si>
  <si>
    <t>ну пожрать на 15т в месяц это понятно, но более 20 раз мобильный пополнить это вообще вне здравого смысла</t>
  </si>
  <si>
    <t>GLOOMER</t>
  </si>
  <si>
    <t>Григорий Мельников</t>
  </si>
  <si>
    <t>19:08</t>
  </si>
  <si>
    <t>19:07</t>
  </si>
  <si>
    <t>Открылся новый банк - monobank! Это новый удобный банк с встроеным кэшбеом на покупку товаров. Так-же в нем возмещают всю комиссию в виде кэшбека. Оформление не займёт больше получаса, лично у меня на оформление ушло 15 минут. Карту можно забрать в любом пункте monobank, все пункты можно посмотреть в мобильном приложении !
В комплекте с карточкой идёт ещё и набор крутых стикеров ! При регистрации по этой ссылке вы получите бонусные 50 грн на счёт кэшбека !
И это всё АБСОЛЮТНО БЕСПЛАТНО !
Всем удачи :3
https://monobank.com.ua/r/G7Lr</t>
  </si>
  <si>
    <t>Leonid Gashev</t>
  </si>
  <si>
    <t>Андрей Клак</t>
  </si>
  <si>
    <t>19:06</t>
  </si>
  <si>
    <t>Евгений Гончаров</t>
  </si>
  <si>
    <t>Максим Юнусов</t>
  </si>
  <si>
    <t>мабуть деякі почали працювати в промислових масштабах</t>
  </si>
  <si>
    <t>19:04</t>
  </si>
  <si>
    <t>Ааа Ббб</t>
  </si>
  <si>
    <t>Василий Турбин</t>
  </si>
  <si>
    <t>Глеб Масейка</t>
  </si>
  <si>
    <t>19:01</t>
  </si>
  <si>
    <t>Оля Ли</t>
  </si>
  <si>
    <t>Алиса Абрамова</t>
  </si>
  <si>
    <t>Гулнур Кабыл</t>
  </si>
  <si>
    <t>18:57</t>
  </si>
  <si>
    <t>Кира Виноградова</t>
  </si>
  <si>
    <t>Kateryna Koretska</t>
  </si>
  <si>
    <t>Отлично)</t>
  </si>
  <si>
    <t>Екатерина Белых</t>
  </si>
  <si>
    <t>18:50</t>
  </si>
  <si>
    <t>Johnny Brown</t>
  </si>
  <si>
    <t>18:49</t>
  </si>
  <si>
    <t>Друзі та читачі журналу! Підходить час весняної експедиції, і я, як і в минулому році змушений звернутися до Вас за</t>
  </si>
  <si>
    <t>Друзі та читачі журналу!
Підходить час весняної експедиції, і я, як і в минулому році змушений звернутися до Вас за допомогою у фінансуванні оной.
На журнал проекту підписано тільки на фейсбуці понад дві тисячі осіб і якщо кожен виділить невелику суму (в минулому році ми прив'язувалися до чашки хорошого заварного кави), ми легко зберемо потрібну суму на здійснення поїздки.
Дякуємо всім, хто відгукнувся, Ваша допомога для проекту обернеться описом і фотографіями нових, ще незвіданих місць нашої казково багатою на спадщину країни!
—————
Друзья и читатели журнала!
Подходит время весенней экспедиции, и я, как и в прошлом году вынужден обратиться к Вам за помощью в финансировании оной.
На журнал проекта подписано только на фейсбуке более двух тысяч человек и если каждый выделит небольшую сумму (в прошлом году мы привязывались к чашке хорошего заварного кофе), мы легко соберем нужную сумму на осуществление поездки.
Спасибо всем откликнувшимся, Ваша помощь для проекта обернется описанием и фотографиями новых, еще неизведанных мест нашей сказочно богатой на наследие страны!
карти для акумуляції коштів/карты для акумуляции средств:
5375 4141 0020 4055 monobank
5363 5426 0205 1337 privatbank
Одержувач Рітус Максим Костянтинович
о весняной експедиції 2018 року тут/о весенней экспедиции 2018 года здесь
https://m-a-d-m-a-x.livejournal.com/480288.html
Весняна експедиція 2018 року (два варіанти)/Весенняя экспедиция 2018 года (два варианта).</t>
  </si>
  <si>
    <t>Проект "Українські Пам'ятки Архітектури. Спадщина"</t>
  </si>
  <si>
    <t>18:47</t>
  </si>
  <si>
    <t>Jennifer Spencer</t>
  </si>
  <si>
    <t>18:46</t>
  </si>
  <si>
    <t>Добрый день!
Как же мне хочется написать вам, что у нас все хорошо, что мы  дома, что все, что мы прошли, уже все позади... Но это не так.
Каждую ночь засыпая и каждое утро просыпаясь,  я спрашиваю себя лишь об одном, что  сегодня я могу сделать, что б мой Костя был здоров? Я молюсь об этом каждый день, прошу Господа, что б он дал мне силы все это пройти, прошу, что б он исцелил моего сыночка, мою надежду, мою радость. Понимаю, что это испытание моей веры, понимаю, что все в его руках, но иногда, когда приходит сознание, что волшебной таблетки не существует, я понимаю, что я боюсь. Всему виной время, которое не стоит на месте.
  Сейчас оно играет против нас...
 Мы каждый день стучимся во все двери, в надежде, что их откроют, что те кто может нам помочь, помогут, что они поймут, что жизнь нашего ребенка это весь мир для нас!!! Мы столько всего прошли и не сдаемся, столько всего ещё впереди, но мы пройдем, мы будем жить. Вернёмся домой, Костя наконец-то узнает, что такое настоящее детство, без закрытой больничной палаты, без капельниц, болючих процедур, он забудет слова: катетор, периферичка, таблетки... Он забудет, что ему все нельзя. Он вернеться и будет гонять на велосипеде  с Максимкой, будет сбивать коленки, будет болеть как все дети обычной простудой, это все будет, мы верим.
 Но сейчас, пока что это все такое далекое... За все эти годы наша семья собрала все силы: физические, моральные, финансовые, чтоб спасти Костю, но в этот раз, нам не обойтись без вас, нам просто не собрать эту сумму своими усилиями. Понимаю, что таких просьб сейчас миллионы, понимаю, что для многих мой сыночек, это всего лишь ещё один ребёнок, которому нужна помощь. Но прошу вас, помогите нам его спасти, подарите надежду, подарите ему жизнь.
monobank: 5375414100658151
пополнение во всех терминалах приват банка и ibox без комиссии (даже если выводит что с комиссией)
Приват Банка: 5168755111178048
Заиченко Иван Сергеевич
Тел:0953530745
Для переводов из России на карту Сбербанк : 4276380177214827 получатель Бубырь Денис (указывать наименование платежа)</t>
  </si>
  <si>
    <t>Катерина Цивковская</t>
  </si>
  <si>
    <t>Влад Власов</t>
  </si>
  <si>
    <t>18:42</t>
  </si>
  <si>
    <t>Сергей Варежкин</t>
  </si>
  <si>
    <t>Оксана Петина</t>
  </si>
  <si>
    <t>Назира Мысаева</t>
  </si>
  <si>
    <t>Сообщение от Captain
Тут важливий сам принцип. Покращення. Потім дивишся і лише одне поповнення мобільного безкоштовно.
Тут згоден. Ну, поки користуємось. Зрозуміло, що чим більше юзерів - тим гірші умови будуть...</t>
  </si>
  <si>
    <t>Lorn</t>
  </si>
  <si>
    <t>Алина Смолина</t>
  </si>
  <si>
    <t>18:37</t>
  </si>
  <si>
    <t>Денис Гребенник</t>
  </si>
  <si>
    <t>18:36</t>
  </si>
  <si>
    <t>f6mq8.app.goo.gl
https://monobank.com.ua/r/7xm3</t>
  </si>
  <si>
    <t>Julia Shabalda</t>
  </si>
  <si>
    <t>monobank – банк без відділень
Ми не несемо витрати на відділення, і тому можемо дати вам найвигідніші умови!
https://monobank.com.ua/r/hxmv</t>
  </si>
  <si>
    <t>Игорь Фонарики</t>
  </si>
  <si>
    <t>Хотите чтобы ваше объявление заметили все участники этого сообщества в своей ленте новостей, плюс новые уникальные</t>
  </si>
  <si>
    <t>Закажи карту и получи 50 гривен на счет.
https://monobank.com.ua/r/GwC4</t>
  </si>
  <si>
    <t>Виталик Таран</t>
  </si>
  <si>
    <t>Реклама групп|Пиар</t>
  </si>
  <si>
    <t>Карина Иванова</t>
  </si>
  <si>
    <t>Fghjjk Fcgvhbjn</t>
  </si>
  <si>
    <t>Виктория Ковальчук</t>
  </si>
  <si>
    <t>Ребзя хапайте халяву, и очень крутая карта, с прикольными плюхами!!!!)
Оформите карту, перейдя по персональной ссылке, и вы оба получите по 50 грн на счет кешбэка!
https://monobank.com.ua/r/fGcM
monobank – банк без відділень</t>
  </si>
  <si>
    <t>Дмитрий Матяшевский</t>
  </si>
  <si>
    <t>Реклама в тиндере запускается через рекламный кабинет фейсбука :) для многих это все еще открытие</t>
  </si>
  <si>
    <t>Yury  Gennadievich, да там монобанк продвигается... почему ж нельзя</t>
  </si>
  <si>
    <t>Nikita Kovalenko</t>
  </si>
  <si>
    <t>18:30</t>
  </si>
  <si>
    <t>Дима Фельцман</t>
  </si>
  <si>
    <t>https://forum.finance.ua/viewtopic.php?p=4338282#p4338282    deneg net написав:
 https://forum.finance.ua/viewtopic.php?p=4337947#p4337947    wig написав:Ну что, налили лимит.
Вот вроде 20% и норм. Но, это ж всего на 100 баксов можно начитаться?
Кому налили, а кому и нет.
У меня почему-то кешбек в этом месяце меньше чем у всех. Вот не пойму, толи в прошлом месяце где-то насвинорылил, толи не нахрюкав.
Я один такой, или есть ещё с обрезанным кешбеком? 
Может ваш аватар на форуме повлиял?</t>
  </si>
  <si>
    <t>Порт</t>
  </si>
  <si>
    <t>Bot Antikick</t>
  </si>
  <si>
    <t>18:28</t>
  </si>
  <si>
    <t>Зашёл в мой любимый магазин DJI (квадрокоптеры) и мне Taras Troiak сделал предложение от которого тяжело отказаться. И</t>
  </si>
  <si>
    <t>Та не вопрос) Берете карту Монобанка или Приватбанка и переводите платеж в рассрочку.</t>
  </si>
  <si>
    <t>Taras Troiak</t>
  </si>
  <si>
    <t>Shynkarenko Denis</t>
  </si>
  <si>
    <t>18:25</t>
  </si>
  <si>
    <t>Владимир Резервин</t>
  </si>
  <si>
    <t>https://monobank.com.ua/r/DJiu Я приглашаю вас в monobank! Оформите карту, перейдя по персональной ссылке, и мы получим</t>
  </si>
  <si>
    <t>Awesome!</t>
  </si>
  <si>
    <t>Luxury Real Estate</t>
  </si>
  <si>
    <t>Алексей</t>
  </si>
  <si>
    <t>18:23</t>
  </si>
  <si>
    <t>18:16</t>
  </si>
  <si>
    <t>Друзі, маємо сказати вам кілька важливих речей. Дійсно важливих. Тому одразу просимо прочитати цей текст повністю.</t>
  </si>
  <si>
    <t>Друзі, маємо сказати вам кілька важливих речей. Дійсно важливих. Тому одразу просимо прочитати цей текст повністю.
Щомісяця кількість наших глядачів зростає, і це дуже круто. Щодня ви пишете коментарі, які читати суперприємно. Щогодини ви ставите лойки, які гріють нам душу (ні, ми не лайкомани, але знову ж таки, приємно бачити й такий фідбек).
Сьогодні в ефірі ми підняли тему, через яку Роман Скрипін не спить ночами – це фінансування skrypin.ua. Колись у 2016-му несподівано з’явився цей проект. Зібралась банда, яка приходить щодня в офіс, і працює-готує-мудрує-ефірить для вас, глядачів. У нас є лише одна мета – створити нове, круте, незалежне медіа, якого в Україні зараз не існує.
Ми маємо сили і бажання, ми готові пробувати більше і не здаватись. Саме це ми робимо, бо навіть уві сні думаємо про ефіри, гостей та де знайти гроші, аби наступного місяця мати де працювати.
Сьогодні Рома на «Кухні» озвучив скільки коштує оренда нашої студії-квартири. Хоч це вже давно не секрет (та й ніколи ним не був), – близько 34 тисяч гривень. І тут треба сказати Вам величезне ДЯКУЄМО! З початку лютого, вперше за весь час нашого існування, Ви перерахували суму, що покриває оренду на один місяць.
Ми вам шалено вдячні! Ви не уявляєте, наскільки для нас важлива така підтримка.
Це не просто пост величезної й безмежної вдячності. Це не просто пост «долучись до флешмобу – зроби донейт». Ваш донейт – це не флешмоб. Це те, що дає можливість нашій маленькій банді в 7 людей працювати і розвиватись. Це унікальний шанс почати з чистого аркуша, взятися гуртом і спільно збудувати незалежний медіа-майданчик в Україні.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monobank: 5375 4141 0021 8964
• paypal@skrypin.ua
• IBAN: DE11 1005 0000 6014 1157 71
• для збору мобільних переказів: +380963302229</t>
  </si>
  <si>
    <t>Нюша Мухина</t>
  </si>
  <si>
    <t>Малика Ахмедова</t>
  </si>
  <si>
    <t>Найль Нурмагомедов</t>
  </si>
  <si>
    <t>Рома Суханов</t>
  </si>
  <si>
    <t>18:12</t>
  </si>
  <si>
    <t>Олеся Старолат Халатур</t>
  </si>
  <si>
    <t>Запрошую тебе у monobank! Оформи картку, перейшовши за посиланням https://monobank.com.ua/r/fQNW, і ми обидва отримаємо по 50 грн на рахунок кешбека!
50 грн. не аргумент? О, є інші приємності:
 - кешбек від 2 до 40% за звичні покупки!
 - зручний і швидкий мобільний банкінг без зайвих функцій (привіт, Приват24).
 - картку можна забрати самому або безкоштовно отримати кур'єром.
 - технологія PayPass, цілодобова служба підтримки, відсоток на залишок на рахунку, гарний дизайн... це крутий продукт!
Спробуй: https://monobank.com.ua/r/fQNW
До хорошого звикаєш швидко!
monobank – банк без відділень
Ми не несемо витрати на відділення, і тому можемо дати вам найвигідніші умови!
https://monobank.com.ua/r/fQNW</t>
  </si>
  <si>
    <t>Запрошую тебе у monobank! Оформи картку, перейшовши за посиланням і ми обидва отримаємо по 50 грн на рахунок кешбека!</t>
  </si>
  <si>
    <t>Запрошую тебе у monobank! Оформи картку, перейшовши за посиланням https://monobank.com.ua/r/fQNW, і ми обидва отримаємо по 50 грн на рахунок кешбека!
50 грн. не аргумент? О, є інші приємності:
 - кешбек від 2 до 40% за звичні покупки!
 - зручний і швидкий мобільний банкінг без зайвих функцій (привіт, Приват24).
 - картку можна забрати самому або безкоштовно отримати кур'єром.
 - технологія PayPass, цілодобова служба підтримки, відсоток на залишок на рахунку, гарний дизайн... це крутий продукт!
Спробуй: https://monobank.com.ua/r/fQNW
До хорошого звикаєш швидко!</t>
  </si>
  <si>
    <t>Lviving</t>
  </si>
  <si>
    <t>Орнеллаоо Мути</t>
  </si>
  <si>
    <t>18:06</t>
  </si>
  <si>
    <t>Елизавета Селезнева</t>
  </si>
  <si>
    <t>18:05</t>
  </si>
  <si>
    <t>18:04</t>
  </si>
  <si>
    <t>Аыывфпывп Пыпыпып</t>
  </si>
  <si>
    <t>17:59</t>
  </si>
  <si>
    <t>Alex Roguzko</t>
  </si>
  <si>
    <t>17:58</t>
  </si>
  <si>
    <t>Такой Себе</t>
  </si>
  <si>
    <t>он сказал не быть как мелкое нечто и завести карточку и скинул мне ссылку на МОНОбанк 
что за аниме отссылки</t>
  </si>
  <si>
    <t>swear to Leon</t>
  </si>
  <si>
    <t>Вероника Новикова</t>
  </si>
  <si>
    <t>Диана Ивченко</t>
  </si>
  <si>
    <t>17:55</t>
  </si>
  <si>
    <t>Аристарх Алмазов</t>
  </si>
  <si>
    <t>Олеся Соколовская</t>
  </si>
  <si>
    <t>17:52</t>
  </si>
  <si>
    <t>Fanchi Chan</t>
  </si>
  <si>
    <t>17:51</t>
  </si>
  <si>
    <t>Уважаемые фрилансеры!
Объявляем акцию - встречай весну вместе с monobank и Weblancer.
Все участники Weblancer, которые откроют карту monobank в период с 01.04.2018 - 31.05.2018 по ссылке https://www.monobank.com.ua/cpa?utm_source=Weblancer&amp;amp;utm_medium=card примут участие в розыгрыше подарков от monobank и Masterсard.
Вас ждут:
Рюкзаки - 5шт
PowerBank - 5шт
Термочашки - 5шт
Футболки - 5шт</t>
  </si>
  <si>
    <t>Ольга Агапова</t>
  </si>
  <si>
    <t>ПАРАЛЕЛЬНИЙ СВІТ: Про крипту, блокчейн та Світлу сторону Сили
Ми готові показати вам задзеркалля! Міністр інфраструктури України Володимир Омелян, криптотрейдер Кір Келевра, партнер «Axon partners» Назар Поливка та журналіст Роман Скрипін — про крипту, блокчейн та Світлу сторону Сили 
Підтримай skrypin.ua криптою: http://skrypin.ua/help/
Bitcoin. Adress: 338E4EYVNBohzLg8zimAHEpL6rsyJADwzU
Litecoin. Adress: MTix58Y6qF9u8PhPhDLBWXB9xMbvMkniMv
Dash. Adress: XbBhf7fBq8UR6uZzib6A9QM3bHuiws21a9
Ethereum. Adress: 0x885069fd66272e2d874b77fd76c44993d00677a2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переказів: +380963302229
Підтримай skrypin.ua криптою: http://skrypin.ua/help/
Bitcoin. Adress: 338E4EYVNBohzLg8zimAHEpL6rsyJADwzU
Litecoin. Adress: MTix58Y6qF9u8PhPhDLBWXB9xMbvMkniMv
Dash. Adress: XbBhf7fBq8UR6uZzib6A9QM3bHuiws21a9
Ethereum. Adress: 0x885069fd66272e2d874b77fd76c44993d00677a2
Підпишись на skrypin.ua у соціальних мережах:
Facebook: https://www.facebook.com/SKRYPIN.UA/
Telegram: https://t.me/SkrypinUA
Twitter: https://twitter.com/SkrypinUa
Instagram: https://www.instagram.com/skrypinua/
Слухай подкасти в iTunes:
skrypin.ua ➡️ https://goo.gl/mvGUgk
UMN  ➡️ https://goo.gl/LUUodu
Danylo Yanevsky  ➡️ https://goo.gl/1QTWGU
Skype для дзвінків у студію: hello@skrypin.ua / Етер Ether
www.skrypin.ua</t>
  </si>
  <si>
    <t>17:48</t>
  </si>
  <si>
    <t>Александр Булочкин</t>
  </si>
  <si>
    <t>17:47</t>
  </si>
  <si>
    <t>17:46</t>
  </si>
  <si>
    <t>Янина Билаш</t>
  </si>
  <si>
    <t>Play Sound</t>
  </si>
  <si>
    <t>مندهش لك</t>
  </si>
  <si>
    <t>17:43</t>
  </si>
  <si>
    <t>https://forum.finance.ua/viewtopic.php?p=4337947#p4337947    wig написав:
Ну что, налили лимит.
Вот вроде 20% и норм. Но, это ж всего на 100 баксов можно начитаться?
Кому налили, а кому и нет.
У меня почему-то кешбек в этом месяце меньше чем у всех. Вот не пойму, толи в прошлом месяце где-то насвинорылил, толи не нахрюкав.
Я один такой, или есть ещё с обрезанным кешбеком?</t>
  </si>
  <si>
    <t>Денис Джопс</t>
  </si>
  <si>
    <t>Ну, это очень условные 10%.
Да, предложение хорошее, но это не 10%.
И жить ему - меньше месяца</t>
  </si>
  <si>
    <t>mustbe</t>
  </si>
  <si>
    <t>Саша Сушко Уже через 1-2 месяца запускаем валютные и именные карты, ждать не долго осталось! ;)</t>
  </si>
  <si>
    <t>17:40</t>
  </si>
  <si>
    <t>Вы — круты!  У вас что не день, то розыгрыш  подарков</t>
  </si>
  <si>
    <t>17:39</t>
  </si>
  <si>
    <t>17:36</t>
  </si>
  <si>
    <t>Алексей Сичик</t>
  </si>
  <si>
    <t>Джордан Агро</t>
  </si>
  <si>
    <t>17:33</t>
  </si>
  <si>
    <t>Lorn,
обновилась инфа... https://docs.google.com/gview?embedd....com.ua/taryfy https://docs.google.com/gview?embedded=true&amp;url=https://monobank.com.ua/taryfy  факт...</t>
  </si>
  <si>
    <t>Indus</t>
  </si>
  <si>
    <t>17:32</t>
  </si>
  <si>
    <t>Сообщение от Lorn
до 20 і близько не доходило.
 Тут важливий сам принцип. Покращення. Потім дивишся і лише одне поповнення мобільного безкоштовно.</t>
  </si>
  <si>
    <t>Ольга Сафонова</t>
  </si>
  <si>
    <t>sokil, Приват дубль 2. ИМХО.</t>
  </si>
  <si>
    <t>Дюрі-бачі</t>
  </si>
  <si>
    <t>17:29</t>
  </si>
  <si>
    <t>Не то вы жжете...</t>
  </si>
  <si>
    <t>Здравствуйте, Александр. Расскажите о новом MonoBank. Хочется услышать ваше мнение</t>
  </si>
  <si>
    <t>Ярослав Витер</t>
  </si>
  <si>
    <t>DubinskyPro</t>
  </si>
  <si>
    <t>Monobank  с вашей карты-да, не спорю все круто, мне нравится! но вот на вашу карту это уже совсем другое(как говорится дорого) Тоисть тратить у вас можно и все удобно и круто, а вот с пополнением не очень. Также не удобно то что нету виртуальных карт и других валют в системе. А так молодцы, желаю развиваться  дальше и не останавливаться. Ну за лимиты я уже промолчу, так как я не знаю кем нужно быть чтобы его получить! (Псы.) из 10 знакомых , где бы они не работали и какими не были ихни кредит истории - лимит равен сумме обещанного лимита умножить на ноль. Спасибо за внимание</t>
  </si>
  <si>
    <t>17:24</t>
  </si>
  <si>
    <t>Данная комиссия Приватбанка за перевод на карты других банков. Карту Монобанка можно пополнять без комиссии в ТСО iBox, Таскомбанка, а также в кассах Универсал Банка, Таскомбанка, А-Банка :)
Также хотим отметить, что перевод через наше приложение с карты Монобанка на карту/счет в другом банке в счет личных средств вовсе без комиссии ;)</t>
  </si>
  <si>
    <t>https://forum.finance.ua/viewtopic.php?p=4338246#p4338246    Igor0078 написав:
 https://forum.finance.ua/viewtopic.php?p=4337490#p4337490    guntherhouse777 написав:В Ашане и так 10% КБ
Можно и мне в ЛС как в Ашане 10% КБ иметь. Спасибо.
https://www.sberbank.ua/visa_auchan/</t>
  </si>
  <si>
    <t>isen</t>
  </si>
  <si>
    <t>17:20</t>
  </si>
  <si>
    <t>Ольга Очеретяная</t>
  </si>
  <si>
    <t>А звідки інфа? В фб не бачив.
Але навіть якщо і так, то пересічному вкластись на одну картку в місяць 20 поповнень - легко. Сам поповнюю всій сім'ї та іншим родичам, коли попросять - до 20 і близько не доходило.</t>
  </si>
  <si>
    <t>Для Вас подготовим летнюю акцию</t>
  </si>
  <si>
    <t>Tatyana Strashko</t>
  </si>
  <si>
    <t>https://forum.finance.ua/viewtopic.php?p=4337490#p4337490    guntherhouse777 написав:
В Ашане и так 10% КБ
Можно и мне в ЛС как в Ашане 10% КБ иметь. Спасибо.</t>
  </si>
  <si>
    <t>Igor0078</t>
  </si>
  <si>
    <t>Починаються "ПОКРАЩЕННЯ", і що далі?</t>
  </si>
  <si>
    <t>sokil</t>
  </si>
  <si>
    <t>​​ http://telegra.ph/file/4370e2fba7fddf0576d99.jpg Запрошую тебе у monobank! Оформи картку, перейшовши за посиланням https://monobank.com.ua/r/fQNW, і ми обидва отримаємо по 50 грн на рахунок кешбека!
50 грн. не аргумент? О, є інші приємності:
 - кешбек від 2 до 40% за звичні покупки!
 - зручний і швидкий мобільний банкінг без зайвих функцій (привіт, Приват24).
 - картку можна забрати самому або безкоштовно отримати кур'єром.
 - технологія PayPass, служба підтримки прямо в Telegram, відсоток на залишок на рахунку, гарний дизайн... це крутий продукт!
Спробуй: https://monobank.com.ua/r/fQNW
До хорошого звикаєш швидко!
http://telegra.ph/file/4370e2fba7fddf0576d99.jpg
Оформити картку https://monobank.com.ua/r/fQNW</t>
  </si>
  <si>
    <t>Меломанія</t>
  </si>
  <si>
    <t>Монобанк - Первый Мобильный Банк в Украине!
Расчет Кредитного Лимита Прям с Твоего Смартфона без Интервью с Кредитными Брокерами и Похода в Банк. Просто Установи Приложение!
Кэшбэк, Рассрочка, Комуналка, Пополнение Карты без Комиссии - Все Это в Одной Карте!
Каждый, кто зарегистрировался в monobank, получит кредитную карту в гривне, оснащенную бесконтактной технологией PayPass для мгновенных расчетов.
Закажи карту с доставкой на дом по ссылке ниже и получи 50 грн. на счёт!
https://monobank.com.ua/r/ssmG
monobank – банк без відділень
Ми не несемо витрати на відділення, і тому можемо дати вам найвигідніші умови!</t>
  </si>
  <si>
    <t>Сема Ветров</t>
  </si>
  <si>
    <t>Дмитрий Конференція: Шлях до економічного прогресу України! Вторая часть! Репост! Подяка за стріми Monobank, Dmitriyev</t>
  </si>
  <si>
    <t>Дмитрий
Конференція: Шлях до економічного прогресу України!
Вторая часть!
Репост!
Подяка за стріми Monobank, Dmitriyev Dmitriy Mikhaylovich, 5375 4141 0005 0599.
Подяка за стріми ПриватБанк, Дмитриев Дмитрий Михайлович, 5168 7456 0147 0328.</t>
  </si>
  <si>
    <t>Александр Антонов</t>
  </si>
  <si>
    <t>Остання робота нашої учениці @o_k_s_a_n_a.02
#макияж #макижкиев #макияжнасвадьбу #урокикрасоты #урокимакияжа #студиякрасоты #студиямакияжа #школамакияжа #шеллакпечерск #школамакияжакиев #скидкинакурсы #визажист #визажкиев #monobank #makeupforever #makeupstarkiev</t>
  </si>
  <si>
    <t>Alona Nyshchyk</t>
  </si>
  <si>
    <t>Камилла Артемова</t>
  </si>
  <si>
    <t>Подскажите в каком банке можно открыть обычный гривневый карточный счет?</t>
  </si>
  <si>
    <t>Саша, что скажете про монобанк?</t>
  </si>
  <si>
    <t>Елена Шовгеня</t>
  </si>
  <si>
    <t>Анна приглашает вас в monobank! Оформите карту, перейдя по персональной ссылке, и вы оба получите по 50 грн на счет кешбэка!
https://monobank.com.ua/r/7nZz</t>
  </si>
  <si>
    <t>Анна Шкурупий</t>
  </si>
  <si>
    <t>16:37</t>
  </si>
  <si>
    <t>Поповнення мобільного*
*тариф вводиться з 19.04.2018
Безкоштовно до 20 платежів на місяць сумарно на
суму не більше 10 000 грн,
Більше - 3 грн за платіж</t>
  </si>
  <si>
    <t>ВанОО</t>
  </si>
  <si>
    <t>Никита Сытник</t>
  </si>
  <si>
    <t>Оксана Тараненко</t>
  </si>
  <si>
    <t>Дмитрий Анатольевич</t>
  </si>
  <si>
    <t>Weblancer - биржа фриланс-услуг</t>
  </si>
  <si>
    <t>Как остаться в другой стране? #лайфхакотпумб 30.03.2018 с помощью системы онлайн-банкинга online.pumb.ua осуществил</t>
  </si>
  <si>
    <t>Vladyslav Remeniak расскажешь потом об исходе эпопеи. И переходи на #монобанк !</t>
  </si>
  <si>
    <t>Yulia Shybko</t>
  </si>
  <si>
    <t>Vladyslav Remeniak</t>
  </si>
  <si>
    <t>Может кому пригодится.
Львовский оперный театр заказ билетов через интернет - подорожи а не развлечения.</t>
  </si>
  <si>
    <t>Vial</t>
  </si>
  <si>
    <t>16:26</t>
  </si>
  <si>
    <t>В монобанке</t>
  </si>
  <si>
    <t>Roblox на русском [ Roblox Live Steam ] роблокс Jailbreak Booga Booga
Multistreaming with https://restream.io/
Получите самую выгодную карту с кредитным лимитом до 100 000 грн. Оформите карту, перейдя по персональной ссылке, и получите 50 грн. на счет! А также до 20% от суммы потраченных средств. Например, Вы потратили 1000грн. на покупку продуктов и Вам вернули 20%, то есть 200грн. И еще оплачивая картой банка в интернет- и стационарных   магазинах по всему Миру, Вы не платите комиссий!
https://monobank.com.ua/r/Bezv
 [ПОДДЕРЖАТЬ КАНАЛ] - http://donatepay.ru/donation/TeslaKidsOne
Все сообщения отображаются в стриме!
Заказывайте музыку на стриме: http://donatepay.ru/p/TeslaKidsOne
__________________________________________________
 Реквизиты для донатства (WebMoney) 
R205348946218
Z080750925707
U322065384303
E131590846455
---------------------------------------------------------------------
Мой ник в Роблоксе TeslsKidsOne (My Roblox nik - TeslaKidsOne)
-----------------------------------------------------------
Бесплатные подарочки New 2018 Promocodes  ლ(́◉◞౪◟◉‵ლ) Free
Ловите новые промокоды :  !ONEMILLIONCLUB!  (Open  Playful Red Dino, шапка Дино)
TweetROBLOX  (OPEN The Bird Says, птичка на плечо)
ССЫЛКА ГДЕ НАДО СТАВИТЬ ПРОМОКОДЫ https://www.roblox.com/promocodes
---------------------------------------------------------
В что поиграть? Если есть такой вопрос тогда Вам сюда: https://steambuy.com/partner/teslakidsone
Море игр, за маленькие деньги.
------------------------------------------------------------------------
Roblox на русском [ Roblox Live Steam ] роблокс Playing Roblox play egg hunt 2017, 2018 hello heighbor, jailbreak, John doe, GTA V, Play Game, Я играю лучше чем Поззи, чем Roblox Mafia YTFMM Крутой Папа, чем NOOBASHA.</t>
  </si>
  <si>
    <t>TeslaKidsOne</t>
  </si>
  <si>
    <t>вот это я понимаю - насвинорылил</t>
  </si>
  <si>
    <t>Stringer</t>
  </si>
  <si>
    <t>Никита Зарков</t>
  </si>
  <si>
    <t>Оформіть картку, перейшовши за персональним посиланням, і ви обидва отримаєте по 50 грн на рахунок кешбека! https://monobank.com.ua/r/3rN8</t>
  </si>
  <si>
    <t>16:04</t>
  </si>
  <si>
    <t>За дебетную могут сурчарджить, особенно если онлайн букать. Вообще не парясь. Не важно какого банка.</t>
  </si>
  <si>
    <t>Sergii Kravets</t>
  </si>
  <si>
    <t>Сьогодні купляв квитки на літак . Як завжди з карткою Приват якісь трабли, то ліміт в інтернеті, то то , то сьо. Плюнув</t>
  </si>
  <si>
    <t>Ну ніби Монобанк тоже не з космосу</t>
  </si>
  <si>
    <t>Vasyl Letsyn</t>
  </si>
  <si>
    <t>16:01</t>
  </si>
  <si>
    <t>продам/обміняю УРГ-Н</t>
  </si>
  <si>
    <t>УРГ-Н
- рання версія(поч.70-х) з трубкою в корпусі, а не цільноточена, як пізніші
наявність (станом 13/03/2018 16:00) - [2 шт] / в резерві: 0
ціна: 225 грн/шт
	Посмотреть вложение 11232593 https://reibert.info/attachments/11232593/ 
Оплата:
- карта ПриватБанк
- карта Monobank
Доставка:
- НоваПошта
Обмін: актуальний обмін на
- розрізні набори РГД-5/Ф-1
- спецгранати
- корпус учбової Ф-1 і УРГ в фарбі з штампами
- інші навчально-тренувальні та імітаційні гранати</t>
  </si>
  <si>
    <t>IskanderNemo</t>
  </si>
  <si>
    <t>reibert.info</t>
  </si>
  <si>
    <t>Заробітчани їдуть на батьківщину. Скільки заробила баба Наташа в Італії за 2 місяці Реєструйся по цій силці і</t>
  </si>
  <si>
    <t>Заробітчани їдуть на батьківщину. Скільки заробила баба Наташа в Італії за 2 місяці
Реєструйся по цій силці і отримаєш 50 грн: https://monobank.com.ua/r/oFd6 Інстаграм: https://www.instagram.com/x6andre/ Канал Віталіка: ...
https://www.youtube.com/attribution_link?a=evg-lT8Xioc&amp;u=/watch?v=4gi50AfHfyE&amp;feature=share</t>
  </si>
  <si>
    <t>Юлія Мензелівська</t>
  </si>
  <si>
    <t>15:57</t>
  </si>
  <si>
    <t>Феврония Белоусова</t>
  </si>
  <si>
    <t>15:56</t>
  </si>
  <si>
    <t>Влад Щербаков</t>
  </si>
  <si>
    <t>15:50</t>
  </si>
  <si>
    <t>Марина приглашает вас в monobank! Оформите карту, перейдя по персональной ссылке, и вы оба получите по 50 грн на счет кешбэка!
monobank – банк без відділень
https://monobank.com.ua/r/RXtP</t>
  </si>
  <si>
    <t>Marinka Lapshyk</t>
  </si>
  <si>
    <t>ОХРЕНЕЛИ! Сегодня комиссия за оплату электроэнергии через Приват 24 поднялась в 3 раза! Оказывается НЕТ договора(?)</t>
  </si>
  <si>
    <t>На правах полезной рекламы, порекомендую Монобанк.
Пока все платежи - без комиссии.
Пользуюсь третий месяц.
Удобно.
Все платежи через приложение.
https://monobank.com.ua/r/5EPh</t>
  </si>
  <si>
    <t>Vlad Kovalchuk</t>
  </si>
  <si>
    <t>Березняки (Киев)</t>
  </si>
  <si>
    <t>Шамиль Ахмедов</t>
  </si>
  <si>
    <t>Alasker Novruzov</t>
  </si>
  <si>
    <t>15:43</t>
  </si>
  <si>
    <t>Феодосия Федорова</t>
  </si>
  <si>
    <t>Save Dnipro против Приднепровской ТЭС</t>
  </si>
  <si>
    <t>Решение о строительстве Приднепровской ГРЭС (государственная районная электростанция; сейчас ТЭС) было принято постановлением Совета Министров СССР от 22 декабря 1950 года. Строительство электростанции началось одновременно с возведением поселка Приднепровск в 1952 году. Первый энергоблок был запущен в 1954 году, а на проектируемую мощность в 2400 МВт станция вышла в 1964 году.  И все эти годы станция являлась основным загрязнителем воздуха Днепропетровска-Днепра. До 80% вредных веществ в атмосфере города приходится на выбросы станции. И это при наличии в городе таких крупных металлургических заводов Петровского, Либкнехта, «Коксохима» и других, не менее вредных, производств.  В 2012 году, после продажи «Днепроэнерго», Приднепровская ТЭС вместе с другими активами вошла в корпорацию ДТЭК Рината Ахметова. По условиям приватизации, ДТЭК обязана была в течении пяти лет провести модернизацию блоков станции и, в первую очередь, обеспечить выполнение экологических норм. В « Условиях продажи государственного пакета акций публичного правительственного общества "Дніпроенерго" » для покупателя было предусмотренно:  " в) розроблення до 31 грудня 2013 р. плану заходів товариства з охорони навколишнього природного середовища, яким передбачається, зокрема, здійснення заходів з охорони атмосферного повітря, у тому числі із скорочення викидів оксидів сірки, азоту та твердих часток, передбачивши початок його виконання не пізніше 1 січня 2015 року;  г) встановлення приладів автоматичного контролю за кількістю та якістю забруднюючих речовин, що викидаються в атмосферне повітря від котельних агрегатів, під час здійснення заходів з модернізації пилогазоочисного устатковання або його заміни на нове у строк, передбачений Протоколом про приєднання України до Договору про заснування Енергетичного Співтовариства щодо виконання умов Директиви 2001/80/ЕС;  ґ) проведення до 31 грудня 2013 р. модернізації очисних споруд промислових, зливових стічних вод на Придніпровській ТЕС;  д) розроблення та впровадження системи комплексного екологічного моніторингу на всіх діючих енергоблоках та в зоні впливу ТЕС на об’єкти навколишнього природного середовища відповідно до природоохоронного законодавства”.  Указанные мероприятия должны были завершиться к 2015 году, но ДТЭК регулярно удается договариваться с Минэкологией про получение разрешений на выбросы Приднепровской ТЭС. Последнее продление разрешения на выбросы предусматривало установку на станции пыле- и газоочистительное оборудование на всех блоках до конца 2017 года. Но уже в начале 2018 года «ДТЭК Днепроэнерго» владеющая станцией начало процедуру получения разрешения на выбросы. Но этот раз на пути у этого разрешения стали активисты Приднепровска и города. Они объединились в гражданскую инициативу S ave Dnipro и начали активную деятельность с требованием от собственников станции выполнить свои обязательства и прекратить травить жителей опасными выбросами.  В самом деле, Приднепровская ТЭС это даже не потенциальная, а явная угроза жителям города. Это единственная тепловая станция в Украине и Европе, которая расположена в черте крупного города. Из 60 тыс. тонн годовых выбросов в атмосферу из котлов энергоблоков станции, почти 45 тыс. тонн – выбросы оксидов серы. При смешивании с влагой оксид серы образует серную кислоту, которая поражает верхние дыхательные пути и легкие. Кроме этого, станция в больших объемах выбрасывает оксид и диоксид азота, которые тоже поражают верхние дыхательные пути. Все это приводит к тому, что подвергшимся воздействию выбросов станции людям ставят диагнозы хронический фарингит (хроническое воспаление задней стенки глотки, которое сопровождается мучительными симптомами), аллергический ринит, хронический ринит и др. Больше всего страдают от выбросов дети.  Шлаки, образующиеся после сжигания угля никуда не вывозятся, а складируются в окрестностях станции; их уже накопилось 20 миллионов тонн. Они практически полностью уничтожили малую реку Шиянку, входящую в Днепровскую гидросистему. Пыль, поднимающаяся со шлакоотвалов разносится по окрестностям, накрывая село Чапли и поселок Приднепровск, уничтожает пахотные земли.  А руководство станции не только всеми силами противится исполнению приватизационных обязательств, но даже под любыми предлогами не пускает на территорию экологических инспекторов.  При этом станция отказывается ставить предусмотренные приватизационным договором системы очистки на котлы энергоблоков, хотя те системы очистки, которые ставились в 50-е годы, уже не отвечают даже тогдашним нормативам.  В результате на первых общественных слушаниях, организованные ДТЭК 19 февраля 2018 года, активисты не дали принять удобный для корпорации протокол. Они выдвинули ряд требований, от которых не намерены отступать:  1) установка современной системы фильтрации (должна была стоять еще с 2015 года);  2) постоянный мониторинг состояния окружающей среды;  3) решение проблемы с отходами производства (20 млн тонн золошлаков - это в среднем по 20 тонн на одного жителя города).  Параллельно Save Dnipro развернуло деятельность по привлечению местных выборных органов к защите жителей города от вредного воздействия Приднепровской ГЭС.  21 февраля постоянная комиссия Днепропетровского областного совета по вопросам экологии, заслушав активистов, единогласно поддержала решение про обращение в Министерство экологии о нарушениях природоохранного законодательства Приднепровской ТЭС и в Экологическую инспекцию Украины про проведение проверки. Но впоследствии двое членов комиссии, работающие на предприятиях Рината Ахметова, отозвали свои подписи и, в результате, решение не было принято.  Но, в тот же день депутаты Днепровского городского совета поддержали обращение с требованием не давать разрешение Приднепровской ТЭС на выбросы загрязняющих веществ.  13 марта 2018 года активисты организации провели пикет головного офиса ДТЭК в Киеве и выступили на брифинге в Верховной Раде, где озвучили основные требования к Приднепровской ТЭС.  26 марта в Киеве прошли п редварительные переговоры с участием представителей S ave Dnipro, Министерства и ДТЭК. На этих переговорах ДТЭК взял на себя обязательство установить два электрофильтра на три блока - №№10, 7 и 8. Ранее, корпорация собиралась ограничиться установкой только эмульгатора и только на один блок. Разногласия возникли по срокам: корпорация хочет закончить эти работы в 2020 году, активисты считают, что можно уложиться в 2019 году.  После установки электорофильтров станция должна отказаться от эксплуатации своих самых старых блоков №№7 и 8, Они будут задействоваться только в чрезвычайных случаях.  ДТЭК отказывается устанавливать дорогостоящую систему газоочистки, не смотря на то, что это было прописано в приватизационных документах. Вместо этого, представители корпорации предлагают другие меры по снижению выброса двуокиси серы в атмосферу: отказ от угля с содержанием серы выше 1,3% и снижение потребления угля за счет использования угля марки «Г» (так называемый «газовый», добывается на павлоградских шахтах). По расчетам корпорации, при таких мерах выбросы серы уменьшаться на 30%. Хотя по расчетам Института экологии это даст снижение только в 17%. Окончательно этот вопрос решили отложить на потом.  В связи с этим, активисты требуют, чтобы ДТЭК давал возможность отбирать пробы угля и оплачивал его исследование в независимой лаборатории, чтобы была уверенность, что используется только заявленный уголь. Корпорация взяла время на обдумывание.  Так же есть прогресс по мониторингу состава воздуха на границе санзоны. По утверждению представителей корпорации, они объявили тендер на установку оборудования, который заканчивается 15 апреля. Так что, уже в этом году город узнает состав воздуха возле станции.  Параллельно с установкой электрофильтров должны на блоках появятся и посты мониторинга. Но, опять же, есть разногласия по срокам.  В результате деятельности Приднепровской ТЭС в окрестностях станции, в двух золо-шлаконакопителях, накопилось 20 миллионов тонн отходов от сжигания угля. ДТЭК готова высаживать по периметру деревья, что должно снизить запыление жилых районов. Разногласия возникли по количеству саженцев: корпорация готова высадить 300 деревьев в 2018 году и по 250-300 в последующие; S ave Dnipro требует в этом году высадить тысячу деревьев и по 300 каждый год.  Отдельный вопрос с самими накопителями. Предварительно договорились о консервации шлаконакопителя в русле реки Шиянка в 2020 году.  Также договорились о раздельном хранение отходов от разных марок угля. Это позволит станции продавать отходы от угля марки «Г», как более востребованные. S ave Dnipro требует ограничить объемы накопления отходов в 15 тысяч тонн, что заставит станцию активнее с ними бороться.  Еще активисты организации требуют создание рабочей группы, куда войдут представители Министерства экологии, ОГА, ДТЭК и S ave Dnipro, которая будет собираться раз в квартал и обсуждать ход выполнения обязательств станции.  Кроме этого, от станции требуется беспрепятственный доступ экологических инспекторов на территорию станции.  Уже на вторых общественных слушаниях, посвященных этой проблеме, и проводившихся 28 марта в этот раз Министерством экологии в Днепре, все эти обязательства и требования были внесены в протокол слушаний, на основе которых будет написан ОВД (оцінка впливу на довкілля) – документ, который даст или не даст разрешение на выбросы для Приднепровской ТЭС.  Сборы прошли, позиции сторон зафиксированы, минэкономики пишет документ. Но нет повода расслабляться. Мы все уже увидели, как «исполняет» документы ДТЭК. Значит, внимание ослаблять нельзя и быть готовым давать отпор монополистам. Значит, для S ave Dnipro и горожан работа не закончилась и, пожалуй, не закончится. 
 Сергей Воробей 
 PS  Как внезапно стало известно, это не активисты Save Dnipro отстояли право горожан на чистый воздух, а Борис Филатов обо все позаботился. По его словам, Борис Альбертович провел двадцать встреч с руководством станции и по этому вопросу будет встречаться с ее собственником, Ринатом Ахметовым. 
 Если вы хотите оказать помощь гражданской инициативе Save Dnipro, то вы можете перечислить деньги на счета:  Приват 4149 6258 1464 2094
 или
 Монобанк 5375 4141 0039 9954
 Получатель - Ткаченко Павел.</t>
  </si>
  <si>
    <t>ИА Телетайп</t>
  </si>
  <si>
    <t>teletape.info</t>
  </si>
  <si>
    <t>Оформите карту, перейдя по персональной ссылке, и вы оба получите по 50 грн на счет кешбэка!
monobank – банк без відділень
https://monobank.com.ua/r/8iZA</t>
  </si>
  <si>
    <t>Даник Скудный</t>
  </si>
  <si>
    <t>15:39</t>
  </si>
  <si>
    <t>Крутая карта с постоянным кэшбэком
monobank – банк без отделений
Мы не несем расходы на отделения, и поэтому можем дать вам самые выгодные условия!
https://ad.admitad.com/g/qz29z0f7rb0983a328d3632d31910f/</t>
  </si>
  <si>
    <t>Александр Бондаренко</t>
  </si>
  <si>
    <t>monobank – банк без отделений
Мы не несем расходы на отделения, и поэтому можем дать вам самые выгодные условия!
https://ad.admitad.com/g/qz29z0f7rb0983a328d3632d31910f/</t>
  </si>
  <si>
    <t>Барахолка Березовка Одесса</t>
  </si>
  <si>
    <t>ПриватБанк останнім часом просе через додаток погодитись з правилами. Читайте уважно, правила дрібним шрифтом. А взагалі</t>
  </si>
  <si>
    <t>например, Монобанк</t>
  </si>
  <si>
    <t>Oleg Dovbysh</t>
  </si>
  <si>
    <t>Vados Immanuel</t>
  </si>
  <si>
    <t>Владислав Карелин</t>
  </si>
  <si>
    <t>Очільниця МОЗ Уляна Супрун задекларувала 357 тис грн доходу за 2017 — крім того, вона має півмільйона доларів на</t>
  </si>
  <si>
    <t>Хотите зарабатывать так как она?
Забирай карту с лучшими условиями в Украине!
✔ Без платы за выпуск и обслуживание
✔ Бесплатная доставка
✔ Кэшбэк до 20%
✔ Льготный период до 62 дней
 Весь банк в твоем мобильном
 получите 50 грн на счет кешбэка!
https://monobank.com.ua/r/htBr</t>
  </si>
  <si>
    <t>hromadske.ua</t>
  </si>
  <si>
    <t>15:27</t>
  </si>
  <si>
    <t>скажу по карте так - пользоватся- снимать круче привата, кеш беки и так далее. но все плохос комисией для перевода минимум 5 грн и 0,5% даже если с приват 24</t>
  </si>
  <si>
    <t>ахахаха, вот жуки) обращался на днях в тех поддержку, не мог прикрепить карту к фрилансерхату))) и тут завербовали.....</t>
  </si>
  <si>
    <t>Получить карту МОНОБАНК легко! » ПроИрпень городской портал города Ирпень
http://proirpen.com.ua/novosti/novosti-irpen/3638-poluchit-kartu-monobank-legko.html</t>
  </si>
  <si>
    <t>Форум города Ирпень</t>
  </si>
  <si>
    <t>Макс Жук</t>
  </si>
  <si>
    <t>Олег Гороховский да, я не попал. Но знаю условия, как банков так и прокатчиков. У самого зарплатная карта другого банка тоже Debit. Предостерегаю имеен моно, акцентия что он попал в кеш-бек.</t>
  </si>
  <si>
    <t>Maksym Shakhalov я думаю Mastercard строже к этому подходит. У Visa на дебитные карты часто у нас кредитный бин ставят.</t>
  </si>
  <si>
    <t>Mikhail Golub</t>
  </si>
  <si>
    <t>То есть вы не попали, но предостерегаете от пользования именно картами mono? На дебетном ранге очень много карт и ПриватБанк, и английская Monza, и почти все украинские эмитенты в розничном сегменте. Там очень выгодный интерченж.</t>
  </si>
  <si>
    <t>а если у меня уже есть карта Монобанк?</t>
  </si>
  <si>
    <t>Андрей Позитив</t>
  </si>
  <si>
    <t>Mikhail Golub аналогично  и Debit имеет ряд преимуществ. У банков есть выбор. В этом случае выбрали Debit.</t>
  </si>
  <si>
    <t>Misha Misha</t>
  </si>
  <si>
    <t>14:53</t>
  </si>
  <si>
    <t>Андрей Петров</t>
  </si>
  <si>
    <t>Кредитный бин ставят у нас потому, что на нем комиссия больше для банка. Так Revolut перестал с Украиной и Россией работать по этой причине.</t>
  </si>
  <si>
    <t>14:52</t>
  </si>
  <si>
    <t>Кредитный бин у нас также популярен и в Европе. В Европе тоже проверяют.</t>
  </si>
  <si>
    <t>14:50</t>
  </si>
  <si>
    <t>Добрый день! Я к радости не попал, понимая правила. Но кажется не стоило включать в кеш-бек категорию «аренда авто».</t>
  </si>
  <si>
    <t>В Европе кредитные карты не так распространены, как в Штатах. По идее там не должно быть проблем.</t>
  </si>
  <si>
    <t>14:46</t>
  </si>
  <si>
    <t>Віталій Кличко задекларував понад 5 млн доходу в 2017 — а також мармуровий антикварний годинник, дев'ять велосипедів і</t>
  </si>
  <si>
    <t>Хотите зарабатывать так как Кличко?
Забирай карту с лучшими условиями в Украине!
✔ Без платы за выпуск и обслуживание
✔ Бесплатная доставка
✔ Кэшбэк до 20%
✔ Льготный период до 62 дней
 Весь банк в твоем мобильном
 получите 50 грн на счет кешбэка!
https://monobank.com.ua/r/htBr</t>
  </si>
  <si>
    <t>Телевізор Sony за 2 499 999 гривень. Першоквітневий жарт або справжній товар на нашому сайті? До нього пишуть відгуки,</t>
  </si>
  <si>
    <t>Оплачивайте покупки в магазине ROZETKA лучшей картой Украины
Забирай карту с лучшими условиями в Украине!
✔ Без платы за выпуск и обслуживание
✔ Бесплатная доставка
✔ Кэшбэк до 20%
✔ Льготный период до 62 дней
 Весь банк в твоем мобильном
 получите по 50 грн на счет кешбэка!
https://monobank.com.ua/r/htBr</t>
  </si>
  <si>
    <t>Rozetka.ua</t>
  </si>
  <si>
    <t>Сучасних дітей стає все важче дивувати, але український виробник дерев'яних іграшок Dynamic Woods відмінно справляється</t>
  </si>
  <si>
    <t>Violeta Kuzmanova</t>
  </si>
  <si>
    <t>14:21</t>
  </si>
  <si>
    <t>Олеся Ильина</t>
  </si>
  <si>
    <t>https://forum.finance.ua/viewtopic.php?p=4338054#p4338054    V2 написав:
 https://forum.finance.ua/viewtopic.php?p=4338043#p4338043    WachtAmRhein написав:а у меня этого добра на 10 лет вперёд накуплено
Скайпасів? Яким чином купували?
В магазине shop.bukovel.ua или как-то так. Было время мог себе позволить слить кучу денег на это дело. Теперь вот с 2011го года не покупал ничего, всё есть, кроме детских лыж, дочка выросла, приходится тратиться.</t>
  </si>
  <si>
    <t>WachtAmRhein</t>
  </si>
  <si>
    <t>14:15</t>
  </si>
  <si>
    <t>https://forum.finance.ua/viewtopic.php?p=4338043#p4338043    WachtAmRhein написав:
а у меня этого добра на 10 лет вперёд накуплено
Скайпасів? Яким чином купували?</t>
  </si>
  <si>
    <t>V2</t>
  </si>
  <si>
    <t>Світлана Савчак</t>
  </si>
  <si>
    <t>WachtAmRhein
Біля 7-ої кафе «Bugi.L» пройшло як кафе, заходив ще поруч в маркет - пройшло як маркет.</t>
  </si>
  <si>
    <t>Mi Mi</t>
  </si>
  <si>
    <t>14:06</t>
  </si>
  <si>
    <t>https://forum.finance.ua/viewtopic.php?p=4338039#p4338039    V2 написав:
WachtAmRhein
Скайпаси - біля 14 траси (недалеко від ВОДА). спорядження - біля 7-ої.
Які МСС видало у Вас?
Хз, кум платил за себя своей ЭКО, а у меня этого добра на 10 лет вперёд накуплено, с учётом поездки 2 раза в год.
Но вот супермаркет на первом паркинге оказывается ресторан.</t>
  </si>
  <si>
    <t>Галия Абдугалиева</t>
  </si>
  <si>
    <t>14:05</t>
  </si>
  <si>
    <t>Дмитрий Диалог с друзьями и подписчиками, накопились темы, подключайтесь! Кто хочет помочь финансово на технику,</t>
  </si>
  <si>
    <t>Дмитрий
Диалог с друзьями и подписчиками, накопились темы, подключайтесь!
Кто хочет помочь финансово на технику, пожалуйста:
Подяка за стріми Monobank, Dmitriyev Dmitriy Mikhaylovich, 5375 4141 0005 0599.
Подяка за стріми ПриватБанк, Дмитриев Дмитрий Михайлович, 5168 7456 0147 0328.</t>
  </si>
  <si>
    <t>Валентина Омельченко</t>
  </si>
  <si>
    <t>Полтавська громада разом</t>
  </si>
  <si>
    <t>ага))</t>
  </si>
  <si>
    <t>Кристина Медведева</t>
  </si>
  <si>
    <t>ага)))</t>
  </si>
  <si>
    <t>Шпиц Моя-Любовь</t>
  </si>
  <si>
    <t>Добрый день. Сожалею, что вы попали в такую ситуацию, но это их требование, описанное в правилах. Точно также они могли требовать справку об отсутствии туберкулёза. То есть это волюнтаризм и нарушение правил платежных систем. Но если у них это записано в правилах, при чем тут наша карта? Мы же не обещали вам ее использование в тех местах, которые для этого не приспособлены.</t>
  </si>
  <si>
    <t>WachtAmRhein
Скайпаси - біля 14 траси (недалеко від ВОДА). спорядження - біля 7-ої.
Які МСС видало у Вас?</t>
  </si>
  <si>
    <t>Пройшов ще один місяць. Моя улюблена категорія "Заправки", а далі ще й "Кнайпи", зникли зі списку запропонованих по</t>
  </si>
  <si>
    <t>Пройшов ще один місяць. Моя улюблена категорія "Заправки", а далі ще й "Кнайпи", зникли зі списку запропонованих по кешбеку. Але лишилися "Продукти" та "Одяг". Куплю собі до Паски кашемірове пальто! ;)
Але для новоприбулих всі категорії мають бути доступні. Тому не втрачайте час і долучайтеся:
https://monobank.com.ua/r/y4pg
P.S.: До речі, шалені кешбеки на книжки (20%) і на подорожі теж щось 4%. Якщо плануєте купувати квитки на нові напрямки від Ryanair чи wizzair.com, то можна незле зекономити.
Orest
Monobank - це найкрутіший досвід інтернет банкінгу. Не треба ходити ні в які вдділення і чекати в довжелезних чергах. Карту приносять самі куди завгодно в зручний для вас час задурно.
Я просто в кредиті без комісії живу. Потім в кінці місяця віддаю (можна і не всю суму, а лише частину). Без проблем працює за кордоном. Сапорт через ФБ мессенджер.
Аплікуха дуже зручна, ще й групує витрати по категоріях і в кінці місяця можна побачити підсумок.
Ну і головне - кешбек. На бензині і продуктах за минулий місяць зекономив десь 350 грн.
Реєструйтеся по лінку і отриаємо кожен по 50 грн на рахунок кешбека!
Ми не несемо витрати на відділення, і тому можемо дати вам найвигідніші умови!
https://monobank.com.ua/r/y4pg</t>
  </si>
  <si>
    <t>Orest Schur</t>
  </si>
  <si>
    <t>На благотворительной ярмарке собирали средства
на лечение 5-летнего николаевца!
30 марта, во Дворце культуры Славянской ТЭС прошла благотворительная ярмарка в помощь 5-летнему николаевцу Косте Заиченко.
К ней присоединилось много детей нашего города и громады. Среди них учащиеся школы-интерната, школы искусств, общеобразовательной школы №2, воскресной школы… Ученики готовились к ярмарке, мастерили «товары» собственными руками. На продажу выставили рисунки, вышитые бисером иконы, поделки, вязаные вещи и игрушки ручной работы, украшения, печенье, пасхальные пряники и многое другое.
Сотрудники Дворца культуры также не остались в стороне и продавали чай, кофе, пирожки. Кроме того, для гостей провели концерт-мюзикл. И даже сам Костик нарисовал очень яркие и жизнерадостные рисунки для ярмарки.
Усилиями участников было собрано 13 530 грн. Но, к сожалению, еще не собрана вся необходимая сумма для лечения малыша, а время бежит очень быстро. Поэтому, давайте вместе поможем Костику!
Реквизиты для помощи:
ПриватБанк : 5168 7551 1117 8048
Папа, Иван Заиченко, тел. (095) 353-07-45.
monobank: 5375414100658151
пополнение во всех терминалах приват банка и ibox без комиссии (даже если выводит что с комиссией)
Приват Банка: 5168755111178048
Пополнение из-за границы, USD
Beneficiary (Бенефициар)
IBAN
UA403220010000029244998000840
Account No
29244998000840
Name
IVAN ZAICHENKO
Account with Institution (Банк Бенефициара)
Bank
PJSC UNIVERSAL BANK
City
KYIV, UKRAINE
Swift code
UNJSUAUKXXX
Intermediary (Банк посредник)
DEUTSCHE BANK TRUST CO. AMERICAS
NEW YORK, USA
Account number
4452477
BKTRUS33XXX
Details of payment (Назначение платежа)
For crediting in UAH Card No
5375414100658151
Укажите один из вариантов
— Salary
— Honorarium
— Transfer to own account
— Help to relative
Пополнение из-за границы, RUB
Получатель
UA833220010000029247998000643
29247998000643
Банк получателя
Банк
ПАО УНИВЕРСАЛ БАНК
Город
К/счет
16003000300001
Банк посредник
АО «ТАСКОМБАНК»
КИЕВ, УКРАИНА
Счет
30111810500000000292
Корреспондент получателя
ОАО «СБЕРЕГАТЕЛЬНЫЙ БАНК РОССИЙСКОЙ ФЕДЕРАЦИИ»
МОСКВА, РОССИЯ
ИНН
7707083893
БИК
44525225
30101810400000000225 В ОПЕРУ МОСКОВСКОГО ГТУ БАНКА РОССИИ
Назначение платежа
Для зачисления в UAH на карту No
Имя
Укажите вариант:
— Помощь родственникам
Заиченко Иван Сергеевич
Тел:0953530745</t>
  </si>
  <si>
    <t>Николаевка - Мой Город!</t>
  </si>
  <si>
    <t>ну еще год назад приват был топ по удобству и функционалу,
сейчас он скатился, 
мой выбор монобанк, красивый, удобный и очень быстрый + сапорт в телеграме</t>
  </si>
  <si>
    <t>Yaroslav Lysak</t>
  </si>
  <si>
    <t>додаток набагато кращий, вже 2 місяці, політ нормальний ))</t>
  </si>
  <si>
    <t>Evgen Zubkov</t>
  </si>
  <si>
    <t>Олег Пидгайный</t>
  </si>
  <si>
    <t>13:54</t>
  </si>
  <si>
    <t>Сергей Кравец</t>
  </si>
  <si>
    <t>13:53</t>
  </si>
  <si>
    <t>ну і сфери застосування в монобанка і будь-якого іншого банку різні) монобанк підходить лише для розрахунків. ФОП там не відкриєш, зарплатну картку теж)</t>
  </si>
  <si>
    <t>13:51</t>
  </si>
  <si>
    <t>Irina Kovalenko</t>
  </si>
  <si>
    <t>переходь на Монобанк)</t>
  </si>
  <si>
    <t>Taras Pastushchuk</t>
  </si>
  <si>
    <t>Акция пригласи друга закончилась? Нигде инфы не могу найти актуальной!</t>
  </si>
  <si>
    <t>Nickolay</t>
  </si>
  <si>
    <t>13:48</t>
  </si>
  <si>
    <t>Кто пользуется этим банком? Лучше Привата?</t>
  </si>
  <si>
    <t>Be aware. Monobank и аренда авто.
Обратил внимание, что в Монобанк в разделе кеш-бек появились Путешествия, в которые, в свою очередь , попадает аренда авто.
Хочу предостеречь, что бы не «попали на деньги». Дело в том, что сама карта Монобанка MasterCard World имеет тип Debit. Не путать, что карта с кредитным лимитом, это разные вещи.
Практически все крупные прокатчики авто в правилах требуют что бы тип карты был Credit, и, по практике, более чем в 50% случаев внимательно проверяют это соответствие. В результате, забронировав и оплатив заранее авто картой Монобанка, в прокатной конторе вам обосновано могут отказать в выдаче авто и возврате средств. Можно договориться, и прокатчики могут согласиться выдать машину, в случае если вы оплатите страховку по максимальной стоимости, с нулевой франшизой. Такая страховка может стоить дороже самой аренды машины.
Позиция Монобанка простая, подтверждает возможные сложности, и немного удивительная. Цитирую с их позволения: «Все же, с нашей картой берут авто в аренду. Не везде она проходит, но проходит же»
Так что будте аккуратны и не говорите что не знали:)</t>
  </si>
  <si>
    <t>13:47</t>
  </si>
  <si>
    <t>приват задолбал лагать максимально возможно перешел на монобанк</t>
  </si>
  <si>
    <t>У привата самое конченное отношений к клиентам</t>
  </si>
  <si>
    <t>Олег Кóпыл (Oleh Kopyl)</t>
  </si>
  <si>
    <t>приват задолбал лагать
максимально возможно перешел на монобанк</t>
  </si>
  <si>
    <t>Ого, Приват замутил дэбош: PricewaterhouseCoopers VS Quinn Emanuel Urquhart &amp; Sullivan (GB) Antis Triantafyllides &amp; Sons</t>
  </si>
  <si>
    <t>Бро. Кидай приват нахер. Тупят они по черному. МОНОБАНК - СИЛА! Если че ссыль кину. В виде заманухи на кешбек 50 грн. за регу дают.</t>
  </si>
  <si>
    <t>Евгений Кононенко</t>
  </si>
  <si>
    <t>Oleg Stetsyuk</t>
  </si>
  <si>
    <t>13:42</t>
  </si>
  <si>
    <t>13:40</t>
  </si>
  <si>
    <t>Наталия Короткова</t>
  </si>
  <si>
    <t>Дмитрий Конференція: Шлях до економічного прогресу України! Репост! Подяка за стріми Monobank, Dmitriyev Dmitriy</t>
  </si>
  <si>
    <t>Дмитрий
Конференція: Шлях до економічного прогресу України!
Репост!
Подяка за стріми Monobank, Dmitriyev Dmitriy Mikhaylovich, 5375 4141 0005 0599.
Подяка за стріми ПриватБанк, Дмитриев Дмитрий Михайлович, 5168 7456 0147 0328.</t>
  </si>
  <si>
    <t>Rostislav Sokolovski</t>
  </si>
  <si>
    <t>Анна Кулик</t>
  </si>
  <si>
    <t>Сообщение от igo_r
Что-то через приложение приват24 с телефона не идёт на карту монобанка, пишет ошибку в поле ввода фио, якобы недопустимые символы
Фио латиницей набирай.
И да, лучше пополняй моно с приложения моно (попронить карту)</t>
  </si>
  <si>
    <t>BaDa</t>
  </si>
  <si>
    <t>Глеб Пудрин</t>
  </si>
  <si>
    <t>https://forum.finance.ua/viewtopic.php?p=4337922#p4337922    t-step написав:
Перепрошую, нагадайте про що саме йде мова?
Шановний v2 писал что мсс с развлекательного на одном из пунктов продажи абонементов стал таксидермистским 7399, по которому моня награждает только льготным периодом. А я просил проверить на других точках.</t>
  </si>
  <si>
    <t>Переходи в #монобанк ;)</t>
  </si>
  <si>
    <t>Paul Dzhusov</t>
  </si>
  <si>
    <t>Aleksandr Fedorov</t>
  </si>
  <si>
    <t>13:07</t>
  </si>
  <si>
    <t>Роман Дзюба</t>
  </si>
  <si>
    <t>13:05</t>
  </si>
  <si>
    <t>Сьогодні купляв квитки на літак .
 Як завжди з карткою Приват якісь трабли, то ліміт в інтернеті, то то , то сьо. Плюнув, поповнив картку Monobank і всьо пройшло. Треба остаточно звалювати на темну сторону (по звичці ще користуюся і приватівською).</t>
  </si>
  <si>
    <t>13:04</t>
  </si>
  <si>
    <t>приглашает вас в monobank! Оформите карту, перейдя по персональной ссылке, и вы оба получите по 50 грн на счет кешбэка!
https://monobank.com.ua/r/oy6t</t>
  </si>
  <si>
    <t>Максим Гарбуз</t>
  </si>
  <si>
    <t>Рахат Лукум</t>
  </si>
  <si>
    <t>igo_r, пополняй через приложение моно а не приват</t>
  </si>
  <si>
    <t>12:44</t>
  </si>
  <si>
    <t>Ну что, налили лимит.
Вот вроде 20% и норм. Но, это ж всего на 100 баксов можно начитаться?</t>
  </si>
  <si>
    <t>Даша Жук</t>
  </si>
  <si>
    <t>12:43</t>
  </si>
  <si>
    <t>Анна Бут</t>
  </si>
  <si>
    <t>12:40</t>
  </si>
  <si>
    <t>WachtAmRhein
На інших не пробував.
Відписався вже з дому.</t>
  </si>
  <si>
    <t>Інвестиції ТА Фінанси Доброго ранку! Друзі нагадую вам, що необхідно забрати свої картки monobank. Чому це пишу, тому що</t>
  </si>
  <si>
    <t>Інвестиції ТА Фінанси
Доброго ранку!
Друзі нагадую вам, що необхідно забрати свої картки monobank.
Чому це пишу, тому що з багатьма  спілкуюсь і знаю, багато карток оформленно вами онлайн!
Залишилось просто зайти і отримати вашу картку в найближчому від вас пункті. В програмі пропонуються варіанти зручні для вас. Якщо потрібно можу допомогти.)
Всім успіху і вдалого дня!!!
 запрошує вас у monobank! Оформіть картку, перейшовши за персональним посиланням, і ви обидва отримаєте по 50 грн на рахунок кешбека!
https://monobank.com.ua/r/qkwQ
https://monobank.com.ua/r/qkwQ</t>
  </si>
  <si>
    <t>Что-то через приложение приват24 с телефона не идёт на карту монобанка, пишет ошибку в поле ввода фио, якобы недопустимые символы</t>
  </si>
  <si>
    <t>igo_r</t>
  </si>
  <si>
    <t>Андрей Тарковский</t>
  </si>
  <si>
    <t>Андрей Александрович</t>
  </si>
  <si>
    <t>Моя рефералка МОНОБАНКА, оба получаем по 50 грн на счет кешбэка! /  / Если ищите замену приват24, лучше не п.. https://vk.cc/7U6wb9</t>
  </si>
  <si>
    <t>Arsenij Trynozhenko</t>
  </si>
  <si>
    <t>Моя рефералка МОНОБАНКА, оба получаем по 50 грн на счет кешбэка!
Если ищите замену приват24, лучше не придумать.
monobank – банк без відділень
Ми не несемо витрати на відділення, і тому можемо дати вам найвигідніші умови!
https://monobank.com.ua/r/RMKL</t>
  </si>
  <si>
    <t>Арсений Триноженко</t>
  </si>
  <si>
    <t>12:18</t>
  </si>
  <si>
    <t>WachtAmRhein написав:
 https://forum.finance.ua/viewtopic.php?p=4337863#p4337863    V2 написав:t-step
 https://forum.finance.ua/viewtopic.php?p=4302809#p4302809    V2 написав:Будьте уважні та обережні із цими "свинячими рилами".
Буковель. Витяги та прокат спорядження. МСС - 7399  
Раніше ці самі точки давали 7999.
Вы так и не ответили мне тогда, пробовали ли платить на других точках?
А то я в марте был, не было категории у Мони, поэтому Экомаксимумом платил.Перепрошую, нагадайте про що саме йде мова?</t>
  </si>
  <si>
    <t>t-step</t>
  </si>
  <si>
    <t>12:16</t>
  </si>
  <si>
    <t>Monobank - Как заработать больше!!! Оформите карту, перейдя по персональной ссылке, и вы получите по 50 грн на счет</t>
  </si>
  <si>
    <t>Monobank - Как заработать больше!!!
Оформите карту, перейдя по персональной ссылке, и вы получите по 50 грн на счет кешбэка!
Ссылка:       https://monobank.com.ua/r/XkZ9     
Это бесплатно</t>
  </si>
  <si>
    <t>Саня Маркусенко</t>
  </si>
  <si>
    <t>12:10</t>
  </si>
  <si>
    <t>Leya Anutina</t>
  </si>
  <si>
    <t>На Freelancehunt пришла monoвесна! Мы рады объявить о старте совместной акции «monовесна» с Monobank! Для участия в</t>
  </si>
  <si>
    <t>На Freelancehunt пришла monoвесна!
Мы рады объявить о старте совместной акции «monовесна» с Monobank!
Для участия в акции необходимо лишь оформить карту monobank. Вы гарантировано становитесь участником розыгрыша полезных призов от monobank.
Подарки пользователям Freelancehunt:
— 5 вместительных рюкзаков;
— 5 мощных PowerBank;
— 5 функциональных термокружек;
— 5 стильных футболок.
Ознакомиться подробнее с условиями проведения акции и зарегистрироваться можно на промо-странице — https://freelancehunt.com/promo/monospring</t>
  </si>
  <si>
    <t>12:04</t>
  </si>
  <si>
    <t>https://forum.finance.ua/viewtopic.php?p=4337863#p4337863    V2 написав:
t-step
 https://forum.finance.ua/viewtopic.php?p=4302809#p4302809    V2 написав:Будьте уважні та обережні із цими "свинячими рилами".
Буковель. Витяги та прокат спорядження. МСС - 7399  
Раніше ці самі точки давали 7999.
Вы так и не ответили мне тогда, пробовали ли платить на других точках?
А то я в марте был, не было категории у Мони, поэтому Экомаксимумом платил.</t>
  </si>
  <si>
    <t>Мы рады объявить о старте совместной акции «monовесна» с monobank!
Для участия в акции необходимо лишь оформить карту monobank. Вы гарантировано становитесь участником розыгрыша полезных призов от monobank.
Подарки пользователям Freelancehunt:
— 5 вместительных рюкзаков;
— 5 мощных PowerBank;
— 5 функциональных термокружек;
— 5 стильных футболок.
Ознакомиться подробнее с условиями проведения акции и зарегистрироваться можно на промо-странице — https://freelancehunt.com/promo/monospring
#freelance https://plus.google.com/s/#freelance  #freelancehunt https://plus.google.com/s/#freelancehunt   #mastercard https://plus.google.com/s/#mastercard  #monobank https://plus.google.com/s/#monobank</t>
  </si>
  <si>
    <t>Freelancehunt — простой и честный фриланс</t>
  </si>
  <si>
    <t>Мы рады объявить о старте совместной акции «monовесна» с monobank!
Для участия в акции необходимо лишь оформить карту monobank. Вы гарантировано становитесь участником розыгрыша полезных призов от monobank.
Подарки пользователям Freelancehunt:
— 5 вместительных рюкзаков;
— 5 мощных PowerBank;
— 5 функциональных термокружек;
— 5 стильных футболок.
Ознакомиться подробнее с условиями проведения акции и зарегистрироваться можно на промо-странице — https://freelancehunt.com/promo/monospring
Мы рады объявить о старте совместной акции «monовесна» с monobank!
Для участия в акции необходимо лишь оформить карту monobank. Вы гарантировано становитесь участником розыгрыша полезных призов от monobank.
Подарки пользователям Freelancehunt:
— 5 вместительных рюкзаков;
— 5 мощных PowerBank;
— 5 функциональных термокружек;
— 5 стильных футболок.
Ознакомиться подробнее с условиями проведения акции и зарегистрироваться можно на промо-странице — https://freelancehunt.com/promo/monospring</t>
  </si>
  <si>
    <t>Удаленная работа и фриланс - Freelancehunt.com</t>
  </si>
  <si>
    <t>Олена Войналович</t>
  </si>
  <si>
    <t>11:56</t>
  </si>
  <si>
    <t>Ольга Волга</t>
  </si>
  <si>
    <t>11:50</t>
  </si>
  <si>
    <t>приглашает вас в monobank! Оформите карту, перейдя по персональной ссылке, и вы оба получите по 50 грн на счет кешбэка!
https://monobank.com.ua/r/kR7e</t>
  </si>
  <si>
    <t>Стас Фомин</t>
  </si>
  <si>
    <t>приглашает вас в monobank! Оформите карту, перейдя по персональной ссылке, и вы оба получите по 50 грн на счет.. https://vk.cc/7U5Vl2</t>
  </si>
  <si>
    <t>Стас Аникеенко</t>
  </si>
  <si>
    <t>Olya  Pankovec</t>
  </si>
  <si>
    <t>Чаще всего бьются экраны у самых продаваемых телефонов, ну и там, где конструкция реально имеет недолик. MOYO респект за</t>
  </si>
  <si>
    <t>Михаил Кириллов да тут как кому удобнее - я вот бритву отцу в рассрочку через монобанк купил</t>
  </si>
  <si>
    <t>Сергей Митяев</t>
  </si>
  <si>
    <t>Максет Тарихов</t>
  </si>
  <si>
    <t>Илья Усманов</t>
  </si>
  <si>
    <t>Дмитрий Родионов</t>
  </si>
  <si>
    <t>t-step
 https://forum.finance.ua/viewtopic.php?p=4302809#p4302809    V2 написав:
Будьте уважні та обережні із цими "свинячими рилами".
Буковель. Витяги та прокат спорядження. МСС - 7399  
Раніше ці самі точки давали 7999.</t>
  </si>
  <si>
    <t>Irina  Serkova</t>
  </si>
  <si>
    <t>Котики добрались до моего кармашкаУдобный мобильный банкинг,кэшбек и много всяких крутых приколях Оформите карту, перейдя по персональной ссылке, и получите 50 грн на счет кешбэка!
https://monobank.com.ua/r/j9cB
#monobank_party #monobank #удобно #простовыгодно #котики #переходинатемнуюсторону</t>
  </si>
  <si>
    <t>Алиса Селезнева</t>
  </si>
  <si>
    <t>Непонятный Чел</t>
  </si>
  <si>
    <t>10:50</t>
  </si>
  <si>
    <t>Я с вами котики #monobank #котикимуркотики #первыйдлякотиков #лучшийбанкдлявашейкиски</t>
  </si>
  <si>
    <t>Алиса Селезнёва</t>
  </si>
  <si>
    <t>Хтось в курсі,скіпаси в касах на Буковелі йдуть під СПОРТ?</t>
  </si>
  <si>
    <t>Anatoliy Mirkowich</t>
  </si>
  <si>
    <t>Ольга Дьяченко</t>
  </si>
  <si>
    <t>Weblancer Weblancer</t>
  </si>
  <si>
    <t>Alina  Kovalenko</t>
  </si>
  <si>
    <t>En Core</t>
  </si>
  <si>
    <t>Анастасия Лунева</t>
  </si>
  <si>
    <t>#тароскопсоломки От і квітень настав! А значить саме час дізнатися про те, яким він буде і запланувати щось грандіозне</t>
  </si>
  <si>
    <t>#тароскопсоломки
От і квітень настав! А значить саме час дізнатися про те, яким він буде і запланувати щось грандіозне ;) Прогноз на цей місяць читайте вже, а на цей тиждень - трохи згодом. http://solomka.kiev.ua/?p=915
Хто хоче подякувати -
рахунок у Приватбанку № 5168 7556 0104 7000
рахунок у Monobank  № 5375 4141 0038 4113
Прогноз на квітень 2018 – Ольга Соломка
Прогноз на місяць Прогноз на квітень 2018 Прогноз для Украины на апрель Общество. Император. На первый план выходит лидер, который все громче заявляет о себе, берет ...
http://solomka.kiev.ua/?p=915</t>
  </si>
  <si>
    <t>Olga Solomka</t>
  </si>
  <si>
    <t>Евгений Громов</t>
  </si>
  <si>
    <t>10:14</t>
  </si>
  <si>
    <t>Юрий Зеленин</t>
  </si>
  <si>
    <t>#monobank #mono #qrcat #challenge #googkepay
Про можливості.
Днями я розраховувалась картою Моно в супермаркеті за допомогою Google Pay. Просто піднесла свій телефон до терміналу і оплатила свою покупку. Поруч стояла пара. Хлопець звернув увагу подруги на цей спосіб оплати і спитав: "а в твого телефону є така функція?". "Так, - відповіла трохи роздратована дівчина, - а в банку - немає..."
Я злегка посміхнулась...переходьте на темний бік! Оформлюйте карту Монобанку і буде вам Google Pay! І ще 50 грн на рахунок кешбеку 
https://monobank.com.ua/r/XWnH</t>
  </si>
  <si>
    <t>#monobank
Я уже перешла....а ты?
Оформляй карту, перейдя по моей ссылке, и ты получишь 50 грн на счет кешбэка!
(Ссылка в профиле)</t>
  </si>
  <si>
    <t>Rudolf Kim</t>
  </si>
  <si>
    <t>Ирина Петрухина</t>
  </si>
  <si>
    <t>Светлана Носкова</t>
  </si>
  <si>
    <t>А пайпас на турнікетах не підходить?</t>
  </si>
  <si>
    <t>kvv</t>
  </si>
  <si>
    <t>Сегодня на улице пахнет весной! Прав QR-кот из МОНОБАНКА</t>
  </si>
  <si>
    <t>Я до тебе йду....)))</t>
  </si>
  <si>
    <t>Алена Гаевая</t>
  </si>
  <si>
    <t>Ваня Иванов</t>
  </si>
  <si>
    <t>Артём-И-Дима Коротковы</t>
  </si>
  <si>
    <t>Друзі, наш QR-кіт прикрасив свій стіл ще однією нагородою — перемога monobank в конкурсі «Фаворити Успіху» за</t>
  </si>
  <si>
    <t>Дякуємо!</t>
  </si>
  <si>
    <t>Universal Bank</t>
  </si>
  <si>
    <t>Как же круто их троллит монобанк:))</t>
  </si>
  <si>
    <t>Grigoriy</t>
  </si>
  <si>
    <t>Linux mining</t>
  </si>
  <si>
    <t>Марат Давлетов</t>
  </si>
  <si>
    <t>Юрій Камінський</t>
  </si>
  <si>
    <t>5 бизнес-ивентов апреля, которые нельзя пропустить</t>
  </si>
  <si>
    <t>События Подборка мероприятий о компаниях будущего, управлении изменениями и новых технологиях  Автор: Анна Аблицова  Компании будущего настоящего и прошлого.
 Что мне выбрать?  Когда  : 4 апреля, 19:00 – 20:30
 Где:  Киево-Могилянская бизнес-школа (ул. Волошская, 8/5)
 Стоимость  : 400 грн 
 Чтобы понять компании будущего, нужно сначала разобраться с компаниями прошлого и настоящего – каким образом эволюционируют управленческие культуры. Именно это и будут обсуждать на мероприятии.  К.Fund Media  Лекцию прочитает  Валерий Пекар  – президент выставочной компании «Евроиндекс», глава наблюдательного совета выставочного центра «КиевЭкспоПлаза», преподаватель Киево-Могилянской бизнес-школы.  Презентация книги Ицхака Адизеса «Управление изменениями»  Когда  : 5 апреля, 19:00
 Где:  Бизнес-школа МИМ-Киев (ул. Шулявская, 10/12в)
 Стоимость:  бесплатно при условии регистрации 
 В рамках презентации книги выступит  Виргиниюс Кундротас  – декан Высшей школы Адизеса (США), постоянный приглашенный преподаватель Бизнес-школы МИМ на программах МВА и DBA. Он прочитает лекцию «Управление изменениями 2.0. Что нужно для эффективного управления в 21 веке?»  mim.kiev.ua  Книга Ицхака Адизеса «Управление изменениями» готовится к выходу в издательстве Book Chef в рамках серии «Библиотека МИМ». Это будет обновленное издание, впервые напечатанное на украинском языке.  UNIT Fintech Forum 2018  Когда  : 19 апреля, 9:30 – 18:30
 Где:  UNIT.City (ул. Дорогожицкая, 1)
 Стоимость:  2500 грн 
 На мероприятии будет четыре панельные дискуссии:
 — цифровая трансформация банковской системы;
 — инновационные офисы: кейсы и вызовы;
 — корпоративные финтех-инновации: экосистема и акселераторы;
 — прорывные финтех-технологии.  Unit.city  Спикеры расскажут о кейсах и обсудят риски и возможности открытия внутренних офисов цифровых инноваций для банков. 
 Главный лектор –  Алистер Лукис  , председатель независимой негосударственной организации Innovate Finance и советник премьер-министра Великобритании по финтех-вопросам. 
 Регистрация  Авторский семинар Гарика Корогодского о партнерстве в бизнесе  Когда  : 22 апреля, 10:00
 Где:  Hilton Kyiv Киев (б-р Тараса Шевченко, 30)
 Стоимость:  от 2000 грн 
 Точно такое же мероприятие уже проходило в марте. Организаторы решили его повторить по просьбам желающих.  The Kiev City  Гарик Корогодский  – это бизнесмен, совладелец фитнес-центра «Аквариум» и ТРЦ Dream Town. На семинаре он поделится опытом, кейсами, правилами бизнеса, которые часто противоречат общепринятым, расскажет о партнерстве в бизнесе: нужно ли оно и как правильно договариваться.  IForum 2018  Когда  : 25 апреля, 9:00 – 19:00
 Где  : МВЦ (Броварской проспект, 12)
 Стоимость  : от 940 грн 
 Конференция iForum проходит ежегодно. На этот раз она состоит из девяти потоков с тематическими выступлениями, которые будут проходить одновременно в нескольких залах. Это «Интернет-бизнес», «Стартапы», «Реклама и продвижение», «Интернет-технологии», «Образовательные технологии будущего», «Инновации», «Блокчейн», «Digital Fun», «CRM».  Facebook  Среди приглашенных спикеров – сооснователь Monobank  Дмитрий Дубилет  , владелец брендингового агентства Fedoriv  Андрей Федорив  , совладелец Планеты Кино  Дмитрий Деркач  и другие.</t>
  </si>
  <si>
    <t>K.Fund Media</t>
  </si>
  <si>
    <t>kfund-media.com</t>
  </si>
  <si>
    <t>Шото давно ничего небыло слышно про крипту.... Господа майнеры, трейдеры, дилеры и прочие джентельмены удачи. Когда?</t>
  </si>
  <si>
    <t>Олексій Мотузков а чем тебе монобанк не нравится? Это ж та же обычная кредитка от универсал банка, с похожим на приват функционалом касательно электронных платежей. Нет?</t>
  </si>
  <si>
    <t>Alexandr  Fokin</t>
  </si>
  <si>
    <t>Олексій Мотузков</t>
  </si>
  <si>
    <t>Александр Малахов</t>
  </si>
  <si>
    <t>Татьяна Кирилюс</t>
  </si>
  <si>
    <t>08:56</t>
  </si>
  <si>
    <t>Александра Ахмедова</t>
  </si>
  <si>
    <t>clientage написав:
 https://forum.finance.ua/viewtopic.php?p=4337394#p4337394    dexter написав:Горох с Дубом сами этого хотели, все свинорылы у них, а олени в привате остались
Какие тут свинорылы в апреле?
У них ни нормальных стручков ни жёлудей щас нема, ну разве шо книжку какую почитать, да на роликах покататься    Книга подходящая есть - Три поросёнка.</t>
  </si>
  <si>
    <t>благодарю Сергей Михальчук за "наколочку" ) хороший банк с отличным моб.банкингом и самым низким процентом по всем</t>
  </si>
  <si>
    <t>благодарю Сергей Михальчук за "наколочку" ) хороший банк с отличным моб.банкингом и самым низким процентом по всем банковским продуктам. Хорошая альтернатива приватбанку и прочим...
monobank
Перший банк без відділень в Україні
https://viber.com/monobank</t>
  </si>
  <si>
    <t>Roman Didenko</t>
  </si>
  <si>
    <t>Анна Делова</t>
  </si>
  <si>
    <t>Барсик Барселона</t>
  </si>
  <si>
    <t>08:21</t>
  </si>
  <si>
    <t>Кирилл Карлович</t>
  </si>
  <si>
    <t>swan forever
Так это давно известно для тех кто дружит со сбером России.</t>
  </si>
  <si>
    <t>pavyak</t>
  </si>
  <si>
    <t>08:17</t>
  </si>
  <si>
    <t>08:12</t>
  </si>
  <si>
    <t>08:10</t>
  </si>
  <si>
    <t>Камал Рахимжанов</t>
  </si>
  <si>
    <t>07:52</t>
  </si>
  <si>
    <t>Василий Токарев</t>
  </si>
  <si>
    <t>07:47</t>
  </si>
  <si>
    <t>پلاسٹک انگور</t>
  </si>
  <si>
    <t>07:45</t>
  </si>
  <si>
    <t>07:27</t>
  </si>
  <si>
    <t>https://forum.finance.ua/viewtopic.php?p=4337734#p4337734    guntherhouse777 написав:
 https://forum.finance.ua/viewtopic.php?p=4337669#p4337669    alexandr_kysil написав: https://forum.finance.ua/viewtopic.php?p=4337490#p4337490    guntherhouse777 написав:В Ашане и так 10% КБ
вот с этого места, если можно, поподробнее 
набил продуктами и красотой 500, порезало в этом месяце..
книжки под 19 порадовали, ждал их) так что в этом месяце на полку, Б5 в руки
В лс.
И мне пожалуйста!</t>
  </si>
  <si>
    <t>swan forever</t>
  </si>
  <si>
    <t>07:25</t>
  </si>
  <si>
    <t>Igor Tyutyunnik</t>
  </si>
  <si>
    <t>07:24</t>
  </si>
  <si>
    <t>https://forum.finance.ua/viewtopic.php?p=4337490#p4337490    guntherhouse777 написав:
 https://forum.finance.ua/viewtopic.php?p=4337221#p4337221    Кащей написав: https://forum.finance.ua/viewtopic.php?p=4337212#p4337212    guntherhouse777 написав:два месяца подряд набирал полное лукошко.
Дали КБ на этот месяц +1% К Вашему. (как у Импри)
 а неокэшбэченные транзакции вообще были по карте?
по всем картам ВИЗА Эксима платится кешбек в зависимости от класса:
 налог берут с него?
23 грн. прошли без КБ.
В пивной наливайке купил литр пива. Оказалось, 7399 Бизнес – сервис. О как...
Любая операция через пос должна быть с КБ. Это аксиома.
Сима. вроде бы, даже 5%- это здорово.
Но пул КК Моня-Тася-Алла дает почти те же самые 5% чистыми.
У меня не те обороты,  чтобы из за максимум 0.5% кб платить 1-3К за голду.
В Ашане и так 10% КБ, в сельпо бумажками рассчитываюсь.
Пардон, это на чём в Ашане 10% снять можно? Шо за банка?</t>
  </si>
  <si>
    <t>07:20</t>
  </si>
  <si>
    <t>Картка «Універсальна» - Кредит до 25 000 гривень - 10% річних на залишок по картці - Оформлення без довідок, за паспортом</t>
  </si>
  <si>
    <t>нет смартфона и не будет, как установить монобанк на ноутбук?</t>
  </si>
  <si>
    <t>Анатолий Парнас</t>
  </si>
  <si>
    <t>Монобанк MONOBANK</t>
  </si>
  <si>
    <t>07:18</t>
  </si>
  <si>
    <t>Наталья Арамелева (Федоренко)</t>
  </si>
  <si>
    <t>07:12</t>
  </si>
  <si>
    <t>Ира Клюева</t>
  </si>
  <si>
    <t>07:02</t>
  </si>
  <si>
    <t>О! На книги 20%! Амазон привет)</t>
  </si>
  <si>
    <t>Isaland</t>
  </si>
  <si>
    <t>Дымийыатрыйк Вафлев</t>
  </si>
  <si>
    <t>06:58</t>
  </si>
  <si>
    <t>Геннадий Зубков</t>
  </si>
  <si>
    <t>06:47</t>
  </si>
  <si>
    <t>Дмитрий Караулов</t>
  </si>
  <si>
    <t>06:39</t>
  </si>
  <si>
    <t>Асем Алибековна</t>
  </si>
  <si>
    <t>06:29</t>
  </si>
  <si>
    <t>Бека Агабек</t>
  </si>
  <si>
    <t>Дарья Сикматова</t>
  </si>
  <si>
    <t>06:01</t>
  </si>
  <si>
    <t>Рината Шмидт</t>
  </si>
  <si>
    <t>05:59</t>
  </si>
  <si>
    <t>https://forum.finance.ua/viewtopic.php?p=4337669#p4337669    alexandr_kysil написав:
 https://forum.finance.ua/viewtopic.php?p=4337490#p4337490    guntherhouse777 написав:В Ашане и так 10% КБ
вот с этого места, если можно, поподробнее 
набил продуктами и красотой 500, порезало в этом месяце..
книжки под 19 порадовали, ждал их) так что в этом месяце на полку, Б5 в руки
В лс.</t>
  </si>
  <si>
    <t>Фериде Алментаевна</t>
  </si>
  <si>
    <t>05:45</t>
  </si>
  <si>
    <t>Алиса Шакирова</t>
  </si>
  <si>
    <t>05:43</t>
  </si>
  <si>
    <t>Арсен Айрапетян</t>
  </si>
  <si>
    <t>05:35</t>
  </si>
  <si>
    <t>Артур Древицький</t>
  </si>
  <si>
    <t>05:29</t>
  </si>
  <si>
    <t>Марина Макурина</t>
  </si>
  <si>
    <t>05:24</t>
  </si>
  <si>
    <t>Бауыржан Дони</t>
  </si>
  <si>
    <t>05:22</t>
  </si>
  <si>
    <t>Валера Середа</t>
  </si>
  <si>
    <t>05:21</t>
  </si>
  <si>
    <t>Sasha Manko</t>
  </si>
  <si>
    <t>05:06</t>
  </si>
  <si>
    <t>Андрей Усеев</t>
  </si>
  <si>
    <t>04:59</t>
  </si>
  <si>
    <t>Перловка Азарова</t>
  </si>
  <si>
    <t>04:51</t>
  </si>
  <si>
    <t>Мухаммед Абдунасыр</t>
  </si>
  <si>
    <t>04:26</t>
  </si>
  <si>
    <t>Артём Бойко</t>
  </si>
  <si>
    <t>02:50</t>
  </si>
  <si>
    <t>Монобанк - Первый Мобильный Банк в Украине! Расчет Кредитного Лимита Прям с Твоего Смартфона без Интервью с Кредитными</t>
  </si>
  <si>
    <t>Монобанк - Первый Мобильный Банк в Украине!
Расчет Кредитного Лимита Прям с Твоего Смартфона без Интервью с Кредитными Брокерами и Похода в Банк. Просто Установи Приложение!
Кэшбэк, Рассрочка, Комуналка, Пополнение Карты без Комиссии - Все Это в Одной Карте!
Каждый, кто зарегистрировался в monobank, получит кредитную карту в гривне, оснащенную бесконтактной технологией PayPass для мгновенных расчетов.
Закажи карту с доставкой на дом по ссылке ниже и получи 50 грн. на счёт!
https://monobank.com.ua/r/ssmG</t>
  </si>
  <si>
    <t>Artem  Boyko</t>
  </si>
  <si>
    <t>02:42</t>
  </si>
  <si>
    <t>Виктор Луценко</t>
  </si>
  <si>
    <t>/forum/index.php?act=findpost&amp;pid=66855849  GREmI87, что за бред? У меня море знакомых забрало свои карты в Житомирском представительстве Universal Bank в центре города</t>
  </si>
  <si>
    <t>molny_ua</t>
  </si>
  <si>
    <t>01:03</t>
  </si>
  <si>
    <t>Serg Ми не несемо витрати на відділення, і тому можемо дати вам найвигідніші умови!</t>
  </si>
  <si>
    <t>Serg
Ми не несемо витрати на відділення, і тому можемо дати вам найвигідніші умови!
https://monobank.com.ua/r/vKsi</t>
  </si>
  <si>
    <t>Сергей Бошняков</t>
  </si>
  <si>
    <t>/forum/index.php?act=findpost&amp;pid=71934535  7Sense,
 /forum/index.php?act=findpost&amp;pid=71934313  21Юрий21,
Спасибо за ответы. По ссылке таки не получилось, а вот техподдержка попросила почту и пообещала завтра выслать линк на бетку.</t>
  </si>
  <si>
    <t>fandorinua</t>
  </si>
  <si>
    <t>00:21</t>
  </si>
  <si>
    <t>По граблям…</t>
  </si>
  <si>
    <t>Забавный эпизод из жизни он-лайн.
 Недавно, пролистывая новостную ленту, я упёрся в пост «Прощай Приватбанк». Под которым была ссылка на рекламу карт какого-то Монобанка.
 А дело в том, что я не люблю рекламу.
 Особенно навязчивую, «с извращениями».
 Типа невинных постов с опытом «простых смертных».
 Те «френды», что были замечены в набивании «джинсы» (за вознаграждение или по доброте душевной), уже давно отправлены бродить в альтернативные миры. Где им рады…
 И тут такой сюрприз!
 Пошёл по ссылке.
 Ну да, всё как обычно – доверьте нам ваши денежки, и мы сделаем вас счастливыми. Бесплатно. И с приятными бонусами.
 Пошёл на страницу «френда».
 Вроде ничо так, нормальный, вменяемый чел.
 Не зрадойоб, не МЛМ-щик.
 ОК, попробую объяснить проблему.
 Начинаю переписку, ВЕЖЛИВО уточняя детали. В «игру» тут же включается некто  «Картка від Monobank»  , доказывая всю беспочвенность моих подозрений.
 Да, проект запущен топ-менеджментом Привата. Бывшим… А что, не имеют права?
 Нет, никакого риска. Это такой специальный тип банка, без отделений, без кучи обслуживающего персонала, поэтому всё так дешево.
 Да, карточки выпускаются от имени  ПАТ «УНІВЕРСАЛ БАНК», чтобы было ещё надёжнее.
 Нет, никакого риска. Вы не перечисляете никаких средств Монобанку, мы просто облегчаем Вашу жизнь.
 После моего вопроса  «А нахрена мне «Монобанк», если карты принадлежат «Универсалу» Тигипка? Что там делает посредник?»  нечто под названием  «Картка від Monobank»  диалог прекратило.
 В эфире остались мы с «френдом».
 Дальше несколько аргументов «френда»:
 - Монобанк принадлежит Универсал Банку. Беня теперь наверное не рискнет в Украине банк открывать
 …
 - О каких пирамидах речь, если монобанк не позиционирует себя как банк для депозитов?
 …
 - Я не делаю им вкладов, пользуюсь карточкой с деньгами банка
 …
 - Никакого посредника не существует. Существует Универсал, который выпустил карту, монобанк это суббренд Универсала. Допустим, если у вас стартовый пакет Диджус, вы все равно остаетесь клиентом Киевстара, а Диджус просто бренд.
 …
 - Монобанк использую как удобную кредитную карту, депозитов у меня там нет, поэтому я в принципе не рискую. 
 В этот момент я понял, что мозги человеку засраны капитально и аргументы он не воспринимает.
 Удалять его из френд-листа пока не стал, понаблюдаю в динамике.
 Но что важно.
 После эпичного МММ (R.I.P Мавроди), фееричных Кингс-кепитал и строительных афер, псевдо-Михайловского банка и пр. находятся люди, свято верящие в Великую, Непостижимую Халяву!
 Умные, образованные люди – с какой-то быдлячей тягой к «шаре». И поиском того дурачка, кто за свои кровные облегчит их жизнь…
 Это ЖЕСТЬ!
 Я должен согласиться: да, технологии не стоят на месте. Методики выкачивания излишков бабла из лоховатого населения развиваются вместе с «гиперлупами». Теперь, похоже, для сравнительно честного отъема денег не нужно даже брать их в руки! Клиент всё сделает САМ!
 Вот ссылка на схему .
 Для сомневающихся - комент под статьей. Вроде всё ясно?
 Если непонятно – объясняю.
 Экс-топы Привата запустили  проект  (не банк, заметьте!)
 Они встраиваются  посредником  между Клиентом и Банком, минимизируя расходы Клиента на банковские операции и предоставляя ему удобный онлайновый инструмент управления счетом.
 За что?
 Просто за право проводить операции по банковскому счету Клиента от его (Клиента) имени.
 Гениально!
 Вот тебе 2 процента скидки на банковскую комиссию, прикольная аппликуха в смартфон и кэшбэк на покупки – только дай нам ключ от своего банковского счета.
 Просекли?
 Нет?
 Они набирают тысячи доверчивых клиентов, скармливая их скидочки в аппликушечке, а затем одним махом – ХАП! – и деньги клиентов «ушли в туман». Вместе с руководством.
 А Банк (в данном случае – тигипковский «Универсал») только разведет руками и покажет клиентам бумажки. Это вы уполномочили ООО «Рога и Копыта» распоряжаться вашими деньгами в нашем банке? Вот они и распорядились…
 А что, «Универсалбанк» так поступить не может?
 Может.
 Но, во-первых, для создания банка нужно вложить не один десяток вечнозеленых «лимонов» и пару лет жизни. Что делает подобные аферы нерентабельными.
 Во-вторых, он находится под регулярным контролем НБУ. В том числе в плане обязательного независимого аудита. Подобные схемы вскрываются при первом же аудите.
 В-третьих, Фонд гарантирования вкладов выплатит каждому пострадавшему до 100 000 грн. Для большинства обычных клиентов этого вполне достаточно, чтобы доверять банкам свои текущие операции.
 А тут – раз – и всплывает ООО «Рога и Копыта».
 Вроде-банк, вроде-выгодно, и аппликушечка привлекательная…
 И – главное – что ты им «пришьёшь»?
 Ты договор-поручение подписывал?
 Сам? Не под дулом пистолета?
 Ты его перед этим читал?
 А ПОНЯЛ?
 Так какие претензии?!
 И начнётся привычный вой  «Ааааа, влада знову обдурює простих людей!!!» 
 Хотя при чем тут «влада»?
 Я могу доверить право распоряжаться моим счетом хоть жене (хм…), хоть тёще (свят-свят-свят), хоть соседу Васе. Возможные проблемы с деньгами при этом – только мои, как плата за доверчивость.
 Но если я доверю деньги ООО «Рога и Копыта» - тут виновата Держава вообще и Пэтро Барыжный в частности.
 Что не упредил, не проконтролировал, не надоумил… не, не так: что НЕ ПРЕДЛОЖИЛ мне выгодный,  справедливый  прОцент и толкнул в объятия мошенников.
 Правильно?
 Коллеги!
 Да, коллеги, поскольку несмотря на кардинальные различия в идеологии у нас есть единая цель «Вільна, незалежна Україна».
 Я выложил этот опус с простой и понятной целью: предупредить вас (ВСЕХ!) о новой схеме «кидняка» и попросить – будьте внимательны! Не введитесь на дешевизну! Включайте мозги!!!
 Невсеремось!
 © Ыксперд Ы-Э [27.03.2018] | Рейтинг: 37.2/45 | Переглядів: 272</t>
  </si>
  <si>
    <t>Дурдом</t>
  </si>
  <si>
    <t>durdom.in.ua</t>
  </si>
  <si>
    <t>Фундація Інноваційного Лідерства</t>
  </si>
  <si>
    <t>00:07</t>
  </si>
  <si>
    <t>В приложении monobank есть одна приятная фича. Если вы сделали кому-то перевод, то в выписке мы показываем на этом</t>
  </si>
  <si>
    <t>Дмитрий Дубилет неудобно когда переводишь кому то на карточку деньги, но не отображается фамилия получателя. можно цифру не ту ввести по ошибке и перекинуть кому то другому деньги</t>
  </si>
  <si>
    <t>Сергей Згурский</t>
  </si>
  <si>
    <t>Olga  Zubenko</t>
  </si>
  <si>
    <t>Oksana Zelinska</t>
  </si>
  <si>
    <t>01.04.2018</t>
  </si>
  <si>
    <t>Регестрируйтесь по ссылке и получайте 50 грн. на кэшбэк! 
https://monobank.com.ua/r/wvME https://www.facebook.com/story.php?story_fbid=10216244798058595&amp;id=1412114536</t>
  </si>
  <si>
    <t>Dimitriy Matusov</t>
  </si>
  <si>
    <t>Регестрируйтесь по ссылке и получайте 50 грн. на кэшбэк! Monobank Ми вклали весь свій досвід у те, щоб зробити</t>
  </si>
  <si>
    <t>Регестрируйтесь по ссылке и получайте 50 грн. на кэшбэк!
https://monobank.com.ua/r/wvME
Monobank
Ми вклали весь свій досвід у те, щоб зробити найзручніший мобільний додаток. Прості перекази, оплата комуналки, функціональна виписка, налаштування картки, заради яких раніше доводилося ходити у відділення, — тепер у вашій кишені!</t>
  </si>
  <si>
    <t>23:15</t>
  </si>
  <si>
    <t>Сообщение от SerP
Да и avkiev про 5% везде говорил у Эксима.
Но однозначно по доступности, подводным камням и удобстве использования они проигрывают
Вам, одесситам, с Ним вообще нет проблем. Пополнение с Аллы бесплатное . Минус это есть плата за обслуживание (брал по акции вроде бесплатный первый год) Плюс это 5% грязными круглый год. Учитывая, что 4% от Мони это лотерея и что я их кешбеки и без продуктов пока выбиваю всегда по максимуму, то для меня очень годный доп вариант.</t>
  </si>
  <si>
    <t>Как же всё-таки используется физиогномика во время анализа платежеспособности клиентов FranchTV Анонс интервью с</t>
  </si>
  <si>
    <t>Как же всё-таки используется физиогномика во время анализа платежеспособности клиентов
FranchTV
Анонс интервью с Дмитрием Дубилетом, который придумал Монобанк — первый mobile-only банк на украинском рынке. Мы сравнили его с Тиньковым, обсудили тренды в банковских технологиях и выяснили, насколько заблуждались создатели Футурамы относительно банков будущего. В конце интервью Дмитрий Дубилет подписал рюкзак, фото которого буквально порвало Фейсбук, чтобы мы разыграли его среди подписчиков.
Подпишись на канал FranchTV, чтобы не пропустить интервью: https://goo.gl/d8eWAc</t>
  </si>
  <si>
    <t>Дмитрий Лузаков</t>
  </si>
  <si>
    <t>Сообщение от Kritik
Точно? GLOOMER что-то про Универсал и 5% говорил.
Да и avkiev про 5% везде говорил у Эксима.
Но однозначно по доступности, подводным камням и удобстве использования они проигрывают</t>
  </si>
  <si>
    <t>SerP</t>
  </si>
  <si>
    <t>Сергей
Сергій Лєсогорський приглашает вас в monobank! Оформите карту, перейдя по персональной ссылке, и вы оба получите по 50 грн на счет кешбэка!
https://monobank.com.ua/r/dxnV
Ул. Комсомольская!) +18!</t>
  </si>
  <si>
    <t>Светлана Рыбалка</t>
  </si>
  <si>
    <t>Илья приглашает вас в monobank! Оформите карту, перейдя по персональной ссылке, и вы оба получите по 50 грн на счет кешбэка!
https://monobank.com.ua/r/mGfG</t>
  </si>
  <si>
    <t>Shevel Denis</t>
  </si>
  <si>
    <t>Оплата коммуналки - ЖК "Зеленый квартал"</t>
  </si>
  <si>
    <t>Dmitriy_S писал(а):спасибо за информацию, но обзаводиться счето и карточкой какого-то банка только для оплаты коммуналки, не резон. выберу из уже доступных вариантов.
Еще без комиссии ОТП Банк. Еще сейчас появился MonoBank - любые платежи в т.ч. коммунальные без комиссии и не только...</t>
  </si>
  <si>
    <t>geolog</t>
  </si>
  <si>
    <t>forum.domik.ua</t>
  </si>
  <si>
    <t>Форум недвижимости Киева и Украины &gt; ЖК "Зелёный квартал"</t>
  </si>
  <si>
    <t>22:47</t>
  </si>
  <si>
    <t>Elena Pavlova</t>
  </si>
  <si>
    <t>https://forum.finance.ua/viewtopic.php?p=4337592#p4337592    Vorlon написав:
Прикольно в FB - все недовольные апрельским кэшбеком и рассуждающие про сорта людей автоматически покидают группу 
Таки да. Моню можно только хвалить, за критику сразу банят))</t>
  </si>
  <si>
    <t>sola</t>
  </si>
  <si>
    <t>Приглашаю вас в monobank! Оформите карту по ссылке, и получите 50 грн на счет кешбэка!
https://monobank.com.ua/r/gBa3
https://youtu.be/-yrum1rh1A4
З карткою monobank кожен банкомат ваш!
Приєднуйтесь — https://monobank.com.ua/get
monobank — перший в Україні мобільний банк без відділень. Щоб стати клієнтом, потрібно мати смартфон на Android або iOS.
Android — https://play.google.com/store/apps/details?id=com.ftband.mono
iOS — https://itunes.apple.com/ru/app/id1287005205
Деталі — https://monobank.com.ua/</t>
  </si>
  <si>
    <t>Татьяна Ларина</t>
  </si>
  <si>
    <t>АНДРІЙ ПОЛТАВА | 16+
Андрій Полтава (Вата Шоу) на 16+.
Проект для тих, кому набридла нескінченна політична порнографія. Ніжна м’ясорубка для найапетитніших шматочків українського соціуму.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t>
  </si>
  <si>
    <t>Роман Козак</t>
  </si>
  <si>
    <t>О Монобанк продолжение. И после многочисленных постов Олега Гороховского о том как они там все придумали я таки решил</t>
  </si>
  <si>
    <t>Филобок Роман у меня пока тоже так.</t>
  </si>
  <si>
    <t>Dmitriy Bazhenov</t>
  </si>
  <si>
    <t>Донецкие Киевские</t>
  </si>
  <si>
    <t>https://forum.finance.ua/viewtopic.php?p=4337596#p4337596    Ratatui написав:
 https://forum.finance.ua/viewtopic.php?p=4337592#p4337592    Vorlon написав:Прикольно в FB - все недовольные апрельским кэшбеком и рассуждающие про сорта людей автоматически покидают группу 
Модераторы не спят. 
Все наши здесь:-$</t>
  </si>
  <si>
    <t>Valentina Tiutiunnik</t>
  </si>
  <si>
    <t>Жека, решил перейти на монобанк?</t>
  </si>
  <si>
    <t>Eugene  Khokhlov</t>
  </si>
  <si>
    <t>Vladimir  Ryabokon</t>
  </si>
  <si>
    <t>Что ж за беспредел??? Уважаемый Ukrsibbank BNP Paribas Group, где же ваша совесть и так красиво рекламируемая забота о</t>
  </si>
  <si>
    <t>Переходи на monobank и не парься)</t>
  </si>
  <si>
    <t>Sergie Rozhkov</t>
  </si>
  <si>
    <t>Каринэ Туманянц</t>
  </si>
  <si>
    <t>Костя Котов</t>
  </si>
  <si>
    <t>Поздравляю!!</t>
  </si>
  <si>
    <t>Ruslan Kozin</t>
  </si>
  <si>
    <t>Анастасия Андрющенко</t>
  </si>
  <si>
    <t>Диман Гудилин</t>
  </si>
  <si>
    <t>ЗАПОРОЖСКИЕ НОВОСТИ</t>
  </si>
  <si>
    <t>Сообщение от allaliu
и ни в каком другом банке, на продукты, такого кеша нет
Точно? GLOOMER что-то http://red-forum.com/showpost.php?p=1369596&amp;postcount=3506  про Универсал и 5% говорил.</t>
  </si>
  <si>
    <t>Kritik</t>
  </si>
  <si>
    <t>https://forum.finance.ua/viewtopic.php?p=4337605#p4337605    BBC написав:
 https://forum.finance.ua/viewtopic.php?p=4337592#p4337592    Vorlon написав:Прикольно в FB - все недовольные апрельским кэшбеком и рассуждающие про сорта людей автоматически покидают группу 
Отсев свинорылов категории "тварини".
я б сказал даж "тварюки"</t>
  </si>
  <si>
    <t>https://forum.finance.ua/viewtopic.php?p=4337592#p4337592    Vorlon написав:
Прикольно в FB - все недовольные апрельским кэшбеком и рассуждающие про сорта людей автоматически покидают группу 
Отсев свинорылов категории "тварини".</t>
  </si>
  <si>
    <t>BBC</t>
  </si>
  <si>
    <t>Михаил Староконстантиновский</t>
  </si>
  <si>
    <t>Леся Депутат</t>
  </si>
  <si>
    <t>Сообщение от Nickolay
АЗС ваапще нема на апрель ни у кого?
Ваапчще!</t>
  </si>
  <si>
    <t>Tax</t>
  </si>
  <si>
    <t>(PhoeniX07 @ Apr 1 2018, 21:33)  index.php?act=findpost&amp;pid=6218306 
А есть скрини, какие проценты у "везунчиков"?
везде по -1% на категориях (и за свои и за кредитные).. т.е. к примеру продукты у обычных 4/2%, у людей второго сорта - 3/1%</t>
  </si>
  <si>
    <t>megan</t>
  </si>
  <si>
    <t>Olga Vovk</t>
  </si>
  <si>
    <t>https://forum.finance.ua/viewtopic.php?p=4337592#p4337592    Vorlon написав:
Прикольно в FB - все недовольные апрельским кэшбеком и рассуждающие про сорта людей автоматически покидают группу 
Модераторы не спят.</t>
  </si>
  <si>
    <t>Ratatui</t>
  </si>
  <si>
    <t>АЗС ваапще нема на апрель ни у кого?</t>
  </si>
  <si>
    <t>А есть скрини, какие проценты у "везунчиков"?</t>
  </si>
  <si>
    <t>PhoeniX07</t>
  </si>
  <si>
    <t>Lidiya Lytynchuk</t>
  </si>
  <si>
    <t>Прикольно в FB - все недовольные апрельским кэшбеком и рассуждающие про сорта людей автоматически покидают группу</t>
  </si>
  <si>
    <t>#monobank #bank #card</t>
  </si>
  <si>
    <t>Monobank| банк в твоїй кишені</t>
  </si>
  <si>
    <t>Pavel Shchebuniaiev</t>
  </si>
  <si>
    <t>развлекательный центр Галактика в Лавине в категорию развлечения не попал :-(</t>
  </si>
  <si>
    <t>Диалог с друзьями и подписчиками, накопились темы, подключайтесь! Кто хочет помочь финансово на технику, пожалуйста:</t>
  </si>
  <si>
    <t>Диалог с друзьями и подписчиками, накопились темы, подключайтесь!
Кто хочет помочь финансово на технику, пожалуйста:
Подяка за стріми Monobank, Dmitriyev Dmitriy Mikhaylovich, 5375 4141 0005 0599.
Подяка за стріми ПриватБанк, Дмитриев Дмитрий Михайлович, 5168 7456 0147 0328.</t>
  </si>
  <si>
    <t>Всем привет, нужно в кредит взять 20 000 гривен, в каком банке выгоднее? По процентам и срокам возврата, может быть</t>
  </si>
  <si>
    <t>monobank – банк без отделений
https://goo.gl/mJykS5</t>
  </si>
  <si>
    <t>Инженер Кузнецов</t>
  </si>
  <si>
    <t>Подслушано | Новомосковск (Украина) Version_2.1</t>
  </si>
  <si>
    <t>Maxxx, Жене срочно карту открывай, свинорылить нужно всей семьей.
Jadavin, Всегда так было, очень редко но иногда али проскакивает как супермаркет.</t>
  </si>
  <si>
    <t>да, есть такое)</t>
  </si>
  <si>
    <t>Ромь)ч</t>
  </si>
  <si>
    <t>хех, практически всех, кто сказал в группе (монобанк бета) про странное деление людей по процентам кешбека монябанковцы повыкидывали из группы.. )))
группу все больше причесывают под "тут мы все активно хвалим нас замечательных".. )))</t>
  </si>
  <si>
    <t>Кто скажет, это что такое было у моно?</t>
  </si>
  <si>
    <t>Jadavin</t>
  </si>
  <si>
    <t>Сообщение от татаринн
а в кафе где я бывает обедаю - нет терминала..только наличная оплата.
так что тоже "подсвинорылить" не подфартило
Кафе и нет терминала? И ты это так просто оставил?</t>
  </si>
  <si>
    <t>Orion</t>
  </si>
  <si>
    <t>Ощадбанк) Как выглядит отделение Ощадбанка на Подоле, которое оформила студия Сергея Махно Каждый кабинет в разном стиле</t>
  </si>
  <si>
    <t>В то время, как monobank вообще отказался от содержания отделений, чтобы предложить лучшие на рынке условия для клиентов, госбанки не знают как скомуниздить пару лямов на ремонте.</t>
  </si>
  <si>
    <t>Vitaly Diachenko</t>
  </si>
  <si>
    <t>Rustam Muminov</t>
  </si>
  <si>
    <t>20:08</t>
  </si>
  <si>
    <t>Очень круто у нас полетела тема “Пригласи друга” в монобанке. Темпы роста, которые и до того были немалые, поднялись до</t>
  </si>
  <si>
    <t>Почему нет именных карт?</t>
  </si>
  <si>
    <t>Miroslav Oleshko</t>
  </si>
  <si>
    <t>19:59</t>
  </si>
  <si>
    <t>Правильную политику Моня проводит. Третий месяц подряд на продукты 4% кеша дает. Если учесть, что у основной массы населения, это самая большая статья расходов, и ни в каком другом банке, на продукты, такого кеша нет-политика правильная. Клиенты текут к ним рекой, наверное).</t>
  </si>
  <si>
    <t>allaliu</t>
  </si>
  <si>
    <t>Круті наклейки!!! #monobank #банкдлякотиків #наклейки</t>
  </si>
  <si>
    <t>katya</t>
  </si>
  <si>
    <t>Сообщение от Maxxx
татаринн, 12 косарей в кабаках просадил?
нет, что ты. я картой только в маке расчитывался...там кэшбека плевок был - 25 грн. за весь месяц  и то срезали...
а в кафе где я бывает обедаю - нет терминала..только наличная оплата.
так что тоже "подсвинорылить" не подфартило</t>
  </si>
  <si>
    <t>татаринн</t>
  </si>
  <si>
    <t>19:53</t>
  </si>
  <si>
    <t>Данііл приглашает вас в monobank! Оформите карту, перейдя по персональной ссылке, и вы оба получите по 50 грн на счет кешбэка!
https://monobank.com.ua/r/DaVt</t>
  </si>
  <si>
    <t>Daniil Oros</t>
  </si>
  <si>
    <t>InstaChat от S1mple_Shots</t>
  </si>
  <si>
    <t>Так а что правда у кого-то нет продуктов в категориях? Или типа сегодня 01.04? Я тарился в АТБ( у нас это основной супермаркет) и аптеках вывел 278 грн- срезали по 1%</t>
  </si>
  <si>
    <t>Olgen</t>
  </si>
  <si>
    <t>Сколько можно заработать с депозита Монобанк? Значки в выписке:</t>
  </si>
  <si>
    <t>Сколько можно заработать с депозита Монобанк? Значки в выписке
В этом видео мы поговорим о депозите в Монобанк(https://goo.gl/pB1g7W), какие проценты можно получить и сколько дает банк. Так сколько процентов можно заработать? Моно дает 15% годовых в гривне. Учитывая налоги, выходит чистыми приблизительно 12%. Сколько это будет в цыфрах, смотрите на видео
**********************************
Возвращайте деньги за покупки - https://goo.gl/zhEbvP  - начните экономить уже сейчас! Покупайте в более чем 958 интернет-магазинах по всему миру!
**********************************
С НАМИ ПРОСТО И ПРИБЫЛЬНО - https://goo.gl/oCPJmK
---------
Поделись видео с друзьями: 
Видеоканал Банки-Фишки-Платежи: https://www.youtube.com/channel/UCdLa97WrKW2kmoGjiSgy5Qg
---------
Мой канал Банки-фишки-платежи - это авторский канал. Все, что я здесь предлагаю - это личный опыт, проверенные практики, только лучшие результаты, которые мне позволили осуществить одну из моих финансовых целей - купить квартиру.
Это канал про то, как эффективно и рационально распоряжаться деньгами, как вести планирование своих доходов и расходов.
Как оказалось, многие думают, что надо уметь только зарабатывать. Поверьте, не меньше важны и Ваши траты. Умные траты. Без ущемления своих интересов и качества жизни.</t>
  </si>
  <si>
    <t>Что-то столько новостей про монобанк. Где-то заставляют получать их карты? Почему вы его выбрали?</t>
  </si>
  <si>
    <t>TRAViS</t>
  </si>
  <si>
    <t>Eugen Модель: AE1020-Y Камер: 3 Мест: 1 Макс.нагрузка 113 кг Вес: 7 кг Длина: 234 см Ширина 90 см Цвет: желтый/синий</t>
  </si>
  <si>
    <t>Eugen
Модель: AE1020-Y
Камер: 3
Мест: 1
Макс.нагрузка 113 кг
Вес: 7 кг
Длина: 234 см
Ширина 90 см
Цвет: желтый/синий
Коплектация: каяк, сумка, инструкция
Официальный сайт: http://www.advancedelements.com
Видео: https://youtu.be/DQKzqxRBPtc
Каяк новий. Не використовувався. Оригінал, зі США. Приватбанк / Monobank / Нова Пошта
https://www.facebook.com/groups/turyst.barahol/permalink/770089679864203/?sale_post_id=770089679864203</t>
  </si>
  <si>
    <t>Valentyn Hridin</t>
  </si>
  <si>
    <t>Іван приглашает вас в monobank! Оформите карту, перейдя по персональной ссылке, и вы оба получите по 50 грн на счет кешбэка!
https://monobank.com.ua/r/k58e</t>
  </si>
  <si>
    <t>Иван Карый</t>
  </si>
  <si>
    <t>Дмитрий Едем к барыге домой!!! Шансов ноль, рядового пороха не спасти, барыге и шайке прийдётся сесть за предательство,</t>
  </si>
  <si>
    <t>Дмитрий
Едем к барыге домой!!!
Шансов ноль, рядового пороха не спасти, барыге и шайке прийдётся сесть за предательство, за содеянное против граждан Украины!!!
Репост!
Подяка за стрім Monobank, Dmitriyev Dmitriy Mikhaylovich, 5375 4141 0005 0599.
U.S. Embassy in Sweden
Royal Norwegian Embassy in Kyiv
Embassy of Switzerland in Ukraine / Посольство Швейцарії в Україні
Embassy of Canada in Ukraine
Embassy of Denmark in Ukraine
U.S. Embassy Kyiv Ukraine
НАБУ
Всеволод Филимоненко
Сергій Лещенко
Голос Америки
Myroslava Gongadze
Bohdan Kutiepov
chastime
British Embassy, Kyiv
The White House
FBI – Federal Bureau of Investigation
The United States Department of Justice
Amnesty International
Amnesty International Ukraine
Justin Trudeau
John McCain
Theresa May
Angela Merkel
Donald J. Trump</t>
  </si>
  <si>
    <t>Salivador Sergey</t>
  </si>
  <si>
    <t>Цитата:
на кафешках
татаринн, 12 косарей в кабаках просадил?</t>
  </si>
  <si>
    <t>Продам магазины к Форт-12Р/14Р б/у</t>
  </si>
  <si>
    <t>Продам магазины к спецсредству Форт-12Р/14Р старого образца. Состояние б/у на 4 из 5 брались как запасной комплект. Цена за магазин Форт-12Р (емкость - 13 патронов) - 650,00 грн., за магазин Форт-14Р (емкость - 15 патронов) - 850,00 грн. Оплата на карту ПриватБанк/Monobank. Доставка Н. Почтой за счет покупателя. Все вопросы по товару, цене, доставке в личку.
	Посмотреть вложение 11528814 https://reibert.info/attachments/11528814/ 
	Посмотреть вложение 11528815 https://reibert.info/attachments/11528815/ 
	Посмотреть вложение 11528821 https://reibert.info/attachments/11528821/ 
	Посмотреть вложение 11528827 https://reibert.info/attachments/11528827/</t>
  </si>
  <si>
    <t>leo78</t>
  </si>
  <si>
    <t>Сделай карту монобанк</t>
  </si>
  <si>
    <t>Антон Артемов</t>
  </si>
  <si>
    <t>AFG sale UA</t>
  </si>
  <si>
    <t>19:05</t>
  </si>
  <si>
    <t>Дмитрий Дубилет (Монобанк). Анонс. Скоро на FranchTV https://youtu.be/Wg0LLHViteQ</t>
  </si>
  <si>
    <t>alexanderslev1n</t>
  </si>
  <si>
    <t>FranchTV
Анонс интервью с Дмитрием Дубилетом, который придумал Монобанк — первый mobile-only банк на украинском рынке. Мы сравнили его с Тиниковым, обсудили тренды в банковских технологиях и выяснили, насколько заблуждались создатели Футурамы относительно банков будущего. В конце интервью Дмитрий Дубилет подписал рюкзак, фото которого буквально порвало Фейсбук, чтобы мы разыграли его среди подписчиков.
Подпишись на канал FranchTV, чтобы не пропустить интервью: https://goo.gl/d8eWAc</t>
  </si>
  <si>
    <t>Andre Zuben</t>
  </si>
  <si>
    <t>18:51</t>
  </si>
  <si>
    <t>Инна Павленко</t>
  </si>
  <si>
    <t>СОВМЕСТНЫЕ ПОКУПКИ</t>
  </si>
  <si>
    <t>Люба Дручинская</t>
  </si>
  <si>
    <t>Help Kostik Zaichenko/ Поможем Костику Заиченко</t>
  </si>
  <si>
    <t>(TaPaKaH4er @ Apr 1 2018, 17:32)  index.php?act=findpost&amp;pid=6218189 
Там минимальная комиссия 5грн,если например нужно закинуть 200-300 грн то не всё возвращают
Да
Нужно опробовать. Сделают тест на что-то мелкое, а потом норм. Амазон подкинул купон на 50уе и еще немного мелких</t>
  </si>
  <si>
    <t>imenno</t>
  </si>
  <si>
    <t>18:40</t>
  </si>
  <si>
    <t>Анонс интервью с Дмитрием Дубилетом, который придумал Монобанк — первый mobile-only банк на украинском рынке. Мы сравнили его с Тиниковым, обсудили тренды в банковских технологиях и выяснили, насколько заблуждались создатели Футурамы относительно банков будущего. В конце интервью Дмитрий Дубилет подписал рюкзак, фото которого буквально порвало Фейсбук, чтобы мы разыграли его среди подписчиков.
Скоро на канале!
https://youtu.be/Wg0LLHViteQ
Дмитрий Дубилет (Монобанк). Анонс. Скоро на FranchTV
Анонс интервью с Дмитрием Дубилетом, который придумал Монобанк — первый mobile-only банк на украинском рынке. Мы сравнили его с Тиниковым, обсудили тренды в ...
https://youtu.be/Wg0LLHViteQ</t>
  </si>
  <si>
    <t>FranchTV</t>
  </si>
  <si>
    <t>А вот пост который год назад писал, теперь только в вперёд
Пятилетку за пол года</t>
  </si>
  <si>
    <t>Это будет не интервью, а какой-то взрыв мозга. Проверьте, что вы подписаны на FranchTV, чтобы не пропустить выпуск:</t>
  </si>
  <si>
    <t>Это будет не интервью, а какой-то взрыв мозга. Проверьте, что вы подписаны на FranchTV, чтобы не пропустить выпуск: https://goo.gl/d8eWAc
FranchTV
Анонс интервью с Дмитрием Дубилетом, который придумал Монобанк — первый mobile-only банк на украинском рынке. Мы сравнили его с Тиньковым, обсудили тренды в банковских технологиях и выяснили, насколько заблуждались создатели Футурамы относительно банков будущего. В конце интервью Дмитрий Дубилет подписал рюкзак, фото которого буквально порвало Фейсбук, чтобы мы разыграли его среди подписчиков.
Подпишись на канал FranchTV, чтобы не пропустить интервью: https://goo.gl/d8eWAc</t>
  </si>
  <si>
    <t>Роман Кирилович</t>
  </si>
  <si>
    <t>Дмитрий Дубилет (Монобанк). Анонс. Скоро на FranchTV</t>
  </si>
  <si>
    <t>Спасибо! Вы первый ;)</t>
  </si>
  <si>
    <t>Друзья, проверьте, что вы подписаны на канал, чтобы не пропустить интервью с Дмитрием Дубилетом: https://goo.gl/d8eWAc</t>
  </si>
  <si>
    <t>*классный канал молодцы*</t>
  </si>
  <si>
    <t>Loud boss</t>
  </si>
  <si>
    <t>Дмитрий Дубилет (Монобанк). Анонс. Скоро на FranchTV
Анонс интервью с Дмитрием Дубилетом, который придумал Монобанк — первый mobile-only банк на украинском рынке. Мы сравнили его с Тиниковым, обсудили тренды в банковских технологиях и выяснили, насколько заблуждались создатели Футурамы относительно банков будущего. В конце интервью Дмитрий Дубилет подписал рюкзак, фото которого буквально порвало Фейсбук, чтобы мы разыграли его среди подписчиков.
Скоро на канале!
Подпишись на канал FranchTV, чтобы не пропустить интервью: https://goo.gl/d8eWAc 
НАШИ СОЦСЕТИ 
❤️ Фейсбук: https://fb.com/FranchTV 
❤️ Вконтакте: https://vk.com/FranchTV 
❤️ Телеграм: https://t.me/FranchTV 
❤️ Инстаграм: https://www.instagram.com/FranchTV
Темы: #Дубилет #монобанк #monobank #тиньков #tinkoff</t>
  </si>
  <si>
    <t>#monobank! Оформіть картку, перейшовши за персональним посиланням, щоб отримати по 50 грн на рахунок кешбэка
https://monobank.com.ua/r/vGEv</t>
  </si>
  <si>
    <t>Bogdan Invest</t>
  </si>
  <si>
    <t>f6mq8.app.goo.gl
https://monobank.com.ua/r/dDXc</t>
  </si>
  <si>
    <t>Наталья Войтова</t>
  </si>
  <si>
    <t>Сегодня на улице пахнет весной!
Прав QR-кот из МОНОБАНКА</t>
  </si>
  <si>
    <t>ну там от 1к грн пополнение</t>
  </si>
  <si>
    <t>https://forum.finance.ua/viewtopic.php?p=4337221#p4337221    Кащей написав:
 https://forum.finance.ua/viewtopic.php?p=4337212#p4337212    guntherhouse777 написав:два месяца подряд набирал полное лукошко.
Дали КБ на этот месяц +1% К Вашему. (как у Импри)
 а неокэшбэченные транзакции вообще были по карте?
по всем картам ВИЗА Эксима платится кешбек в зависимости от класса:
 налог берут с него?
23 грн. прошли без КБ.
В пивной наливайке купил литр пива. Оказалось, 7399 Бизнес – сервис. О как...
Любая операция через пос должна быть с КБ. Это аксиома.
Сима. вроде бы, даже 5%- это здорово.
Но пул КК Моня-Тася-Алла дает почти те же самые 5% чистыми.
У меня не те обороты,  чтобы из за максимум 0.5% кб платить 1-3К за голду.
В Ашане и так 10% КБ, в сельпо бумажками рассчитываюсь.</t>
  </si>
  <si>
    <t>Продам УСМ Форт-12Р нового образца.</t>
  </si>
  <si>
    <t>Продам УСМ Форт-12Р нового образца. Новый, брался на замену но так и не устанавливался. Цена 1500,00 грн. Оплата на карту ПриватБанк/Monobank. Доставка Н. Почтой за счет покупателя. Все вопросы по товару, цене, доставке в личку.
	Посмотреть вложение 11529124 https://reibert.info/attachments/11529124/ 
	Посмотреть вложение 11529127 https://reibert.info/attachments/11529127/ 
	Посмотреть вложение 11529128 https://reibert.info/attachments/11529128/ 
	Посмотреть вложение 11529131 https://reibert.info/attachments/11529131/ 
	Посмотреть вложение 11529133 https://reibert.info/attachments/11529133/ 
	Посмотреть вложение 11529139 https://reibert.info/attachments/11529139/</t>
  </si>
  <si>
    <t>https://forum.finance.ua/viewtopic.php?p=4337423#p4337423    mustbe написав:
То просто всенародная забава: каждое 1-е число месяца гнобить этого убогого и жадного Моню за то, что он убогий и жадный.
Для инновационного банка без отделений: кб на Продукты 3,2%-2,4% - это стыд и позор
кхм.. в прошлом месяце только по продуктах выбрал 200 я и жена столько же + - , в прошлом также пригодились  "красота и здоровье"  это например и дорогущие анализы в эскулаб, салоны красоты, аптеки и т.д., в этом месяце продукты порезали с 4% до 3%  . В этом месяце я выгреб весь кешбек за 1 одну покупку и еще наагитировал несколько человек . Меня все устраивает, только вот 500 грн маловато ну ничего есть еще карта жены и карты других родственников можно договориться  . Кто учиться или кому по работе надо справочников энциклопедий каких купить 19% очень неплохо при цене справочника 500+ одними учебниками весь кешбек можно выгребать . Даже компанией в кино или на концерт сходить - приятно . Я б даже на животных не обиделся а закупил бы своему животным корма на ... вперед.  Кто может быть недоволен не понимаю ...  
 Жду стройматериалы ... но это имхо слишком жирно будет, а посему маловероятно, разве что 2% насыпят</t>
  </si>
  <si>
    <t>yama</t>
  </si>
  <si>
    <t>(Ромь)ч @ Apr 1 2018, 14:18)  index.php?act=findpost&amp;pid=6218115 
типа ж возвращают кешем
Там минимальная комиссия 5грн,если например нужно закинуть 200-300 грн то не всё возвращают
(imenno @ Apr 1 2018, 14:59)  index.php?act=findpost&amp;pid=6218141 
амазон в категорию книг попадает еще до сих пор?
Да</t>
  </si>
  <si>
    <t>Monobank
https://play.google.com/store/apps/details?id=com.ftband.mono</t>
  </si>
  <si>
    <t>Юрій Самуляк</t>
  </si>
  <si>
    <t>https://forum.finance.ua/viewtopic.php?p=4337189#p4337189    yama написав:
1) подскажите сеть оффлайн магазинов ibis.net.ua  под какую категорию подходит ?
Львов " Розваги та спорт" 10% с кредитных</t>
  </si>
  <si>
    <t>https://forum.finance.ua/viewtopic.php?p=4337437#p4337437    Gas написав:
С мони теперь только прифитные платежи
НиколаЯныч детектед</t>
  </si>
  <si>
    <t>(Ромь)ч @ Apr 1 2018, 15:18)  index.php?act=findpost&amp;pid=6218115 
типа ж возвращают кешем
Ну да, разницу берут себе, а вам навозвращают</t>
  </si>
  <si>
    <t>Еще монобанк у нас запустили...  Тоже блестящая перспектива )))</t>
  </si>
  <si>
    <t>Чуть в том месяце подсвинорылил на кафешках, в этом и то срубили.
Одни книги с таксистами (((</t>
  </si>
  <si>
    <t>https://forum.finance.ua/viewtopic.php?p=4337151#p4337151    IMPRINTER написав:
дебетка.
ну и что - мне главное выхлоп, я что нищеброд какой-то)
Что за карта? У эксима же все карты сильно платные. Или нет?
PS: Аптеки зря подрезали - подлость это. С мони теперь только прифитные платежи, а для остальных - другие карты. На каждую хитрую задницу есть хрен с резьбой.</t>
  </si>
  <si>
    <t>16:47</t>
  </si>
  <si>
    <t>Монобанк, рекомендую. f6mq8.app.goo.gl</t>
  </si>
  <si>
    <t>Монобанк, рекомендую.
f6mq8.app.goo.gl
https://monobank.com.ua/r/xYuH</t>
  </si>
  <si>
    <t>Alexey Sanzharovets</t>
  </si>
  <si>
    <t>То просто всенародная забава: каждое 1-е число месяца гнобить этого убогого и жадного Моню за то, что он убогий и жадный.
Для инновационного банка без отделений: кб на Продукты 3,2%-2,4% - это стыд и позор</t>
  </si>
  <si>
    <t>Первый Мобильный Банк Получите самую выгодную карту с кредитным лимитом до 100 000 грн ◉ Установите приложение monobank</t>
  </si>
  <si>
    <t>Первый Мобильный Банк
Получите самую выгодную карту с кредитным лимитом до 100 000 грн
◉ Установите приложение monobank
◉ Заполните Заявку
◉ Выберите доставку карты сотрудником банка или заберите ее в ближайшей точке выдачи. Это бесплатно
Получите самую выгодную карту с кредитным лимитом до 100 000 грн
◉ Установите приложение monobank
◉ Заполните Заявку
◉ Выберите доставку карты сотрудником банка или заберите ее в ближайшей точке выдачи. Это бесплатно
https://ad.letmeads.com/?ad=mono73d43cb0230248f5212001a771</t>
  </si>
  <si>
    <t>Марина Конюхова</t>
  </si>
  <si>
    <t>16:34</t>
  </si>
  <si>
    <t>https://forum.finance.ua/viewtopic.php?p=4337412#p4337412    sens написав:
 https://forum.finance.ua/viewtopic.php?p=4337397#p4337397    clientage написав:Какие тут свинорылы в апреле?
У них ни нормальных стручков ни жёлудей щас нема, ну разве шо книжку какую почитать, да на роликах покататься    
магазины в этом месяце 4% 
На платину я не тяну, по этому из-за этого желудя монобанк в списке приоритета.</t>
  </si>
  <si>
    <t>Шикарный банк, посоветовал папа и я вам советую! Кешбек, удобный сервис и приложение. Поддержка в любых месенджерах! И</t>
  </si>
  <si>
    <t>Шикарный банк, посоветовал папа и я вам советую!  Кешбек, удобный сервис и приложение. Поддержка в любых месенджерах! И главное нету никаких подвожных камней как в Привате... короче советую)    Приглашает вас в monobank! Оформите карту, перейдя по персональной ссылке, и вы оба получите по 50 грн на счет кешбэка!
f6mq8.app.goo.gl
https://monobank.com.ua/r/ZKhh</t>
  </si>
  <si>
    <t>Sergey Sergienko</t>
  </si>
  <si>
    <t>https://forum.finance.ua/viewtopic.php?p=4337397#p4337397    clientage написав:
 https://forum.finance.ua/viewtopic.php?p=4337394#p4337394    dexter написав:Горох с Дубом сами этого хотели, все свинорылы у них, а олени в привате остались
Какие тут свинорылы в апреле?
У них ни нормальных стручков ни жёлудей щас нема, ну разве шо книжку какую почитать, да на роликах покататься    
магазины в этом месяце 4%</t>
  </si>
  <si>
    <t>Oleksandr Shulgin</t>
  </si>
  <si>
    <t>https://forum.finance.ua/viewtopic.php?p=4337394#p4337394    dexter написав:
Горох с Дубом сами этого хотели, все свинорылы у них, а олени в привате остались
Какие тут свинорылы в апреле?
У них ни нормальных стручков ни жёлудей щас нема, ну разве шо книжку какую почитать, да на роликах покататься</t>
  </si>
  <si>
    <t>avkiev, я выше написал</t>
  </si>
  <si>
    <t>16:00</t>
  </si>
  <si>
    <t>Вакансії у Чернівцях !</t>
  </si>
  <si>
    <t>Здравствуйте, требуется ответственный человек на постоянную подработку раз в неделю в среду. (Черновцы)
Задача мониторинг цен в пяти торговых точках, согласно списку. Мониторинг проходит по телефону. Вам говорят название позиции вы говорите цену. Списки на торговых точках почти не меняются плюс минус 10-20 позиций. Чем быстрее вы запомните список, тем быстрее будет проходить работа. В среднем,если вы помните список и сами его диктуете оператору, то одна точка занимает 10-30 мин. Цена за позицию 0,28гр, объем 650-800 позиций в общем. Плюс каждую неделю фото проверка за нее еще 50 гр. Оплата раз в две недели, за две недели, сначала на карту приватбанка, потом нужно будет сделать карту монобанка в нем работает наша фирма. Писать в лс.</t>
  </si>
  <si>
    <t>Сергей Чупика</t>
  </si>
  <si>
    <t>Робота | Чернівці | Работа Черновцы | Оголошення</t>
  </si>
  <si>
    <t>амазон в категорию книг попадает еще до сих пор?</t>
  </si>
  <si>
    <t>Сообщение от Maxxx
Лично я 100 грн в мес на семью из 4 чел с трудом вытягиваю
100 / 0,04 / 30 / 4 = 20,8
21 грн на человека в день !
Жируют, однако</t>
  </si>
  <si>
    <t>avkiev</t>
  </si>
  <si>
    <t>Сообщение от Sanic
если покупать товар на розетке, и забирать самовывозом на петровке
Ух ты, за Розетку не знал! Вот теперь будем свинорылить... 
На говне с Джума или Гирбеста тоже особо не накрутишь - покупаю там то, что сейчас нафиг не нужно (что можно ждать 2 месяца, или вообще не дождаться), и дешевое.
Цитата:
2500=100грн
Итого 625 грн на человека, вы там одну мивину едите?
Я же говорю, что не все покупки идут в маркетах, и не все с карты Мони, карта у меня, и если жена, например, идет в магаз с картой ПБ, когда я на работе, проходит мимо кешбека. Поэтому полные расходы конечно выше, когда есть возможность - да, но и выпрыгивать из штанов из-за того кешбека тоже не буду, если это доставляет какие-то неудобства.</t>
  </si>
  <si>
    <t>Горох с Дубом сами этого хотели, все свинорылы у них, а олени в привате остались</t>
  </si>
  <si>
    <t>dexter</t>
  </si>
  <si>
    <t>***** ENGLISH VERSION BELOW ***** Мир поразительный. Величественный в своей постоянной динамике, он изменяет живое и</t>
  </si>
  <si>
    <t>***** ENGLISH VERSION BELOW *****
Мир поразительный. Величественный в своей постоянной динамике, он изменяет живое и неживое. Жизнь восхищает. Она грандиозна многообразием форм, звуков, цветов и смыслов. Мы - удивительные создания, обладающие способностью жить и ощущать движение времени.
Проносясь по дороге жизни из точки А в точку Z на огромной скорости, нам дана уникальная возможность остановиться. Оглядеться. Сделать вдох. Полюбоваться видом за окном. Улыбнуться солнцу. Выйти, и продолжить путь пешком. Или вернуться обратно. Или остаться тут же, влюбившись в окрестности. И еще бесконечное количество вариантов - столько, сколько есть жизней.
Нам доступно чудо жизни.
Бесконечное многообразие мира мы дополняем собой.
Мы и есть чудо.
Друзья, мы объявляем праздник жизни. Карнавал разнообразия, где каждый сможет удивить и удивиться. Мир, в котором можно увидеть собственную улыбку в зеркале счастливых глаз и наполниться силами для новых свершений.
Караван чудес и багаж бесценного опыта, из которого каждый сможет взять себе частичку дальше в путь.
Join us. Let’s do wonder.
Vibronica festival 2018. Wonder Caravan.
12-15 Июля 2018, Киев, open-air.
Следите за новостями, мы будем дополнять информацию с деталями о лайнапе, декоре, перформансах, лекциях и мастер-классах.
******************************************************
БИЛЕТЫ
Оплата на карту Monobank:
5375 4141 0099 0299 (Томина Катерина)
Пополнить можно через терминалы Приватбанка, терминалы IBOX, терминалы ТАСКОМБАНК, касcы Universal Bank, приложение privat24, либо любым другим удобным сервисом перечислений с карты на карту (по типу easypay).
После оплаты - заполняем форму (http://bit.ly/2oGPKzP), вносим информацию об оплате.
В течении 48 часов вы получите ответное письмо с подтверждением об оплате.
Информация о месте проведения будет опубликована ближе к событию.
СТОИМОСТЬ ПОСЕЩЕНИЯ*:
800 UAH - blind early birdie ticket - Март 14 - Март 31
900 UAH - early birdie ticket - Апрель 1 - Апрель 30
1000 UAH - standard ticket - Май 1 - Июль 5
900 UAH - билет "выходного дня" - с Пятницы по Воскресенье при оплате до 8 Июля
1200 UAH - цена на входе на все дни фестиваля
1100 UAH - цена на входе с Пятницы по Воскресенье
1000 UAH - цена на входе с Субботы по Воскресенье
*Дети до 14 лет - бесплатно.
******************************************************
ДЛЯ УЧАСТИЯ
Для участия как театр/танцовщик/фаерщик/и другие виды перформансов  - заполните анкету http://bit.ly/2Fk8QoV
Для участия как музыкальный проект - заполните форму http://bit.ly/2H1NKci
Для проведения мастер/класса или лекции - заполните анкету: http://bit.ly/2oOBX9L
Для волонтерства - заполните анкету http://bit.ly/2FRNvBj
Для участия магазина в ярмарке - заполните анкету https://bit.ly/2utvAyP
******************************************************
ВИДЕО ОТЧЕТЫ ПРОШЛЫХ ЛЕТ:
Vibronica 2014 - https://www.youtube.com/watch?v=JoKryU6KHas
Vibronica 2015 - https://www.youtube.com/watch?v=VWptiM7Z2aA
Vibronica 2016 - https://www.youtube.com/watch?v=Q4tr1sIZK_4
Vibronica 2017 - https://www.youtube.com/watch?v=IkhfPWDcz5U
******************************************************
ИДЕИ, ПРЕДЛОЖЕНИЯ, ПОЖЕЛАНИЯ:
info.vibronica@gmail.com
https://www.facebook.com/vibronicafestival
...let the beat go Om!
******************************************************
***ENGLISH VERSION***
The world is amazing. Magnificent in its constant dynamics, it changes the living and the lifeless. Life is fascinating. It is sublime in the variety of forms, sounds, colors and meanings. We are amazing creatures. We have the ability to live and experience the motion of time.
Rushing along the road of life from point A to point Z at great speed, we are given a unique opportunity to stop. Look around. Take a deep breath. Admire the view outside the window. Smile to the Sun. Exit, and continue on foot. Or go back. Or stay right there, falling in love with the place. We have an infinite number of options - as many as there are lives.
We are given the miracle of life.
We complement the infinite diversity of the world with ourselves.
We are a miracle.
Dear Friends! We announce a celebration of life. Carnival of diversity, where everyone can surprise and be surprised. The place where you can see your smile in the mirror of happy eyes around. A spot that gives you energy for new achievements.
Caravan of wonders and a well of experience, from which everyone can take a sip to go further on the way.
Join us. Let’s do wonder.
Vibronica Festival 2018. Wonder Caravan.
12-15 July  2018, Kyiv, Ukraine, open-air.
Follow the news - the information with details about line-up, decor, performances, lectures and master classes will be announced soon
******************************************************
TICKETS:
You can buy tickets by sending money on a Monobak card:
Bank: Monobank
Card number: 5375 4141 0099 0299
Card holder: Tomina Kateryna
When you are done with it, fill in the form (http://bit.ly/2oGPKzP) and provide the information about the payment. Within 48 hours you will receive a reply letter with confirmation of payment.
Information about the venue location will be published closer to the event.
PRICE*
800 UAH - blind early bird ticket - till March 31
900 UAH - early birdie ticket - April 1 - May 15
1000 UAH - want-to-be-sure birdie ticket - May 16 - July 8
900 UAH - Friday-Sunday weekend ticket fee, available till July 8
1200 UAH - whole party on the gate price
1100 UAH - Friday-Sunday weekend ticket on the gate price
1000 UAH - Saturday-Sunday weekend ticket on the gate price
30 EUR - on the gate for our guests from abroad
*kids under 14 - free entrance.
******************************************************
PARTICIPATION:
Want to perform art? Please follow the link: http://bit.ly/2Fk8QoV
Want to share music? Please, follow the link http://bit.ly/2H1NKci
Want to give a lecture or a workshop? Please follow the link: http://bit.ly/2oOBX9L
Want to volunteer? Please, follow this link: http://bit.ly/2FRNvBj
Want a spot on a flee market? Please, follow the link: https://bit.ly/2utvAyP
******************************************************
VIBRONICA MEMORIES:
Vibronica 2014 - https://www.youtube.com/watch?v=JoKryU6KHas
Vibronica 2015 - https://www.youtube.com/watch?v=VWptiM7Z2aA
Vibronica 2016 - https://www.youtube.com/watch?v=Q4tr1sIZK_4
Vibronica 2017 - https://www.youtube.com/watch?v=IkhfPWDcz5U
******************************************************
QUESTIONS, IDEAS, OFFERS - contact us at:
info.vibronica@gmail.com
https://www.facebook.com/vibronicafestival/
Stay tuned for the updates. Oh yes, there is more to come!
******************************************************
#multicultural_electronics #openair #kyiv #ukraine #vibronica #vibronicafestival #vibronicafestival2018</t>
  </si>
  <si>
    <t>Raisa  Shevchenko</t>
  </si>
  <si>
    <t>SVBTS</t>
  </si>
  <si>
    <t>«Запрошую до Монобанка» Local Business</t>
  </si>
  <si>
    <t>«Запрошую до Монобанка»
Local Business
https://www.facebook.com/Запрошую-до-Монобанка-154854701851954/</t>
  </si>
  <si>
    <t>Гена Выборг</t>
  </si>
  <si>
    <t>(Huwk @ Apr 1 2018, 15:03)  index.php?act=findpost&amp;pid=6218106 
%
типа ж возвращают кешем</t>
  </si>
  <si>
    <t>Максим Базалицкий</t>
  </si>
  <si>
    <t>Принципиально не буду писать в Приват Банк или другой банк - их сотрудники, что заниматься разработкой новых продуктов</t>
  </si>
  <si>
    <t>Тю, так карточкой Монобанка уже давно рассчитываются как карточкой Метро. Очень удобное мобильное приложение</t>
  </si>
  <si>
    <t>оксана костюк</t>
  </si>
  <si>
    <t>Алексей Синюк</t>
  </si>
  <si>
    <t>[Black Business ]</t>
  </si>
  <si>
    <t>(Lenko_r2d2 @ Apr 1 2018, 15:01)  index.php?act=findpost&amp;pid=6218103 
"Конченый ibox,вечно принимает купюры через раз." - пополняй через приватовские, делов-то.
%</t>
  </si>
  <si>
    <t>"Конченый ibox,вечно принимает купюры через раз." - пополняй через приватовские, делов-то.</t>
  </si>
  <si>
    <t>Lenko_r2d2</t>
  </si>
  <si>
    <t>Артем приглашает вас в monobank! Оформите карту, перейдя по персональной ссылке, и вы оба получите по 50 грн на счет кешбэка!
https://monobank.com.ua/r/fMyw</t>
  </si>
  <si>
    <t>artem</t>
  </si>
  <si>
    <t>Ех, в категоріях #кешбек на березень від Monobank немає "Авто та АЗС"  Доведеться на заправках знову юзати карту від</t>
  </si>
  <si>
    <t>На квітень знов "Авто та АЗС" нема (</t>
  </si>
  <si>
    <t>Саша Катеринчук</t>
  </si>
  <si>
    <t>Андрій приглашает вас в monobank! Оформите карту, перейдя по персональной ссылке, и вы оба получите по 50 грн на счет кешбэка!
monobank – банк без відділень
https://monobank.com.ua/r/rzcX</t>
  </si>
  <si>
    <t>Andriy Michaylov</t>
  </si>
  <si>
    <t>https://forum.finance.ua/viewtopic.php?p=4337280#p4337280    makor06 написав:
да ну вы задолбали, каждый месяц писать что положили карту моно на получку. Ну положили и положили, думаете это кому то интересно?
Какой каждый месяц? Каждый день:
 https://forum.finance.ua/viewtopic.php?p=4337146#p4337146    mustbe написав:
Без Аптек - отправляется на скамейку запасных до мая
Если еще Моня добавит 1001й фактор - наличие бомжеплатины от Эксима и срежет таким свинорылам кино, аптеки, такси, книги, то такие будут каждый месяц заходить в эту ветку только чтобы положить Моню на полочку.</t>
  </si>
  <si>
    <t>вирусишь?)</t>
  </si>
  <si>
    <t>Anastasija Sayenko</t>
  </si>
  <si>
    <t>14:22</t>
  </si>
  <si>
    <t>Нужна ли карта monobank? Обзор кредитной карты monobank. Как заказать карту monobank, стоит ли это делать, какие условия</t>
  </si>
  <si>
    <t>Нужна ли карта monobank?
Обзор кредитной карты monobank. Как заказать карту monobank, стоит ли это делать, какие условия выпуска кредитки monobank. Кредитный лимит, льготный период, кэшбек и другие ...
https://finance.ua/cards/nuzhna-li-karta-monobank</t>
  </si>
  <si>
    <t>Alexander Semenchuk</t>
  </si>
  <si>
    <t>Я в марте первый раз 500 грн кешбэка набрал. До этого столько не выходило. Может, в комплексе со всем остальным.
 Я тоже. Тем не менее, процент зарубили.</t>
  </si>
  <si>
    <t>Кащей</t>
  </si>
  <si>
    <t>Для полного счастья не хватает 3ей категории.... Очень не хватает)</t>
  </si>
  <si>
    <t>Сообщение от ВанОО
Sanic, а покупки в розетке на контрактовой тоже проходят как покупка в магазине , если платить через терминал?
Добавлено через 31 секунду
Или только Петровка??
Не знаю. На подоле уже давно ничего не забирал.</t>
  </si>
  <si>
    <t>Дмитрий
Незаконне утримання людини за гратами!!!, Severion Dangadze, особиста вказівка-хотелка порошенка, справа повністю сфальшована!
Третья часть, незаконное утримання людини за гратами, справа сфальшована!
Репост!
Подяка за стріми Monobank, Dmitriyev Dmitriy Mikhaylovich, 5375 4141 0005 0599.
Embassy of Sweden in Kyiv
Royal Norwegian Embassy in Kyiv
Embassy of Switzerland in Ukraine / Посольство Швейцарії в Україні
Embassy of Canada in Ukraine
Embassy of France, Kiev
Embassy of Germany, Kiev
Посольство Японії в Україні / 在ウクライナ日本国大使館 / Embassy of Japan in Ukraine
Embassy of Denmark in Ukraine
U.S. Embassy Kyiv Ukraine
НАБУ
Всеволод Филимоненко
Сергій Лещенко
Голос Америки
Myroslava Gongadze
Bohdan Kutiepov
chastime
British Embassy, Kyiv
The White House
FBI – Federal Bureau of Investigation
The United States Department of Justice
Amnesty International
Amnesty International Ukraine
Justin Trudeau
John McCain
Theresa May
Angela Merkel
Donald J. Trump</t>
  </si>
  <si>
    <t>Юрий Коломиец</t>
  </si>
  <si>
    <t>Sanic, а покупки в розетке на контрактовой тоже проходят как покупка в магазине , если платить через терминал?
Добавлено через 31 секунду
Или только Петровка??</t>
  </si>
  <si>
    <t>Кто пользуется монобанком - расскажите минусы. Плюсы я и сам увижу :)))</t>
  </si>
  <si>
    <t>Все ок, треба брать)</t>
  </si>
  <si>
    <t>Petro Pashynin</t>
  </si>
  <si>
    <t>Поплавский Александр</t>
  </si>
  <si>
    <t>(QNX @ Apr 1 2018, 11:29)  index.php?act=findpost&amp;pid=6218012 
та пока и не буду, я карту заказал, но сейчас сижу и думаю - нафига
ну по крайней мере за нее платить не надо будет вроде как )))
Плюсы есть,хоть и незначительные.для меня такие:
Кешбек
Пополнение счета,переводы на любую карту,комунальные платежи без без комиссии.
Приложение(удобней привата)
Удобно скидывать деньги у кого тоже монобанк,не нужно вводить номер карты каждый раз
Минуса
Конченый ibox,вечно принимает купюры через раз.
С привата выводить деньгм геморно</t>
  </si>
  <si>
    <t>Так как категорию "электроника" не завезли, то все покупки с Gearbest больше 10$ и некоторые с AliExpress попадают в категорию "продукты".
Была бы "электроника" - кешбэк бы набегал быстрее.
В феврале вывел 500 - снизили продукты на 1%, думал в марте не наберу. но 28.03 на aliexpress сделал свое дело и у меня снова 500 грн для вывода.
P.S. В феврале сувенирный магазин пряников во Львове - попал в "развлечения и спорт", а за 500 грн выведенных в марте, мне вернули 4% на продукты в апреле.
P.S.S. Покупки почти во всех магазинах через PayPal, кроме непосредственно ebay, попадают в категорию "продукты".</t>
  </si>
  <si>
    <t>VaZoR</t>
  </si>
  <si>
    <t>13:30</t>
  </si>
  <si>
    <t>sens написав:
 https://forum.finance.ua/viewtopic.php?p=4337198#p4337198    IMPRINTER написав:yama
по всем картам ВИЗА Эксима платится кешбек в зависимости от класса:
- для карты Visa Classic - ставка 2% от суммы оплаты, применяется к оплатам на общую сумму до 15 000 грн в текущем месяце; на все последующие оплаты в этом месяце применяется ставка 1% от суммы оплаты;
- для карты Visa Gold - ставка 3% от суммы оплаты, применяется к оплатам на общую сумму до 18 000 грн в текущем месяце; на все последующие оплаты в этом месяце применяется ставка 1% от суммы оплаты;
- для карты Visa Platinum - ставка 5% от суммы оплаты применяется к оплатам на общую сумму до 20 000 грн в текущем месяце; на все последующие оплаты в этом месяце применяется ставка 1,2% от суммы оплаты;
- для карты Visa Infinite - ставка 7% от суммы оплаты применяется к оплатам на общую сумму до 25 000 грн в текущем месяце; на все последующие оплаты в этом месяце применяется ставка 1,5% от суммы оплаты.
хватит рекламировать карту другого банка 
монобанк это кредитный лимит и индивидуальный подход .
И у мони нет отделений, они могут многое себе позволить, клиентам не знаю.</t>
  </si>
  <si>
    <t>Сообщение от Maxxx
Лично я 100 грн в мес на семью из 4 чел с трудом вытягиваю
 Нічого собі економіст. 2500 на 4 на місяць  Я стільки сам витрачаю і то ще часто обідаю/вечеряю у мами. І супермаркети це не тільки їжа, а ще побутова хімія, канцтовари ...
Не дуже уявляю як витрачати менше 8 тис. на 4 на місяць.
А мама має ще радянські звички: якщо бачить "хороший товар по нормальній ціні" може додому притягнути блок олії, шматок мяса, мішочок цукру чи, як зараз, блок коньяку "про запас" тому й витрати не рівномірні: іноді 2 тис. на місяць, іноді всі 10.</t>
  </si>
  <si>
    <t>Сообщение от Maxxx
Ну свинорылы же..  Прикинул - чтобы получить кешбек 500 грн, надо потратить 12500 на продукты в месяц, а это сложно, если, конечно, не цыганский табор, и за исключением крупных личных покупок, например на свадьбу. Иначе карта используется для бизнеса, или несколькими людьми в складчину - а это уже свинорыльство, надо признать. Лично я 100 грн в мес на семью из 4 чел с трудом вытягиваю, конечно, не все покупается по карте Мони, а что-то просто за наличку, но не 12 же косарей..
Много покупок на гирбесте проходят как супермаркеты, плюс если покупать товар на розетке, и забирать самовывозом на петровке, и соответсвенно там же оплачивать товар картой опять категория супермаркет. Так что насвинорылить можно всего одной покупкой смартфона, или другой электроники
2500=100грн
Итого 625 грн на человека, вы там одну мивину едите?</t>
  </si>
  <si>
    <t>Завдяки групі бети монобанку, дізнався як люди банківськими продуктами користуються.
Шо вони тільки з картами не роблять. А ще щонайменше половина людей тупо не читає умови того, на що підписуються.</t>
  </si>
  <si>
    <t>Perdón, yo soy un pingüino</t>
  </si>
  <si>
    <t>Ну, типу #4G</t>
  </si>
  <si>
    <t>Бачу у тебе монобанк. Чи це безпечна штука і чи радиш його?</t>
  </si>
  <si>
    <t>Микола Пітиляк</t>
  </si>
  <si>
    <t>• Andriy Kondratyev •</t>
  </si>
  <si>
    <t>Друзья крутой банк) присоединяйтесь:
 приглашает вас в monobank! Оформите карту, перейдя по персональной ссылке, и вы оба получите по 50 грн на счет кешбэка!
f6mq8.app.goo.gl
https://monobank.com.ua/r/YiQE</t>
  </si>
  <si>
    <t>Smap 01.04.2018 09:47 пишет:
Здесь кто-то писал, что все покупке на Амазоне попадают под эту скидку. Так что есть хороший повод отовариться :-)
Не все покупки на амазоне. На форуме финанс.юа давали скрины с амазона с другой категорией (не книги).
Хотя у меня проходило как книги.
Изменено Tony Stark (10:02 01/04/2018)</t>
  </si>
  <si>
    <t>Tony Stark</t>
  </si>
  <si>
    <t>Автомобильный форум. Форум помощи выбора, покупки и продажи авто | Autoua &gt; Беседы о бизнесе</t>
  </si>
  <si>
    <t>Вчера перый раз затестил. Кешбек пришел сразу.
Так как я немного отсталый в нововведениях которые происходили в Украине последние 1,5 года, в связи с путешествиями) я только недавно узнал о монобанке.
Ну что я первое оценил, так это  вообще сама подача бизнеса, оформления, коммуникация с клиентами. Ну и вчера затестил карту на покупки в супермаркете и ресторане, кешбек пришел сразу.
Так как я давно уже знаком с разными системами кешбеков, они в основном или зачислялись через долгое время или вообще не зачислялись, а тут все моментально.
После Китая, где мобильный банкинг развит очень сильно, где старые бабушки на лавочке продают еду не с самым приятным запахом, и ее почему то покупают) через вичат (мобильное приложение по оплате с кюаркода + мессенджер) то монобанк это как первый шаг навстречу этой финансовой эволюции.
Короче я заценил! Кто такой же как и я, отсталый в финансовых нововведениях в нашей стране, велкам, переходите по ссылке, там странный кот вам все подскажет))
https://monobank.com.ua/r/yXL1
Михаил Смаглюк</t>
  </si>
  <si>
    <t>Подсмотрено Львов - конкурсы и ваши фотографии</t>
  </si>
  <si>
    <t>v7v 01.04.2018 09:41 пишет:
А Амазон все ещё книги продаёт?
 Да, позавчера скупался, класифицировало как книги</t>
  </si>
  <si>
    <t>max_k</t>
  </si>
  <si>
    <t>kaiono @ 01.04.18, 10:52  /forum/index.php?act=findpost&amp;pid=71934881 Не из чего выбрать.
путешествие в метро норм :)</t>
  </si>
  <si>
    <t>VitaliySH</t>
  </si>
  <si>
    <t>Отстой.... Ресторанов нет... А я уже планировал.... Спасибо.... Не из чего выбрать.</t>
  </si>
  <si>
    <t>kaiono</t>
  </si>
  <si>
    <t>Андрей приглашает вас в monobank! Оформите карту, перейдя по персональной ссылке, и вы оба получите по 50 грн на счет кешбэка!
https://monobank.com.ua/r/tNB1</t>
  </si>
  <si>
    <t>Андрей Юхименко</t>
  </si>
  <si>
    <t>v7v 01.04.2018 09:41 пишет:
А Амазон все ещё книги продаёт?
это вы к тому, что у Моно снова есть 20% дискаунт на книги? Здесь кто-то писал, что все покупке на Амазоне попадают под эту скидку. Так что есть хороший повод отовариться :-)</t>
  </si>
  <si>
    <t>Smap</t>
  </si>
  <si>
    <t>/forum/index.php?act=findpost&amp;pid=71934152  fandorinua, уже никак, так писали в группе недавно, но Вы уточните
Сообщение отредактировал 7Sense //4pda.ru/forum/index.php?showuser=1800816  - Сегодня, 11:43</t>
  </si>
  <si>
    <t>А Амазон все ещё книги продаёт?</t>
  </si>
  <si>
    <t>v7v</t>
  </si>
  <si>
    <t>/forum/index.php?act=findpost&amp;pid=71934152  fandorinua, попробуй эту ссылку  моно тест https://play.google.com/apps/testing/com.ftband.mono  ,  если не прокатит тоспроси у поддержки. Они точно помогут.</t>
  </si>
  <si>
    <t>21Юрий21</t>
  </si>
  <si>
    <t>https://forum.finance.ua/viewtopic.php?p=4337282#p4337282    Кащей написав:
 https://forum.finance.ua/viewtopic.php?p=4337268#p4337268    Искатель написав:А если серьезно, как кто думает, анализируют процент неокешбеченных транзакций? У меня за март ни одной такой не было.
Жодної некешбечної, %% не зарізали
Ну что тут скажешь. Два фактора перебрали - осталось еще 998 проанализировать.
Я в марте первый раз 500 грн кешбэка набрал. До этого столько не выходило. Может, в комплексе со всем остальным.</t>
  </si>
  <si>
    <t>Искатель</t>
  </si>
  <si>
    <t>Нигде не нашел как можно присоединиться к бета-тестированию, может кто знает?</t>
  </si>
  <si>
    <t>/forum/index.php?act=findpost&amp;pid=71932839  7Sense,
И меня выгнали с тигибкамонебанкавфб
хорошо хоть приложение пока бета
Сообщение отредактировал VitaliySH //4pda.ru/forum/index.php?showuser=326178  - Сегодня, 11:59</t>
  </si>
  <si>
    <t>12:29</t>
  </si>
  <si>
    <t>та пока и не буду, я карту заказал, но сейчас сижу и думаю - нафига
ну по крайней мере за нее платить не надо будет вроде как )))</t>
  </si>
  <si>
    <t>На центральной улице города влетел в огромную яму. Скорее бы уже Hyperloop запустили</t>
  </si>
  <si>
    <t>В Киеве что ли? А то я путаю, где щас команда монобанка живёт</t>
  </si>
  <si>
    <t>Evgeniy Nud'ga</t>
  </si>
  <si>
    <t>нафига мне их набирать? тарифы как минимум должны быть на сайте указаны а не рассказаны кем то вручную
и список банков партнеров тоже отсутствует, хотя в тарифе указано что они есть, где то</t>
  </si>
  <si>
    <t>Не набирай</t>
  </si>
  <si>
    <t>Набери их на 0800\телеграм\вайбер</t>
  </si>
  <si>
    <t>Пусть с большим опозданием, но все же... кто ещё не пользуется новым детищем Дубилета и хочет дополнительные 50 грн -</t>
  </si>
  <si>
    <t>Пусть с большим опозданием, но все же... кто ещё не пользуется новым детищем Дубилета и хочет дополнительные 50 грн - welcome по ссылке )  #monobank
f6mq8.app.goo.gl
https://monobank.com.ua/r/q3vg</t>
  </si>
  <si>
    <t>Yaroslav Riabov</t>
  </si>
  <si>
    <t>а какая тут комса за конвертация ибо в тарифах описанніх на сайте тишина гробовая</t>
  </si>
  <si>
    <t>https://forum.finance.ua/viewtopic.php?p=4337268#p4337268    Искатель написав:
А если серьезно, как кто думает, анализируют процент неокешбеченных транзакций? У меня за март ни одной такой не было.
Жодної некешбечної, %% не зарізали
Ну что тут скажешь. Два фактора перебрали - осталось еще 998 проанализировать.</t>
  </si>
  <si>
    <t>да ну вы задолбали, каждый месяц писать что положили карту моно на получку. Ну положили и положили, думаете это кому то интересно?</t>
  </si>
  <si>
    <t>makor06</t>
  </si>
  <si>
    <t>Совсем Моня скучным стал.
Эта карта подходит продвинутым оленям, которые только-только слезли с пальмы и научились не бежать к ближайшему банкомату в день зарплаты.
Нормальным людям - делать тут практически нечего, разве что на такси кататься.
На полочку</t>
  </si>
  <si>
    <t>https://forum.finance.ua/viewtopic.php?p=4337273#p4337273    wig написав:
 https://forum.finance.ua/viewtopic.php?p=4337264#p4337264    stryzhko написав:Одяг і взуття Товари та послуги в спеціалізованих магазинах одягу, взуття Коди МСС: 5131, 5137, 5139, 5611, 5621, 5631, 5641, 5651, 5655, 5661, 5681, 5691, 5697, 5698, 5699, 5931, 5948, 5949, 7251, 7296.
Спасибо. А всякие Онтакси/Отакси/Уберы пойдут как такси, или информационные услуги?
Уклон в феврале шел как такси</t>
  </si>
  <si>
    <t>GrafBV</t>
  </si>
  <si>
    <t>Катагерії на ківтень
 http://piccy.info/view3/12208942/6d8ef3251bca34a0e638b8b4bf957bcf/  http://i.piccy.info/a3c/2018-04-01-09-04/i9-12208942/135x240-r</t>
  </si>
  <si>
    <t>Mamon4ik</t>
  </si>
  <si>
    <t>wig написав:
А всякие Онтакси/Отакси/Уберы пойдут как такси, или информационные услуги?
Таксі лише код МСС: 4121.</t>
  </si>
  <si>
    <t>stryzhko</t>
  </si>
  <si>
    <t>убер как такси хорошо шел в январе.</t>
  </si>
  <si>
    <t>https://forum.finance.ua/viewtopic.php?p=4337264#p4337264    stryzhko написав:
Одяг і взуття Товари та послуги в спеціалізованих магазинах одягу, взуття Коди МСС: 5131, 5137, 5139, 5611, 5621, 5631, 5641, 5651, 5655, 5661, 5681, 5691, 5697, 5698, 5699, 5931, 5948, 5949, 7251, 7296.
Спасибо. А всякие Онтакси/Отакси/Уберы пойдут как такси, или информационные услуги?</t>
  </si>
  <si>
    <t>Жодної некешбечної, %% не зарізали. Але кешбеку тіки 158 на місяць</t>
  </si>
  <si>
    <t>chipmunk</t>
  </si>
  <si>
    <t>/forum/index.php?act=findpost&amp;pid=71932839  7Sense,
Не доступна</t>
  </si>
  <si>
    <t>bullber</t>
  </si>
  <si>
    <t>#Repost @valeriya_ermilova
• • •
Доброе утро, красивые Как началась Ваша суббота? Моя чудесно. Уже в Киеве с ❤️
.
Многие начали задавать вопросы про ультрачерную карту Она стильная, да 
Этим #monobank и подкупил
.
❗️Так вот, хочу рассказать ее преимущества и недостатки
.
Сначала Лайк❤️ я стараюсь для Вас❤️
.
Я ее заказала не потому что увидела рекламу, а потому что ее себе сделал Антон а я мушка-повторушка 
На самом деле, карта удобная и полезная, но есть и недостатки, сейчас расскажу
.
Начну с преимуществ➕
у банка невероятно удобное и современное приложение, там точно не запутаешься
получить карту может любой и каждому одобрять кредит не выходя из дома, минут за 5
не знаю как в других городах, но в Киеве курьер мне привёз домой карту, я расписалась, он сверил данные с паспортом и карта у меня
пишут, что карту пополнить можно без комиссий(но есть момент, об этом позже)
вам дают кредитный лимит и можете пользоваться этими деньгами(62 дня, потом пополнять), но вовремя пополнять карту, иначе после будут накапливаться % и будете возвращать больше(ну это, в принципе логично)
также есть Рассрочка, но она в бета версии
самое крутое, что у карты есть кешбек и Вы возвращаете себе % от вашей покупки, каждый месяц выбираете 2 категории кешбека
если вы держите личные средства на карте, то вы можете получать доп. доход в размере 10 % годовых и выплачиваются в начале каждого месяца
paypass - самое удобное, что могли придумать, расплачиваюсь за 1 мин
Недостатки➖
берётся комиссия при снятии личных средств в банкомате любого банка 0,5%, при снятии кредитных - 4%
при пополнении карты также берётся комиссия 0,5% но это берет не monobank, а банк отправителя, это я ещё уточню, т к мне клали денежки и комиссия была
нужно вовремя платит кредит иначе % будете платить +3,2% сверху
.
Ну все. Для меня карта удобная, кредитом я пользовалась 1 раз - перевела 5 грн на телефон поэтому не могу поделиться опытом погашения. Я пользуюсь личными средствами и ещё получаю % каждый месяц. В карусель прикреплю условия карты, почитайте, кому интересно❤️А ещё у них стикеры крутые
.
#истории_ермилова #топы_ермилова #ВалерияЕрмилов</t>
  </si>
  <si>
    <t>11:52</t>
  </si>
  <si>
    <t>https://forum.finance.ua/viewtopic.php?p=4337221#p4337221    Кащей написав:
 https://forum.finance.ua/viewtopic.php?p=4337212#p4337212    guntherhouse777 написав:два месяца подряд набирал полное лукошко.
Дали КБ на этот месяц +1% К Вашему. (как у Импри)
 а неокэшбэченные транзакции вообще были по карте?
А что, надо было?
А если серьезно, как кто думает, анализируют процент неокешбеченных транзакций? У меня за март ни одной такой не было. Свинорыл я или где?!</t>
  </si>
  <si>
    <t>Наталія приглашает вас в monobank! Оформите карту, перейдя по персональной ссылке, и вы оба получите по 50 грн на счет кешбэка!
https://monobank.com.ua/r/SjMD
monobank – банк без відділень
Ми не несемо витрати на відділення, і тому можемо дати вам найвигідніші умови!</t>
  </si>
  <si>
    <t>Наталия Туркевич</t>
  </si>
  <si>
    <t>wig написав:
Господа состоятельные кроты, а 5931 в "Одежду и обувь" входит?
Одяг і взуття Товари та послуги в спеціалізованих магазинах одягу, взуття Коди МСС: 5131, 5137, 5139, 5611, 5621, 5631, 5641, 5651, 5655, 5661, 5681, 5691, 5697, 5698, 5699, 5931, 5948, 5949, 7251, 7296.</t>
  </si>
  <si>
    <t>/forum/index.php?act=findpost&amp;pid=71932407  bullber, она закрытая, для бэтта тестеров - https://facebook.com/g…40989840?ref=bookmarks https://facebook.com/groups/1257863640989840?ref=bookmarks</t>
  </si>
  <si>
    <t>Екатерина Крамаренко</t>
  </si>
  <si>
    <t>monobank! 
Оформите карту, перейдя по персональной ссылке, и вы оба получите по 50 грн на счет кешбэка!
https://monobank.com.ua/r/nMm4</t>
  </si>
  <si>
    <t>Vadim Vinnik</t>
  </si>
  <si>
    <t>11:46</t>
  </si>
  <si>
    <t>У меня красота и медицина тоже небыло.</t>
  </si>
  <si>
    <t>shyrik1</t>
  </si>
  <si>
    <t>Господа состоятельные кроты, а 5931 в "Одежду и обувь" входит?</t>
  </si>
  <si>
    <t>Когда значки будут выдавать?</t>
  </si>
  <si>
    <t>11:38</t>
  </si>
  <si>
    <t>приглашает вас в monobank! Оформите карту, перейдя по персональной ссылке, и вы получите 50 грн на счет кешбэка! f6mq8</t>
  </si>
  <si>
    <t>приглашает вас в monobank! Оформите карту, перейдя по персональной ссылке, и вы получите 50 грн на счет кешбэка!
f6mq8.app.goo.gl
https://monobank.com.ua/r/qR8W</t>
  </si>
  <si>
    <t>Borys Magas</t>
  </si>
  <si>
    <t>/forum/index.php?act=findpost&amp;pid=71932253  7Sense,
Можно ссылку на группу?</t>
  </si>
  <si>
    <t>МногоХодовОчкова</t>
  </si>
  <si>
    <t>Сообщение от ВанОО
Категории говно, даже не знаю что выбрать
В міру зростання популярності Монобанка далі погіршуватимуть. Свинорилом вже зараз роблять за те, що ти лише чесно накопичував кешбек.</t>
  </si>
  <si>
    <t>Запрошую вас у monobank! Оформіть картку, перейшовши за персональним посиланням, і ви отримаєте 50 грн на рахунок кешбека!
https://monobank.com.ua/r/Ynjq
monobank – банк без відділень</t>
  </si>
  <si>
    <t>Roman Bobalo</t>
  </si>
  <si>
    <t>anetvua @ 1.04.18, 10:25  /forum/index.php?act=findpost&amp;pid=71932050 АЗС,, на сегодня убрали у всех так?
исходя из комментариев с группы фейсбука - да, категории АЗС в апреле ниукого нет.</t>
  </si>
  <si>
    <t>Ну свинорылы же..  Прикинул - чтобы получить кешбек 500 грн, надо потратить 12500 на продукты в месяц, а это сложно, если, конечно, не цыганский табор, и за исключением крупных личных покупок, например на свадьбу. Иначе карта используется для бизнеса, или несколькими людьми в складчину - а это уже свинорыльство, надо признать. Лично я 100 грн в мес на семью из 4 чел с трудом вытягиваю, конечно, не все покупается по карте Мони, а что-то просто за наличку, но не 12 же косарей..</t>
  </si>
  <si>
    <t>Раньше была возможность в кешбеке выбрать АЗС,, на сегодня убрали у всех так?</t>
  </si>
  <si>
    <t>anetvua</t>
  </si>
  <si>
    <t>Тот самый момент, когда: 1. Снег почти сошел и весна где-то на подходе 2. Факт того, что ты кот, не мешает тебе быть тал</t>
  </si>
  <si>
    <t>Очень жаль, что с каждым месяцем монобанк портятся</t>
  </si>
  <si>
    <t>@monobank.com.ua</t>
  </si>
  <si>
    <t>0631214402 5355571111200135 Ткач Дмитрий Викторович Добрый вечер. Вчера попала в плачевную историю. Хотела купить</t>
  </si>
  <si>
    <t>"монобанк" - а ну переведу 400 грн, дефолтный же банк в Украине</t>
  </si>
  <si>
    <t>Діма Сіледчик</t>
  </si>
  <si>
    <t>Кидалово, мошенники на OLX</t>
  </si>
  <si>
    <t>Что то каждый раз категории кэшбека все хуже. Выбрать нечего. Заправок давно нет, перешел на альфу, только продукты актуально.</t>
  </si>
  <si>
    <t>zhylko</t>
  </si>
  <si>
    <t>Мне из категорий на апрель только продукты интересны.</t>
  </si>
  <si>
    <t>igork</t>
  </si>
  <si>
    <t>Тетяна приглашает вас в monobank! Оформите карту, перейдя по персональной ссылке, и вы оба получите по 50 грн на счет кешбэка!
monobank – банк без відділень
https://monobank.com.ua/r/8dD7</t>
  </si>
  <si>
    <t>Татьяна Кондрахина</t>
  </si>
  <si>
    <t>Сообщение от Дюрі-бачі
Дивно чому маму порахували свинорилом, хоча вона навіть 28 грн недобрала до 500. Хіба що їм не сподобалося, що вона закупила через свою картку партію алкоголю (3 тис 1 покупкою)...
В мене склалося враження що свинорилами стають ті хто вивів більше 250 гривень.</t>
  </si>
  <si>
    <t>Підкажіть, в якому банку України можна відкрити справжню кредитову платіжну карту, яку можна використовувати для</t>
  </si>
  <si>
    <t>Yaroslav Nosa монобанк видає карти без імені , вони не підходять. Я теж таку маю ))</t>
  </si>
  <si>
    <t>Ulyana Eremeeva</t>
  </si>
  <si>
    <t>Таки, работает!) Помните мой пост про Монобанк, где была реферальная ссылка..? Так вот сегодня мне пришли 50 грн на</t>
  </si>
  <si>
    <t>Услуга как бы есть, но когда ее заказывал пишет - возможности доставки на адрес сейчас нет. Но то такое</t>
  </si>
  <si>
    <t>Константин Джунь</t>
  </si>
  <si>
    <t>Alexandr  Selivanov</t>
  </si>
  <si>
    <t>VitaliySH @ 01.04.18, 07:10  /forum/index.php?act=findpost&amp;pid=71928857 мне продукты подняли
У меня всегда был и есть именно 4/2 на продукты. Похоже действительно у всех не много отличается.</t>
  </si>
  <si>
    <t>Присоединяйся к monobank. По ссылке и получи 50 грн бонусов f6mq8.app.goo.gl</t>
  </si>
  <si>
    <t>Присоединяйся к monobank. По ссылке и получи 50 грн бонусов
f6mq8.app.goo.gl
https://monobank.com.ua/r/97QV</t>
  </si>
  <si>
    <t>Ewgenij  Balashov</t>
  </si>
  <si>
    <t>https://forum.finance.ua/viewtopic.php?p=4337223#p4337223    wig написав:
 https://forum.finance.ua/viewtopic.php?p=4337221#p4337221    Кащей написав:налог берут с него?
Там же купоны на скидки. Какой налог.
Эксим считает что налог есть ...
МК ривордс тоже платит налог по всем фантикам.
Но платят за свой счет.</t>
  </si>
  <si>
    <t>Получается, что  у всех кешбек разный?</t>
  </si>
  <si>
    <t>hrjaps</t>
  </si>
  <si>
    <t>Monobank, так нечесно. Другий місяць нема кешбеку на пальне. Хник.</t>
  </si>
  <si>
    <t>Ігор Мартинів хм. Скільки оплачую через інет, то постійно стільки верифікацій, що аж іноді дратує.
Я не лише про приват, маю різні картки</t>
  </si>
  <si>
    <t>Anna Dudyk</t>
  </si>
  <si>
    <t>Уляна Дідич</t>
  </si>
  <si>
    <t>Дивно чому маму порахували свинорилом, хоча вона навіть 28 грн недобрала до 500. Хіба що їм не сподобалося, що вона закупила через свою картку партію алкоголю (3 тис 1 покупкою)...</t>
  </si>
  <si>
    <t>Я купував приватом на амазоні. Єдині дані, які тре було ввести - номер карти і термнін дії. Цього виявилось досить щоб зняти з карти 700 баксів. Задумався.</t>
  </si>
  <si>
    <t>Ігор Мартинів</t>
  </si>
  <si>
    <t>https://forum.finance.ua/viewtopic.php?p=4337221#p4337221    Кащей написав:
налог берут с него?
Там же купоны на скидки. Какой налог.</t>
  </si>
  <si>
    <t>ВанОО, деякі Спортастери, деякі Марафони.</t>
  </si>
  <si>
    <t>https://forum.finance.ua/viewtopic.php?p=4337212#p4337212    guntherhouse777 написав:
два месяца подряд набирал полное лукошко.
Дали КБ на этот месяц +1% К Вашему. (как у Импри)
 а неокэшбэченные транзакции вообще были по карте?
по всем картам ВИЗА Эксима платится кешбек в зависимости от класса:
 налог берут с него?</t>
  </si>
  <si>
    <t>f6mq8.app.goo.gl
https://monobank.com.ua/r/qkwQ</t>
  </si>
  <si>
    <t>Віталій Геннадійович</t>
  </si>
  <si>
    <t>.</t>
  </si>
  <si>
    <t>Goggle</t>
  </si>
  <si>
    <t>https://forum.finance.ua/viewtopic.php?p=4337213#p4337213    sens написав:
монобанк это кредитный лимит и индивидуальный подход
Что? Где?
Лучшее предложение сейчас не у Монобанка, а у Альфы и Эксима.
Моно - карта для экзотических категорий покупок.</t>
  </si>
  <si>
    <t>yahoo, не раніше вівторка</t>
  </si>
  <si>
    <t>10:20</t>
  </si>
  <si>
    <t>Напомните пожалуйста, какие магазины известные попадают под категорию развлечения и спорт.?
Не могу найти табличку</t>
  </si>
  <si>
    <t>Сообщение от Дюрі-бачі
SerP, так 10 тис теж в кредит з тієї ж картки. Заодно виповнила план кешбеку на місяць...
Тільки ліміт підрізали під корінь. Він став рівний сумі поточної заборгованості після зняття готівки. Зараз Ольга вивела 460 грн кешбеку, якими користуватися можна.
О_о не знаю чому, але куртка пройшла по категорії Краса і медицина...
Дюрі-бачі, по возможности отпишись какие категории у Ольги</t>
  </si>
  <si>
    <t>yahoo</t>
  </si>
  <si>
    <t>Карта від monobank чи кредобанк - на ній не пише debit, пише ФІО,  але вона не підходить.  Тобто ваша умова є необхідною а не достатньою</t>
  </si>
  <si>
    <t>Yaroslav Nosa</t>
  </si>
  <si>
    <t>https://forum.finance.ua/viewtopic.php?p=4337198#p4337198    IMPRINTER написав:
yama
по всем картам ВИЗА Эксима платится кешбек в зависимости от класса:
- для карты Visa Classic - ставка 2% от суммы оплаты, применяется к оплатам на общую сумму до 15 000 грн в текущем месяце; на все последующие оплаты в этом месяце применяется ставка 1% от суммы оплаты;
- для карты Visa Gold - ставка 3% от суммы оплаты, применяется к оплатам на общую сумму до 18 000 грн в текущем месяце; на все последующие оплаты в этом месяце применяется ставка 1% от суммы оплаты;
- для карты Visa Platinum - ставка 5% от суммы оплаты применяется к оплатам на общую сумму до 20 000 грн в текущем месяце; на все последующие оплаты в этом месяце применяется ставка 1,2% от суммы оплаты;
- для карты Visa Infinite - ставка 7% от суммы оплаты применяется к оплатам на общую сумму до 25 000 грн в текущем месяце; на все последующие оплаты в этом месяце применяется ставка 1,5% от суммы оплаты.
хватит рекламировать карту другого банка 
монобанк это кредитный лимит и индивидуальный подход .</t>
  </si>
  <si>
    <t>Искатель,
два месяца подряд набирал полное лукошко.
Дали КБ на этот месяц  +1% К Вашему. (как у Импри)</t>
  </si>
  <si>
    <t>Ну логічно,  вона просто буде дебітова ).  Питання в іншому,  на багатьох картах Укр банку нічого -  не пише крім ФІО,  той же Monobank,  а карта дебітова, тобто непригодна</t>
  </si>
  <si>
    <t>@ddya_sasha Уже вижу заглавия постов "конкуренты наняли известных блогеров для черной пиар-компании против монобанка"</t>
  </si>
  <si>
    <t>mafin</t>
  </si>
  <si>
    <t>када %% по единственной,хде свои 
Католический Песах без благодатного огня</t>
  </si>
  <si>
    <t>Мизантрóп</t>
  </si>
  <si>
    <t>Згідно з умовами програми кешбек перелік категорій і розмір бонусу в кожній категорії визначається Банком в</t>
  </si>
  <si>
    <t>Згідно з умовами програми кешбек перелік категорій і розмір бонусу в кожній категорії визначається Банком в односторонньому порядку і може змінюватися щомісяця. Чим більше користуєшся #монобанк тим менше кешбек, хороша програма лояльності</t>
  </si>
  <si>
    <t>Nazar  Gryshchuk</t>
  </si>
  <si>
    <t>https://forum.finance.ua/viewtopic.php?p=4337189#p4337189    yama написав:
1) подскажите сеть оффлайн магазинов ibis.net.ua  под какую категорию подходит ?
2) как в эксиме верно называется карта с кешбеком 5% https://hostingkartinok.com/show-image.php?id=b0a45f0fc20e3c862d277deeeecf62f2 
У меня аналогичный набор с теми же процентами! Спасибо, yama, не пришлось мучаться с отправкой картинки со смарта.
В прошлом месяце первый раз за все время выбрал весь кешбэк, и вижу, что уже попал в категорию "обиженных кешбэком", в смысле, пониженный процент.
Честно говоря, мне тут и выбрать нечего, кроме продуктов. И те 3%. Скукота ((</t>
  </si>
  <si>
    <t>yama
по всем картам ВИЗА Эксима платится кешбек в зависимости от класса:
- для карты Visa Classic - ставка 2% от суммы оплаты, применяется к оплатам на общую сумму до 15 000 грн в текущем месяце; на все последующие оплаты в этом месяце применяется ставка 1% от суммы оплаты;
- для карты Visa Gold - ставка 3% от суммы оплаты, применяется к оплатам на общую сумму до 18 000 грн в текущем месяце; на все последующие оплаты в этом месяце применяется ставка 1% от суммы оплаты;
- для карты Visa Platinum - ставка 5% от суммы оплаты применяется к оплатам на общую сумму до 20 000 грн в текущем месяце; на все последующие оплаты в этом месяце применяется ставка 1,2% от суммы оплаты;
- для карты Visa Infinite - ставка 7% от суммы оплаты применяется к оплатам на общую сумму до 25 000 грн в текущем месяце; на все последующие оплаты в этом месяце применяется ставка 1,5% от суммы оплаты.</t>
  </si>
  <si>
    <t>За свои разве что такси...
Или, под видом книг можно в газетных киосках сигареты покупать?</t>
  </si>
  <si>
    <t>https://forum.finance.ua/viewtopic.php?p=4336998#p4336998    Мизантрóп написав:
 https://forum.finance.ua/viewtopic.php?p=4336997#p4336997    mihasik написав:Если у меня в этом мес.400грн КБ, мне обязательно его перечислять, чтоб в следующем месяце опять собирать? Или его можно накапливать? Т.е. в следующем 400остается + новые 500 можно?
можно копить.выводить дает 500 в месяц(402,50 чистоганом)
Вывести можно и больше 500 в месяц (т.е. больше 402,50 чистоганом), у меня в марте так вышло (остался хвостик за февраль).
А вот насчитать больше 500 не получится.</t>
  </si>
  <si>
    <t>При оплате в интернете, нет ни какой защиты, с карты монобанка могут списать любую сумму кто угодно и когда угодно. Лимит который устанавливаешь сам, банк меняет самостоятельно без какого либо уведомления. Думал что банк надежный, а оказалось что нет. Один плюс данного банка что бесплатные переводы и платежи. Картой только можно пользоваться для оплаты терминалом и для переводов.</t>
  </si>
  <si>
    <t>Сергей Матросов</t>
  </si>
  <si>
    <t>@denkarbk По этому промокоду 
https://monobank.com.ua/r/AffU</t>
  </si>
  <si>
    <t>Дядя Саша</t>
  </si>
  <si>
    <t>09:28</t>
  </si>
  <si>
    <t>Недавно знайомі писали як в них з карти монобанку сперли гроші покупкою на алі. Причому людина каже, що жодного разу в неті тією картою не розраховувалась.
Наразі розбираються з безпекою</t>
  </si>
  <si>
    <t>Мне понизили % на кешбек на продукты теперь 3/1 а было 4/2.</t>
  </si>
  <si>
    <t>Ну хоча б не монобанк</t>
  </si>
  <si>
    <t>Vasyl</t>
  </si>
  <si>
    <t>Karbo info</t>
  </si>
  <si>
    <t>1) подскажите сеть оффлайн магазинов ibis.net.ua  под какую категорию подходит ?
2) как в эксиме верно называется карта с кешбеком 5% https://hostingkartinok.com/show-image.php?id=b0a45f0fc20e3c862d277deeeecf62f2</t>
  </si>
  <si>
    <t>Nikolay  Shekutin</t>
  </si>
  <si>
    <t>/forum/index.php?act=findpost&amp;pid=71928722  BETE, мне продукты подняли, хоть и вывел 410
Прикрепленные изображения
Сообщение отредактировал VitaliySH //4pda.ru/forum/index.php?showuser=326178  - Сегодня, 08:12</t>
  </si>
  <si>
    <t>Есть услуга доставки. Стоит только указать адрес и желаемое время.
Мне прямо в офис принесли.</t>
  </si>
  <si>
    <t>Оформіть картку, перейшовши за персональним посиланням, і ви отримаєте 50 грн на рахунок кешбека!
https://monobank.com.ua/r/MRzp</t>
  </si>
  <si>
    <t>Roman_90</t>
  </si>
  <si>
    <t>Оформіть картку, перейшовши за персональним посиланням, і ви отримаєте 50 грн на рахунок кешбека!</t>
  </si>
  <si>
    <t>Roman Pavlyk</t>
  </si>
  <si>
    <t>https://forum.finance.ua/viewtopic.php?p=4337172#p4337172    sola написав:
 https://forum.finance.ua/viewtopic.php?p=4337156#p4337156    Мизантрóп написав:ну хоть продукты дали ,а не животные))
В такой день и не пошутили...
Несколько свинорылов жалуются, что у них вместо продуктов таки категория Животные под 20/10  
О, прикольная категория - я её давно жду чтобы питомцу накупить кучу хрени.
Кстати, подскажите, а что из стоящих магазов подходят под категорию розвагы и спирт?</t>
  </si>
  <si>
    <t>lov2108</t>
  </si>
  <si>
    <t>Правильно ли я понял, что тем, кто активно использовал кэшбэк в следующем месяце дают хуже условия? У меня на апрель проценты снизились по всем категориям. В марте вывел все 500 грн.</t>
  </si>
  <si>
    <t>BETE</t>
  </si>
  <si>
    <t>Надо самому забрать</t>
  </si>
  <si>
    <t>Таня Ковальчук</t>
  </si>
  <si>
    <t>Приличные категории подрезали до 3%, бензина нет второй месяц. Моня решил сворачиваться с набором новых клиентов?</t>
  </si>
  <si>
    <t>kucher_oleg_ua</t>
  </si>
  <si>
    <t>Зате минулого місяця було на аптеки. Я ще жартувала, що зробила правильний вибір у кешбеці. :))</t>
  </si>
  <si>
    <t>Yuliya Bodriyenko</t>
  </si>
  <si>
    <t>Как быстро заработать 50грн на карту??)) Скачивайте приложение по ссылке: После регистрации тебе и мне зачислятся по</t>
  </si>
  <si>
    <t>Как быстро заработать 50грн на карту??))
Скачивайте приложение по ссылке:
https://monobank.com.ua/r/wwuh
После регистрации тебе и мне зачислятся по 50грн___
Бесплатная карточка со встроенным PayPass (бесконтактная оплата)
___
Тарифы МоноБанка в сравнении с другими банками:</t>
  </si>
  <si>
    <t>Yuri Zlotnik</t>
  </si>
  <si>
    <t>Андрей Кит, при всем моем уважении к команде Монобанка и том, что я сам являюсь их клиентом и поддерживаю с ними тесные взаимоотношения, осенью там не было полмиллиона бета-тестеров. Там до сих пор столько карт не выдано.
А карты класса Black у Mastercard действительно появились задолго до появления Монобонка. И у них традиционный черный дизайн.</t>
  </si>
  <si>
    <t>Сергей Гаврилов</t>
  </si>
  <si>
    <t>Как быстро заработать 50грн на карту??))
Скачивайте приложение по ссылке:
https://monobank.com.ua/r/QFx8
После регистрации тебе и мне зачислятся по 50грн
___
Бесплатная карточка со встроенным PayPass (бесконтактная оплата)
___
Тарифы МоноБанка в сравнении с другими банками:</t>
  </si>
  <si>
    <t>Artem Puntus</t>
  </si>
  <si>
    <t>Вони щомісяця міняють категорії. Зараз за пальне нема, здається.</t>
  </si>
  <si>
    <t>Ihor Sayko</t>
  </si>
  <si>
    <t>Видели там моно запустил раздачу бонусов на кешбек? https://monobank.com.ua/giveaway</t>
  </si>
  <si>
    <t>Там фишинговый сайт, не переходите</t>
  </si>
  <si>
    <t>Ερμής Τρισμέγιστος</t>
  </si>
  <si>
    <t>07:44</t>
  </si>
  <si>
    <t>Видели там моно запустил раздачу бонусов на кешбек? https://monobank.com.ua/giveaway https://tinyurl.com/y7sjrx3f</t>
  </si>
  <si>
    <t>0x1A5p</t>
  </si>
  <si>
    <t>Да все так, только карту в Караване получил, не доставляют.</t>
  </si>
  <si>
    <t>06:53</t>
  </si>
  <si>
    <t>Я тільки нещодавно змінив роботу і думав, що працюватиму в Асоціації УМДПЛ наступні роки, але за цей час встиг отримати</t>
  </si>
  <si>
    <t>Mykhailo Kameniev не забудь  в декларации указать кешбек от монобанка,  если пользуешься им. Это я без шуток.</t>
  </si>
  <si>
    <t>Михайло Захарченко</t>
  </si>
  <si>
    <t>Mykhailo Kameniev</t>
  </si>
  <si>
    <t>Я тоже весь кэшбек выгреб, купив билеты на самолет, так мне путешествия тоже понизили. А с ними и продукты.</t>
  </si>
  <si>
    <t>opex</t>
  </si>
  <si>
    <t>06:31</t>
  </si>
  <si>
    <t>https://forum.finance.ua/viewtopic.php?p=4337156#p4337156    Мизантрóп написав:
ну хоть продукты дали ,а не животные))
В такой день и не пошутили...
Несколько свинорылов жалуются, что у них вместо продуктов таки категория Животные под 20/10</t>
  </si>
  <si>
    <t>06:25</t>
  </si>
  <si>
    <t>У мами замість продуктів - тварини. В минулому місяці за продукти отримала 370 грн кешбеку і ще 100 за аптеки.
В мене всі категорії на місці (кешбеку 80 грн). Доведеться обмінятися картками...</t>
  </si>
  <si>
    <t>06:14</t>
  </si>
  <si>
    <t>Хм.. книги на амазон еще подходят?</t>
  </si>
  <si>
    <t>Vall</t>
  </si>
  <si>
    <t>06:05</t>
  </si>
  <si>
    <t>У меня все ставки меньше на 1%! В прошлом месяце получил 280 грн кешбэка.
Категории говно, даже не знаю что выбрать...</t>
  </si>
  <si>
    <t>05:30</t>
  </si>
  <si>
    <t>Monobank is the way to go</t>
  </si>
  <si>
    <t>Vitalii Maksymenko</t>
  </si>
  <si>
    <t>05:02</t>
  </si>
  <si>
    <t>Почему у монобанка нет кешбека за наркотики?</t>
  </si>
  <si>
    <t>Frankk</t>
  </si>
  <si>
    <t>04:13</t>
  </si>
  <si>
    <t>Надо предложить это варик Монобанку, вполне могут принять))</t>
  </si>
  <si>
    <t>Виталий Паламарчук</t>
  </si>
  <si>
    <t>ПЖ</t>
  </si>
  <si>
    <t>02:58</t>
  </si>
  <si>
    <t>отето мне мстяттроллят за 5х500, вместо категории Продукты дали категорию Животные (ну свинорылы же) под 20\10%</t>
  </si>
  <si>
    <t>02:56</t>
  </si>
  <si>
    <t>Oksana Litvin не извиню. Осенью 17 у монобанка уже было пол миллиона бета тестеров с картами. И вы как специалист по работе с вип клиентами это хорошо знаете. И именно тогда у вас появился «крутэзный» продукт. Кстати, Судя по тому, что вы снова запустили его промо на такую крутизну не очень то ведуться.</t>
  </si>
  <si>
    <t>Andy Kit</t>
  </si>
  <si>
    <t>02:32</t>
  </si>
  <si>
    <t>Priser, у меня в прошлом месяце ставки были понижены на 1%, из-за полученного в феврале кешбека в 500 грн.</t>
  </si>
  <si>
    <t>02:07</t>
  </si>
  <si>
    <t>хех, хорошо что я в монобанке</t>
  </si>
  <si>
    <t>Creepteks [Karbo CryptoNote|x160 for the last year]</t>
  </si>
  <si>
    <t>02:03</t>
  </si>
  <si>
    <t>Нина Ивченкова</t>
  </si>
  <si>
    <t>01:54</t>
  </si>
  <si>
    <t>значить тільки я зібралась не купувати книги
як монобанк дає мені кешбек 20% на покупки у книжкових магазинах
це взагалі шо за свинство, я ж людина зрештою, як можна встояти перед такооою спокусою</t>
  </si>
  <si>
    <t>та, що має ключі</t>
  </si>
  <si>
    <t>Рекомендую. Сама пользуюсь</t>
  </si>
  <si>
    <t>Anna Chaplygina</t>
  </si>
  <si>
    <t>01:43</t>
  </si>
  <si>
    <t>У меня категории с табличкой совпадают, ставки - нет. У жены совпали и категории, и ставки.</t>
  </si>
  <si>
    <t>Priser</t>
  </si>
  <si>
    <t>01:36</t>
  </si>
  <si>
    <t>Сегодня в кондитерской забирал тортик дочке на др и передо мной чувак расчитывался моней, даже глянул по моей просьбе в приложении какая категория, оказалось кафе и рестораны.
Растёт поголовье!!!</t>
  </si>
  <si>
    <t>Абсолютно бесплатно установите UDS Game в свой бизнес и запустите комплексную систему лояльности на базе мобильного приложения  уже через 30 минут!</t>
  </si>
  <si>
    <t>СИСТЕМА  ЛОЯЛЬНОСТИ)</t>
  </si>
  <si>
    <t>weblancer_net</t>
  </si>
  <si>
    <t>Може, після пального буде кешбек на суші? :)</t>
  </si>
  <si>
    <t>Jaroslav Jurijovych Mazurak</t>
  </si>
  <si>
    <t>01:13</t>
  </si>
  <si>
    <t>Daily Sale XVIII</t>
  </si>
  <si>
    <t>хотел только что испробовать теорию, но мин сумма вывода на карту от ЕПН 100 дол, у меня меньше, курс монобанка 26.43/26.44  и если заказать выплату в дол на эту карту то по идее банко должен конвертировать доллары в грн по курсу 26.43 что больше чем в других банках да и у менял тоже</t>
  </si>
  <si>
    <t>Джек Картнер</t>
  </si>
  <si>
    <t>groupb.ru</t>
  </si>
  <si>
    <t>иван что это такое? появилась реклама у меня на гугл+ . заслал кто-то. Monobank Дмитрий Дубилет про проект Я для вас</t>
  </si>
  <si>
    <t>иван что это такое? появилась реклама у меня на гугл+ . заслал кто-то.
Monobank
Дмитрий Дубилет про проект www.monobank.com.ua/get:
Я для вас склав список з прикольних дрібниць monobank. Їх у нашому додатку сотні, але тут поділюся лише п'ятьма:
1. Якщо ви хочете переказати гроші тому, хто є у вашій телефонній книжці, для цього не потрібно знати номер картки. Досить просто натиснути на його ім'я в контактах. І більше жодних «Скинь мені номер картки!».
2. Якщо ви перебуваєте за кордоном, то додаток розуміє це і відразу показує курс валюти тієї країни, в якій ви перебуваєте.
3. Ви можете подивитися номер картки, термін дії та cvv просто в додатку. Можна тут же скопіювати номер картки в буфер. Зручно, коли потрібно зробити інтернет-купівлю, а за самою карткою тягнутися лінь.
4. У повідомленнях про транзакції ми використовуємо емодзі (наприклад,  для магазинів одягу). А якщо операція в валюті — то поруч з курсом ставимо прапор відповідної країни (ех, люблю прапори!).
5. Наша служба підтримки спілкується в зручних для вас месенджерах (Viber, Telegram або Facebook), а не у вбудованих месенджерах, які постійно вибиває. Ну і без ботів, само собою.
Оце так розробники додатку monobank! Оце так молодці!
Ми не несемо витрати на відділення, і тому можемо дати вам найвигідніші умови!
http://www.monobank.com.ua/get</t>
  </si>
  <si>
    <t>Anatoly  Romanovsky</t>
  </si>
  <si>
    <t>Ivan Romanovsky</t>
  </si>
  <si>
    <t>АТБшна історія. Тільки шо, вже після 24.00 розраховуюсь на касі картою Monobank в передчутті 4% кешбеку. Скупився на 307</t>
  </si>
  <si>
    <t>https://www.facebook.com/AccountantMovie/?ref=profile
The Accountant Movie
Official page for The Accountant starring Ben Affleck and Anna Kendrick. In theaters October 14th.</t>
  </si>
  <si>
    <t>Sasha Ljutov</t>
  </si>
  <si>
    <t>00:55</t>
  </si>
  <si>
    <t>mihasik в ЛС,а то Фантом наругает</t>
  </si>
  <si>
    <t>https://forum.finance.ua/viewtopic.php?p=4337159#p4337159    maxprofit написав:
Мегого була Розваги/спорт - стала кіно !
Да,с этим будут засады.
Был в игровой комнате детской, там как кафе прошло</t>
  </si>
  <si>
    <t>https://forum.finance.ua/viewtopic.php?p=4337151#p4337151    IMPRINTER написав:
 https://forum.finance.ua/viewtopic.php?p=4337149#p4337149    maxprofit написав: https://forum.finance.ua/viewtopic.php?p=4337142#p4337142    IMPRINTER написав:GrafBV
-1,5% почти .. там та чистые 5% а тут грязные.
моню фтопку. юзаем эксим, поддерживаем государство.
Ексім же дебетна - не вигідно без грейсу , хіба ні ?
дебетка.
ну и что - мне главное выхлоп, я что нищеброд какой-то)
А де там про КБ, что-то не нашел на сайте?
Куча карт, а де, шО...</t>
  </si>
  <si>
    <t>Мегого була Розваги/спорт - стала кіно !</t>
  </si>
  <si>
    <t>maxprofit</t>
  </si>
  <si>
    <t>00:41</t>
  </si>
  <si>
    <t>Читать всем моим заграничным друзьям! Особенно тем, кто считает, что я пессимистирую и тем, кто, сидя там, считает,</t>
  </si>
  <si>
    <t>Ну ты ж знаешь, у меня аллергия на логические ошибки. Тоесть в Украине может все ещё хуже, но этот пост – не аргумент. С таким же успехом можно выложить пост про  Monobank или про какой-нибудь новый кабинет и сказать "это олицетворение того, что происходит в Украине". Оба аргументы будут ложны для обобщения, хотя сами по себе справедливы и истинны.</t>
  </si>
  <si>
    <t>Ivan Danyliuk</t>
  </si>
  <si>
    <t>Татьяна Канарская</t>
  </si>
  <si>
    <t>2017-10  2017-11  2017-12  2018-01  2018-02  Аптека5 % Путешествия2 % Путешествия2 % Продукты2 % Авто и АЗС4 %2 %Красота10 % Красота, Спорт, Аптеки5 % Авто и АЗС2 % Такси10 % Продукты4 %2 %Одежда, обувь3 % Развлечения10 % Красота и Медицина5 % Одежда и обувь3 % Кино20 %12 %Развлечения10 % Кафе и Рестораны3 % Развлечения и Спорт10 % Авто и АЗС3 % Такси14 %7 %Общ.транспорт10 % Супермаркеты2 % Одежда и Обувь3 % Книги20 % Развлечения и спорт12 %6 %Фаст фуд5 % Кино20 % Книги20 % Кино20 % Одежда и Обувь5 %2 %
2018-03   2018-04  Путешествия4 %2 % Путешествия4 %2 %Красота и медицина7 %3 % Развлечения и спорт10 %5 %Кафе и рестораны4 %2 % Одежда и обувь4 %2 %Продукты4 %2 % Продукты4 %2 %Кино20 %12 % Книги20 %10 %Цветы15 %5 % Такси14 %4 %</t>
  </si>
  <si>
    <t>И кредитная истоияв норме</t>
  </si>
  <si>
    <t>Максим Кузьменко</t>
  </si>
  <si>
    <t>Не дают</t>
  </si>
  <si>
    <t>00:24</t>
  </si>
  <si>
    <t>ну хоть продукты дали ,а не животные))
В такой день и не пошутили...</t>
  </si>
  <si>
    <t>Да что там довольного. Этот рандом, мягко говоря, вызывает рвотный рефлекс.</t>
  </si>
  <si>
    <t>Перемедон</t>
  </si>
  <si>
    <t>WachtAmRhein
Можливо, Ви там неліквід розбирали?</t>
  </si>
  <si>
    <t>Кочевник, так, "продукти" лишили, це головне.</t>
  </si>
  <si>
    <t>00:17</t>
  </si>
  <si>
    <t>Ви шукаєте чесність у Тігіпка? В банку, котрий спонсорував мітинги Саакашвілі?</t>
  </si>
  <si>
    <t>Roman Syneiko</t>
  </si>
  <si>
    <t>Капец, а чего ж у меня спорт 10/5 оставили, я в феврале по максимуму затоварился.</t>
  </si>
  <si>
    <t>00:13</t>
  </si>
  <si>
    <t>https://forum.finance.ua/viewtopic.php?p=4337147#p4337147    WachtAmRhein написав:
Категории одинаковые, проценты разные. Например в марте в атбэшных свинорылов было 3/1 по свпермаркетам, а у меня и других честных граждан 4/2.
В березні насвинорилив в маркетах аж на 42 грн. кеш-беку, проте в квітні теж зрізали до 3%.
В лютому розваги і спорт було 12%, у квітні вже 9%.</t>
  </si>
  <si>
    <t>Monobank, так нечесно.
Другий місяць нема кешбеку на пальне.
Хник.</t>
  </si>
  <si>
    <t>https://forum.finance.ua/viewtopic.php?p=4337147#p4337147    WachtAmRhein написав:
 https://forum.finance.ua/viewtopic.php?p=4337145#p4337145    IMPRINTER написав: https://forum.finance.ua/viewtopic.php?p=4337143#p4337143    WachtAmRhein написав:Розваги та спорт подрезали, было 12/6 в феврале.
Интересно, у тех кто в спортмастере не свинорылил оставили 12/6?
категории у всех одинаковые как и раньше.
Категории одинаковые, проценты разные. Например в марте в атбэшных свинорылов было 3/1 по свпермаркетам, а у меня и других честных граждан 4/2. 
Я ни разу не свинорылил в спортмастерах, на апрель 9/4.
Видать наказали за февраль супермаркеты и март аптеки (как не прискорбно, но они были очень кстати)</t>
  </si>
  <si>
    <t>https://forum.finance.ua/viewtopic.php?p=4337149#p4337149    maxprofit написав:
 https://forum.finance.ua/viewtopic.php?p=4337142#p4337142    IMPRINTER написав:GrafBV
-1,5% почти .. там та чистые 5% а тут грязные.
моню фтопку. юзаем эксим, поддерживаем государство.
Ексім же дебетна - не вигідно без грейсу , хіба ні ?
дебетка.
ну и что - мне главное выхлоп, я что нищеброд какой-то)</t>
  </si>
  <si>
    <t>Що за занепадницькі настрої? Книжковий клуб прикрили чи що?</t>
  </si>
  <si>
    <t>klug</t>
  </si>
  <si>
    <t>Категоріями всі задоволені?</t>
  </si>
  <si>
    <t>00:10</t>
  </si>
  <si>
    <t>https://forum.finance.ua/viewtopic.php?p=4337142#p4337142    IMPRINTER написав:
GrafBV
-1,5% почти .. там та чистые 5% а тут грязные.
моню фтопку. юзаем эксим, поддерживаем государство.
Ексім же дебетна - не вигідно без грейсу , хіба ні ?</t>
  </si>
  <si>
    <t>https://forum.finance.ua/viewtopic.php?p=4337145#p4337145    IMPRINTER написав:
 https://forum.finance.ua/viewtopic.php?p=4337143#p4337143    WachtAmRhein написав:Розваги та спорт подрезали, было 12/6 в феврале.
Интересно, у тех кто в спортмастере не свинорылил оставили 12/6?
категории у всех одинаковые как и раньше.
Категории одинаковые, проценты разные. Например в марте в атбэшных свинорылов было 3/1 по свпермаркетам, а у меня и других честных граждан 4/2.</t>
  </si>
  <si>
    <t>Без Аптек - отправляется на скамейку запасных до мая</t>
  </si>
  <si>
    <t>https://forum.finance.ua/viewtopic.php?p=4337143#p4337143    WachtAmRhein написав:
Розваги та спорт подрезали, было 12/6 в феврале.
Интересно, у тех кто в спортмастере не свинорылил оставили 12/6?
категории у всех одинаковые как и раньше.</t>
  </si>
  <si>
    <t>Розваги та спорт подрезали, было 12/6 в феврале.
Интересно, у тех кто в спортмастере не свинорылил оставили 12/6?</t>
  </si>
  <si>
    <t>GrafBV
-1,5% почти .. там та чистые 5% а тут грязные.
моню фтопку. юзаем эксим, поддерживаем государство.</t>
  </si>
  <si>
    <t>https://forum.finance.ua/viewtopic.php?p=4337140#p4337140    GrafBV написав:
 https://forum.finance.ua/viewtopic.php?p=4337137#p4337137    IMPRINTER написав:в апреле категории *г**** - аптек нет.
 https://hostingkartinok.com/show-image.php?id=4c194519adc6f7ac82f058a5158c5460 
-1% от вашего на все.
Аналогічно</t>
  </si>
  <si>
    <t>00:04</t>
  </si>
  <si>
    <t>https://forum.finance.ua/viewtopic.php?p=4337137#p4337137    IMPRINTER написав:
в апреле категории *г**** - аптек нет.
 https://hostingkartinok.com/show-image.php?id=4c194519adc6f7ac82f058a5158c5460 
-1% от вашего на все.</t>
  </si>
  <si>
    <t>Індивідуального набору теж, бачу, нема...</t>
  </si>
  <si>
    <t>Приглашаю  вас в monobank! Оформите карту, перейдя по персональной ссылке, и вы получите 50 грн на счет кешбэка!
https://monobank.com.ua/r/gw83
Первый мобильный банк без отделений в Украине. Открытие карты — бесплатно. Переводите деньги друзьям, оплачивайте коммуналку и пополняйте мобильный без комиссий. Кредитный лимит до 100 000 грн до 62 дней без процентов.  Любые покупки в рассрочку и кешбэк до 20%.
Приятные штуки:
- Получайте 10% на остаток личных средств на карте.
- Кешбэк до 20% от суммы покупки.
- Чип для безопасности и PayPass для бесконтактной оплаты.
- Удобнейшее мобильное приложение.
- Автоматический учет расходов по категориям.
- Человечная служба поддержки: круглосуточно в Facebook, Viber, Telegram и по телефону.
monobank.com.ua/r/gw83
https://monobank.com.ua/r/gw83</t>
  </si>
  <si>
    <t>Ivan But`ko</t>
  </si>
  <si>
    <t>00:02</t>
  </si>
  <si>
    <t>в апреле категории *г**** - аптек нет.
 https://hostingkartinok.com/show-image.php?id=4c194519adc6f7ac82f058a5158c5460</t>
  </si>
  <si>
    <t>Первый мобильный банк без отделений в Украине. Открытие карты — бесплатно. Переводите деньги друзьям, оплачивайте коммуналку и пополняйте мобильный без комиссий. Кредитный лимит до 100 000 грн до 62 дней без процентов.  Любые покупки в рассрочку и кешбэк до 20%.
Приятные штуки:
- Получайте 10% на остаток личных средств на карте.
- Кешбэк до 20% от суммы покупки.
- Чип для безопасности и PayPass для бесконтактной оплаты.
- Удобнейшее мобильное приложение.
- Автоматический учет расходов по категориям.
- Человечная служба поддержки: круглосуточно в Facebook, Viber, Telegram и по телефону.
Приглашаю  вас в monobank! Оформите карту, перейдя по персональной ссылке, и вы получите 50 грн на счет кешбэка!
https://monobank.com.ua/r/gw83
monobank.com.ua/r/gw83
https://monobank.com.ua/r/gw83</t>
  </si>
  <si>
    <t>31.03.2018</t>
  </si>
  <si>
    <t>Первый мобильный банк без отделений в Украине. Открытие карты — бесплатно. Переводите деньги друзьям, оплачивайте коммуналку и пополняйте мобильный без комиссий. Кредитный лимит до 100 000 грн до 62 дней без процентов.  Любые покупки в рассрочку и кешбэк до 20%.
Приятные штуки:
- Получайте 10% на остаток личных средств на карте.
- Кешбэк до 20% от суммы покупки.
- Чип для безопасности и PayPass для бесконтактной оплаты.
- Удобнейшее мобильное приложение.
- Автоматический учет расходов по категориям.
- Человечная служба поддержки: круглосуточно в Facebook, Viber, Telegram и по телефону.
Приглашаю  вас в monobank! Оформите карту, перейдя по персональной ссылке, и вы получите 50 грн на счет кешбэка!
https://monobank.com.ua/r/gw83</t>
  </si>
  <si>
    <t>Артур</t>
  </si>
  <si>
    <t>В последнее время, эта пластина стемпинга очень популярна у наших мастеров, в принципе, как и материалы Komilfo  Хотя, Komilfo D239 у нас еще в ленте не было)) ⠀
Все равно у нас всегда что-то новенькое 
⠀
База Komilfo X-Base - от 125грн ⠀
Гель-лак Komilfo D239 - 125грн ⠀
 Приобрести можно у нас в интернет-магазине или в магазине при студии (инфо в шапке профиля)⠀
✅ Бесплатная доставка от 300грн⠀
✅ Скидка от 500грн (до 10%)⠀
✅ Широкий ассортимент в наличии!⠀
 Доставка | Delivery:⠀
▫️Новая Почта⠀
▫️Укрпошта⠀
▫️Самовывоз⠀
▫️International air delivery ✈️⠀
 Оплата | Payment:⠀
▫️Наличными / терминал⠀
▫️Наложенным платежом⠀
▫️На карту ПриватБанк или monobank⠀
▫️International debit and credit cards ⠀
(VISA, MasterCard), PayPal, Swift and WU</t>
  </si>
  <si>
    <t>Игорь Бочаров</t>
  </si>
  <si>
    <t>В последнее время, эта пластина стемпинга очень популярна у наших мастеров, в принципе, как и материалы Komilfo</t>
  </si>
  <si>
    <t>В последнее время, эта пластина стемпинга очень популярна у наших мастеров, в принципе, как и материалы Komilfo  Хотя, Komilfo D239 у нас еще в ленте не было)) ⠀
Все равно у нас всегда что-то новенькое 
⠀
База Komilfo X-Base - от 125грн ⠀
Гель-лак Komilfo D239 - 125грн ⠀
⠀
 Приобрести можно у нас в интернет-магазине или в магазине при студии (инфо в шапке профиля)⠀
⠀
✅ Бесплатная доставка от 300грн⠀
✅ Скидка от 500грн (до 10%)⠀
✅ Широкий ассортимент в наличии!⠀
⠀
 Доставка | Delivery:⠀
▫️Новая Почта⠀
▫️Укрпошта⠀
▫️Самовывоз⠀
▫️International air delivery ✈️⠀
⠀
 Оплата | Payment:⠀
▫️Наличными / терминал⠀
▫️Наложенным платежом⠀
▫️На карту ПриватБанк или monobank⠀
▫️International debit and credit cards ⠀
(VISA, MasterCard), PayPal, Swift and WU @ Kharkov, Ukraine</t>
  </si>
  <si>
    <t>23:51</t>
  </si>
  <si>
    <t>В последнее время, эта пластина стемпинга очень популярна у наших мастеров, в принципе, как и материалы Komilfo  Хотя, Komilfo D239 у нас еще в ленте не было)) ⠀
Все равно у нас всегда что-то новенькое 
⠀
База Komilfo X-Base - от 125грн ⠀
Гель-лак Komilfo D239 - 125грн ⠀
⠀
 Приобрести можно у нас в интернет-магазине или в магазине при студии (инфо в шапке профиля)⠀
⠀
✅ Бесплатная доставка от 300грн⠀
✅ Скидка от 500грн (до 10%)⠀
✅ Широкий ассортимент в наличии!⠀
⠀
 Доставка | Delivery:⠀
▫️Новая Почта⠀
▫️Укрпошта⠀
▫️Самовывоз⠀
▫️International air delivery ✈️⠀
⠀
 Оплата | Payment:⠀
▫️Наличными / терминал⠀
▫️Наложенным платежом⠀
▫️На карту ПриватБанк или monobank⠀
▫️International debit and credit cards ⠀
(VISA, MasterCard), PayPal, Swift and WU</t>
  </si>
  <si>
    <t>Армейский немецкий спальный мешок -15, -35
5375414102530713 скиньте гривну)
50 грн. Зароботок за 5 мин. https://monobank.com.ua/r/5dHz   . Надежный роботает по лицензии юниверсалбанка, удобный, можно использовать как проездной на метро, не нужен пинкод. Не упустите деньги за регестрацию! Регестрироваться чтоб получить 50 грн нужно только по моей реферальной ссылки, тогда мы оба получим по 50 грн.https://monobank.com.ua/r/5dHz</t>
  </si>
  <si>
    <t>Oleksii Kozachok</t>
  </si>
  <si>
    <t>запрошує вас у monobank! Оформіть картку, перейшовши за персональним посиланням, і ви обидва отримаєте по 50 грн на рахунок кешбека!
https://monobank.com.ua/r/vMdP</t>
  </si>
  <si>
    <t>Олександр Гордєєв</t>
  </si>
  <si>
    <t>https://forum.finance.ua/viewtopic.php?p=4337106#p4337106    wig написав:
 https://forum.finance.ua/viewtopic.php?p=4337101#p4337101    IMPRINTER написав:а все остальное кто узнает ?
А если картой?
Пока у них руки связаны.
Но лучше не рисковать.</t>
  </si>
  <si>
    <t>Самый лучший банк Украины - Monobank. Лучшие условия кредитования.
Кредитный лимит до 100 000 гривен !
Вы сами выбираете какой суммой пользоваться. Можно сегодня взять 1000 гривен, завтра 2000, просто берете и снимаете, не нужно никуда звонить, ходить, ждать одобрения, просто берете и пользуетесь, бесплатно до 62 дней! Проценты начну начисляться только на ту сумму которую брали.
Монобанк - онлайн банк, не нужно стоять в очереди, ждать. Скачайте приложение на свой смартфон и все, банк у вас под рукой!
Никаких стрытых платежей, комиссий и мошенничества. В отличии от непонятных кредитных киосков, мы — официальный банк, имеющий лицензию НБУ ( Лицензия НБУ №92 от 10.10.2011 ), а также являемся членом Фонда Гарантирования Вкладов.
Если вы часто пользуетесь картой, можно оформить кэшбэк 20 %
на любые покупки, на какие - Вы сами выбираете!
Нам не нужны справки о доходах, мы доверяем своим клиентам. Все что потребуется для открытия кредитной карты — это всего лишь паспорт, код и смартфон. Устанавливайте наше приложение на смартфон, отправьте нам фотографию паспорта и кода, и приходите в ближайшую точку выдачи за картой.
Ссылка для получения карты сразу с кредитным лимитом
https://goo.gl/LnCtmr
(в подарок стикеры)
Ссылка для получения карты сразу с 50 гривнами на счету
https://goo.gl/WvHiJF
Необходимые условия для оформления карты:
-Паспорт гражданина Украины
-Наличие идентификационного кода
-Смартфон с камерой
monobank – банк без відділень
Ми не несемо витрати на відділення, і тому можемо дати вам найвигідніші умови!</t>
  </si>
  <si>
    <t>Частная группа</t>
  </si>
  <si>
    <t>https://forum.finance.ua/viewtopic.php?p=4337106#p4337106    wig написав:
 https://forum.finance.ua/viewtopic.php?p=4337101#p4337101    IMPRINTER написав:а все остальное кто узнает ?
А если картой?
это банковская тайна</t>
  </si>
  <si>
    <t>23:20</t>
  </si>
  <si>
    <t>Irina  Barabash</t>
  </si>
  <si>
    <t>monobank World black выдача и обслуживание 0 грн.</t>
  </si>
  <si>
    <t>Jarosław Opel</t>
  </si>
  <si>
    <t>23:08</t>
  </si>
  <si>
    <t>Друзі, ви згодні, що сьогодні футбол — найпопулярніший вид спорту? А потрапити на фінал турніру європейського рівня</t>
  </si>
  <si>
    <t>Друзі, ви згодні, що сьогодні футбол — найпопулярніший вид спорту? А потрапити на фінал турніру європейського рівня часом досить складно. Особливо, якщо це фінал Champions League 2018 ⚽
Придбати квитки у вільному продажу дуже складно. А якщо ви не стали переможцем лотереї від UEFA, завдання взагалі ускладнюється.
На щастя, власники карток monobank є винятком з цих правил 
4 простих кроки — і ви учасник розіграшу квитків на фінал Champions League 2018 у Києві:
✔ оформлюйте картку monobank;
✔ реєструйтеся у програмі "Більше" від Mastercard https://bilshe.mastercard.ua ;
✔ клікайте "взяти участь" в акції;
✔ розраховуйтесь карткою в період дії акції до 10 травня 2018 року (торгівельно-сервісні мережі, Інтернет, громадський транспорт).
10 пар квитків очікують на своїх щасливих володарів 
Чим більше трат, тим більше шансів! Подробиці акції:
https://clck.ru/D6Qhp</t>
  </si>
  <si>
    <t>Yaroslav Kirov</t>
  </si>
  <si>
    <t>https://forum.finance.ua/viewtopic.php?p=4337101#p4337101    IMPRINTER написав:
а все остальное кто узнает ?
А если картой?</t>
  </si>
  <si>
    <t>https://forum.finance.ua/viewtopic.php?p=4337100#p4337100    mihasik написав:
 https://forum.finance.ua/viewtopic.php?p=4337096#p4337096    Мизантрóп написав: https://forum.finance.ua/viewtopic.php?p=4337092#p4337092    Vorlon написав:В чём прикол не выводить месяцами?  
в размере об.платежа субсидиантов в неотоп и отоп сезон.В отоп размер ОП гораздо меньше.
Сорри за оффтоп, а нужно в отдел субсидий обращаться,что доп.доход в одном месяце появился или они сами молча пересчитают и претензий не будет?
Просто они пишут,что любые изменения нужно им сообщать,чтоб не лишили.
не нужно.
сообщать им типа нужно о покупке товара ценой свіше 50 к ... н овы сами понимаете кто про такое скажет - это если этот товар надо брать на учет - квартира, машина ... а все остальное кто узнает ? )</t>
  </si>
  <si>
    <t>https://forum.finance.ua/viewtopic.php?p=4337096#p4337096    Мизантрóп написав:
 https://forum.finance.ua/viewtopic.php?p=4337092#p4337092    Vorlon написав:В чём прикол не выводить месяцами?  
в размере об.платежа субсидиантов в неотоп и отоп сезон.В отоп размер ОП гораздо меньше.
Сорри за оффтоп, а нужно в отдел субсидий обращаться,что доп.доход в одном месяце появился или они сами молча пересчитают и претензий не будет?
Просто они пишут,что любые изменения нужно им сообщать,чтоб не лишили.</t>
  </si>
  <si>
    <t>https://forum.finance.ua/viewtopic.php?p=4337092#p4337092    Vorlon написав:
В чём прикол не выводить месяцами?  
в размере об.платежа субсидиантов в неотоп и отоп сезон.В отоп размер ОП гораздо меньше.</t>
  </si>
  <si>
    <t>​​ http://telegra.ph/file/97ae11d68b6d45e086823.jpg Подписчикам из Украины
Друзья, наверняка каждый из вас знает, кто такой Дмитрий Дубилет. Кто не знает, это бывший ИТ-директор Приватбанка. Именно он вёл проект Приват24 - самый удобный мобильный и интернет-банкинг в Украине.
Сейчас Дмитрий с коллегами занимается своим проектом - Monobank https://goo.gl/GNGN7a .
Это карточный продукт на базе Универсалбанка. Ничего особенного, но на текущий момент это действительно лучшая карта в Украине с самым удобным мобильным приложением. Приват24 просто отдыхает.
Честно говоря, с октября я только Монобанком пользуюсь. Какие плюсы увидел для себя:
- Очень удобное приложение с точки зрения юзабилити.
- Любые платежи без комиссии: от пополнения мобильного телефона до оплаты коммуналки. Пересылка на любую карту любого банка - тоже бесплатно.
- Снятие налички в любом банкомате 0,5%.
- Депозиты прямо в приложении с высоким процентом.
- Кэшбэк по массе категорий. Например, сейчас у меня возвращается 2% от покупок продуктов и посиделок в кафе.
- Техподдержка прямо в нашем любимом Телеграме!
Возможно отдельно стоило бы расписать преимущества кредитного лимита (они выгоднее того же Привата), но не буду. Я при первом запуске приложения выставил себе лимит 0 и пользуюсь картой исключительно как дебетовой, хотя они даже запустили повышенный кэшбэк за кредитные средства и оплату по частям. Заманивают, сволочи :)
И всем рекомендую так делать. Просто пользоваться картой как дебетовой.
Чего пишу? Увидел, что они запустили акцию "Приведи друга". Если ставите приложение по этой пригласительной ссылке https://goo.gl/GNGN7a  и активируете карту, мы с вами получим на счёт 50 грн. Точно так же потом делитесь уже своей ссылкой в социальных сетях с друзьями, и получайте деньги.
Мелочь, а приятно.
Ну вот, рассказал по-честному, зачем этот пост. А идти по ссылке или нет, личное дело каждого. Лично моё мнение - через год-другой этот карточный продукт вытеснит карты приватбанк на украинском рынке.
http://telegra.ph/file/97ae11d68b6d45e086823.jpg
Поставить приложение https://goo.gl/GNGN7a</t>
  </si>
  <si>
    <t>Научный</t>
  </si>
  <si>
    <t>В чём прикол не выводить месяцами?</t>
  </si>
  <si>
    <t>Я приглашаю вас в monobank! Оформите карту, перейдя по персональной ссылке, и мы оба получем  по 50 грн на счет кешбэка!
https://monobank.com.ua/r/zYGY</t>
  </si>
  <si>
    <t>Игорь Снитка</t>
  </si>
  <si>
    <t>Ваш первый степ к Я —команда monobank Друзья, спешу сообщить о старте новой группы в monobank на позицию: Эксперт КЦ</t>
  </si>
  <si>
    <t>Ваш первый степ к Я —команда monobank
Друзья, спешу сообщить о старте новой группы в monobank на позицию:
Эксперт КЦ (клиентская поддержка) г. Днепр
До 16.04.18 ведется набор
Обязанности: консультация Клиентов в разных каналах (мессенджеры, телефон)
Графики:
11:00- 23:00 - 2/2
10:00- 22:00 - 2/2
13:00- 01:00 - 2/2 из дома некоторые смены
13:00 - 22:00 - 5/2
14:00- 23:00 - 5/2
Целевой доход: 11 000 грн. (лучшие получают 13 000 грн.)
Локация: Сичеславская Набережная (Днепр)
Ждём ваши резюме:
isy.yakusheva@gmail.com
+38099212 68 89 Ирина Якушева</t>
  </si>
  <si>
    <t>Павел Павлов</t>
  </si>
  <si>
    <t>https://forum.finance.ua/viewtopic.php?p=4337068#p4337068    mihasik написав:
Т.е. я набрал 500 грн, не вывел, в в следующем месяце опять 500 грн.и уже могу 1000 вывести? Ну,нормально)
да хоть год не выводите по 500 грн., а потом 6 000 выводите - лимита на вывод НЕТ.</t>
  </si>
  <si>
    <t>https://forum.finance.ua/viewtopic.php?p=4337039#p4337039    IMPRINTER написав:
не верно ... !!
выводить можно хоть миллион !!!
заработать можно не более 500.
Нет ограничений на вывод, есть ограничение на возможно сть заработать ..
точно! я ж лето жду для вывода)
 https://forum.finance.ua/viewtopic.php?p=4337068#p4337068    mihasik написав:
Т.е. я набрал 500 грн, не вывел, в в следующем месяце опять 500 грн.и уже могу 1000 вывести?
с 1000 еще налоХи 19,5%</t>
  </si>
  <si>
    <t>Наталья Железняк</t>
  </si>
  <si>
    <t>https://forum.finance.ua/viewtopic.php?p=4337039#p4337039    IMPRINTER написав:
 https://forum.finance.ua/viewtopic.php?p=4337016#p4337016    Кащей написав:выводить дает 500 в месяц(402,50 чистоганом)
 то есть, в течение одного месяца больше 500 (402,50 чистоганом) перевести с кэшбечного на основной счет нельзя?
не верно ... !!
выводить можно хоть миллион !!!
заработать можно не более 500.
Нет ограничений на вывод, есть ограничение на возможно сть заработать .. после того как вы заработали 500 грн. последующий кеш-бек не начисляется больше. Но вывести вы можете неограниченную сумму. Т.е. ограничение тока на вывод по нижней планке - 100 грн.,, по верхней планке нет ограничений.
Т.е. я набрал 500 грн, не вывел, в в следующем месяце опять 500 грн.и уже могу 1000 вывести? Ну,нормально)</t>
  </si>
  <si>
    <t>Достаточно було сказати, так як ви бухгалтера вмієте - а тепер аудіт. І всі би обасралісь, гг</t>
  </si>
  <si>
    <t>Андрій Пристай</t>
  </si>
  <si>
    <t>Нащо людей лякаєш? Псіх на районі.</t>
  </si>
  <si>
    <t>Світлана Попович</t>
  </si>
  <si>
    <t>Мне нужно приложение монобанка</t>
  </si>
  <si>
    <t>Denys</t>
  </si>
  <si>
    <t>Windows Insider</t>
  </si>
  <si>
    <t>Елена Кучерук</t>
  </si>
  <si>
    <t>Вчера перый раз затестил. Кешбек пришел сразу.
Так как я немного отсталый в нововведениях которые происходили в Украине последние 1,5 года, в связи с путешествиями) я только недавно узнал о монобанке.
Ну что я первое оценил, так это  вообще сама подача бизнеса, оформления, коммуникация с клиентами. Ну и вчера затестил карту на покупки в супермаркете и ресторане, кешбек пришел сразу.
Так как я давно уже знаком с разными системами кешбеков, они в основном или зачислялись через долгое время или вообще не зачислялись, а тут все моментально.
После Китая, где мобильный банкинг развит очень сильно, где старые бабушки на лавочке продают еду не с самым приятным запахом, и ее почему то покупают) через вичат (мобильное приложение по оплате с кюаркода + мессенджер) то монобанк это как первый шаг навстречу этой финансовой эволюции.
Короче я заценил! Кто такой же как и я, отсталый в финансовых нововведениях в нашей стране, велкам, переходите по ссылке, там странный кот вам все подскажет))
https://monobank.com.ua/r/yXL1
monobank – банк без відділень</t>
  </si>
  <si>
    <t>Михаил Смаглюк</t>
  </si>
  <si>
    <t>https://forum.finance.ua/viewtopic.php?p=4337049#p4337049    IMPRINTER написав:
вам Миша насрал в бюро ?
Я с Михой распрощался задолго до банкрутства, а кредитов там вообще не брал.
Может что криворукие сотрудники или робот Моня неправильно сосканировали паспортные данные? Исправлял на стойке через "Заяву". В самом мобильном приложении дает сверить только ИНН.</t>
  </si>
  <si>
    <t>https://forum.finance.ua/viewtopic.php?p=4337047#p4337047    wig написав:
 https://forum.finance.ua/viewtopic.php?p=4337045#p4337045    IMPRINTER написав:ну вот так ...
Добавят? Или юзай как дебетку только для транзита?
вам Миша насрал в бюро ?</t>
  </si>
  <si>
    <t>https://forum.finance.ua/viewtopic.php?p=4337045#p4337045    IMPRINTER написав:
ну вот так ...
Добавят? Или юзай как дебетку только для транзита?</t>
  </si>
  <si>
    <t>https://forum.finance.ua/viewtopic.php?p=4337044#p4337044    wig написав:
А что здесь за приколы с лимитом?
Как заманивают, пишут стопяцсот лимонов. А как получил карту - ноль грн. Даже у Привата бомжлимит 300 грн был.
ну вот так ...</t>
  </si>
  <si>
    <t>Вчера перый раз затестил. Кешбек пришел сразу. Так как я немного отсталый в нововведениях которые происходили в Украине</t>
  </si>
  <si>
    <t>Вчера перый раз затестил. Кешбек пришел сразу.
Так как я немного отсталый в нововведениях которые происходили в Украине последние 1,5 года, в связи с путешествиями) я только недавно узнал о монобанке.
Ну что я первое оценил, так это  вообще сама подача бизнеса, оформления, коммуникация с клиентами. Ну и вчера затестил карту на покупки в супермаркете и ресторане, кешбек пришел сразу.
Так как я давно уже знаком с разными системами кешбеков, они в основном или зачислялись через долгое время или вообще не зачислялись, а тут все моментально.
После Китая, где мобильный банкинг развит очень сильно, где старые бабушки на лавочке продают еду не с самым приятным запахом, и ее почему то покупают) через вичат (мобильное приложение по оплате с кюаркода + мессенджер) то монобанк это как первый шаг навстречу этой финансовой эволюции.
Короче я заценил! Кто такой же как и я, отсталый в финансовых нововведениях в нашей стране, велкам, переходите по ссылке, там странный кот вам все подскажет))
f6mq8.app.goo.gl
https://monobank.com.ua/r/yXL1</t>
  </si>
  <si>
    <t>А что здесь за приколы с лимитом?
Как заманивают, пишут стопяцсот лимонов. А как получил карту - ноль грн. Даже у Привата бомжлимит 300 грн был.</t>
  </si>
  <si>
    <t>https://forum.finance.ua/viewtopic.php?p=4337016#p4337016    Кащей написав:
выводить дает 500 в месяц(402,50 чистоганом)
 то есть, в течение одного месяца больше 500 (402,50 чистоганом) перевести с кэшбечного на основной счет нельзя?
не верно ... !!
выводить можно хоть миллион !!!
заработать можно не более 500.
Нет ограничений на вывод, есть ограничение на возможно сть заработать .. после того как вы заработали 500 грн. последующий кеш-бек не начисляется больше. Но вывести вы можете неограниченную сумму. Т.е. ограничение тока на вывод по нижней планке - 100 грн.,, по верхней планке нет ограничений.</t>
  </si>
  <si>
    <t>Мы серьезно :) подошли к организации Панельной Дискуссии 109-й Битвы Стартапов, которая состоится 4. 04 в Киеве,</t>
  </si>
  <si>
    <t>Мы серьезно :) подошли к организации Панельной Дискуссии 109-й Битвы Стартапов, которая состоится 4. 04 в Киеве, в Hub 4.0
https://battle.startup.network/events/368155/
Тема: Банки и FinTech
Мы уверены, что нет никакого противостояния и можно смело - поставить союз “И”.
Тренд на кооперацию. И стали возникать акселераторы и инкубаторы в стране. Есть также формат Битв Стартапов.
Модератор Дискуссии: Anastasiya Shevchenko, General Manager/Partner at Adecco Ukraine, автор книги «Digital Era».
Способ жизни Анастасии - позитивное мышление, постоянное обучение новому и открытость к изменениям. Наш человек! :)
Анастасия поинтересуется, насколько открыты банки к сотрудничеству со стартапами и какой будет наиболее эффективный формат сотрудничества, у спикеров:
Ivan Svitek, Генеральний менеджер Альфа –Груп в Украине.
Константин Кошеленко (Kostiantyn Koshelenko), Заместитель Главы Правления Forward Bank.
Любовь Сергеева, Fintech Market Development Lead Project management office for financial sector reform supported by EBRD.
Андрей Малахов, Зам директора департамента казначейства ПАО Укрзализныця.
Alexander Kryshtal, Head of Digital Hub, Raiffeisen Bank Aval.
Юрий Кучер, Заместитель директора платежной системы MOSST.
Алексей Мась, Lead of Innovation Lab Kyivstar.
Alexander Soroka, CEO&amp;Founder at Startup.Network.
Вопросы дискуссии:
1) Поговорим о рисках партнерства. Здесь могут случаться разные сценарии: в части клиентской базы, в части неудовлетворенности результатами, в части выхода одной стороны из проекта, в части утери интереса в развитии проекта у одной из сторон после инвестиций и до окупаемости.
2) Сейчас в стране восстанавливается кредитование. Наблюдается бум платформ микрокредитования (деньги до зарплаты). Начали более активно идти в кредитование банки. Появился Monobank. Есть вот даже банк, основным бизнесом которого также является кредитование. Без сопутствующих обычно банку корпоративных продуктов и услуг для МСБ. Люди активно и охотно берут деньги под 400+% годовых. Но при этом нет достойного большого игрока в сфере P2P кредитования. По вашим прогнозам, как в итоге поделится рынок между банковским кредитованием и микро кредиторами? Почему банки не идут в микрозаймы? И почему нет успешных примеров P2P платформ?
3) На европейском и американском рынках есть множество примеров диджитал банков или онлайн банков. Но судьба у них не однозначная. Без сильной платформы в виде традиционного банка или другого сильного партнера с мощной клиентской базой, они не выживают. Вот и Альфа-Банк говорил о создании диджитал банка в Украине. Появится ли в Украине диджитал банк? Какой формат и для какой аудитории он будет работать? Что вообще такое диджитал банк?
4) Топ-3 направления финтех-компаний в Украине - это Платежи и переводы (31,6%), Технологии и инфраструктура (19,3%) и Кредитование (14%). При этом в мире основные инвестиции (31%) утекли в Кредитование. Почему для нашего рынка платежи и переводы превалируют?
5) В Украине все ещё огромная доля наличных платежей - более 60% огромная работа проводится НБУ, МПС и банками по переводу платежей в безнал. Если взять к примеру Укрзализныцю - то в ее инфраструктуре наличные деньги однозначно во главе угла. Есть какие-то планы по переводу оплат за сервисы в диджитал?
Вход для гостей без оплаты, по предварительной регистрации в качестве гостя на лендинге https://battle.startup.network/events/368155/
До скорой встречи!</t>
  </si>
  <si>
    <t>Malakhov Andrii</t>
  </si>
  <si>
    <t>Олександр запрошує вас у monobank! Оформіть картку, перейшовши за персональним посиланням, і ви обидва отримаєте по 50 грн на рахунок кешбека!
https://monobank.com.ua/r/V4ut
monobank – банк без відділень</t>
  </si>
  <si>
    <t>Sasha Zhuchenia</t>
  </si>
  <si>
    <t>Привіт... привіт Шановні, не стандартне питання. Напишіть в коментарях, в кого яка марка газової плити вдома, вдячна.</t>
  </si>
  <si>
    <t>Шукаю тебе | Луцьк</t>
  </si>
  <si>
    <t>https://forum.finance.ua/viewtopic.php?p=4337023#p4337023    wig написав:
 https://forum.finance.ua/viewtopic.php?p=4337022#p4337022    casper12 написав:wig написав:А на минималку порог есть? Руб даст вывести?
  min 100
Тоесть гриша пропала? 
Три года не будет пропадать...</t>
  </si>
  <si>
    <t>jay2004</t>
  </si>
  <si>
    <t>https://forum.finance.ua/viewtopic.php?p=4337022#p4337022    casper12 написав:
wig написав:А на минималку порог есть? Руб даст вывести?
  min 100
Тоесть гриша пропала? Или, когда придет рефский полтинник, плюс от Гороха, то выведу?</t>
  </si>
  <si>
    <t>wig написав:
А на минималку порог есть? Руб даст вывести?
  min 100</t>
  </si>
  <si>
    <t>3.14 до часа Ч</t>
  </si>
  <si>
    <t>https://forum.finance.ua/viewtopic.php?p=4337018#p4337018    wig написав:
А на минималку порог есть? Руб даст вывести?
100 UAH</t>
  </si>
  <si>
    <t>20:41</t>
  </si>
  <si>
    <t>Сергей Букварь</t>
  </si>
  <si>
    <t>А на минималку порог есть? Руб даст вывести?</t>
  </si>
  <si>
    <t>выводить дает 500 в месяц(402,50 чистоганом)
 то есть, в течение одного месяца больше 500 (402,50 чистоганом) перевести с кэшбечного на основной счет нельзя?</t>
  </si>
  <si>
    <t>Вже понад чотири місяці користуюсь послугами єдиного в Україні мобільного банку без відділень Монобанк. Зручний додаток,</t>
  </si>
  <si>
    <t>Вже понад чотири місяці користуюсь послугами єдиного в Україні мобільного банку без відділень Монобанк. Зручний додаток, який дає повний доступ до рахунку і безлічі операцій. Зручні оплати, перекази, значний кредитний ліміт. Вигідні тарифи: поповнення свого рахунку, мобільного, переказ - комісія 0 грн. Щомісяця є Кешбек на покупки. Нарахування відсотків на залишок особистих коштів. Одним словом - рекомендую. P.S. Якщо зареєструєтесь за посиланням з цього допису, отримаєте Кешбек на рахунок 50 грн.
f6mq8.app.goo.gl
https://monobank.com.ua/r/wxPk</t>
  </si>
  <si>
    <t>Oleh Kokhan</t>
  </si>
  <si>
    <t>«Инновации – это способность видеть в переменах возможности, а не угрозу», Стив Джобс  Мы серьезно :) подошли к</t>
  </si>
  <si>
    <t>«Инновации – это способность видеть в переменах возможности, а не угрозу», Стив Джобс
 Мы серьезно :) подошли к организации Панельной Дискуссии 109-й Битвы Стартапов, которая состоится 4. 04 в Киеве, в Hub 4.0
https://battle.startup.network/events/368155/
Тема: Банки и FinTech
Мы уверены, что нет никакого противостояния и можно смело - поставить союз “И”.
Тренд на кооперацию. И стали возникать акселераторы и инкубаторы в стране. Есть также формат Битв Стартапов.
Модератор Дискуссии: Anastasiya Shevchenko, General Manager/Partner at Adecco Ukraine, автор книги «Digital Era».
Способ жизни Анастасии - позитивное мышление, постоянное обучение новому и открытость к изменениям. Наш человек! :)
Анастасия поинтересуется, насколько открыты банки к сотрудничеству со стартапами и какой будет наиболее эффективный формат сотрудничества, у спикеров:
Ivan Svitek, Генеральний менеджер Альфа –Груп в Украине.
Константин Кошеленко (Kostiantyn Koshelenko), Заместитель Главы Правления Forward Bank.
Любовь Сергеева, Fintech Market Development Lead Project management office for financial sector reform supported by EBRD.
Андрей Малахов, Зам директора департамента казначейства ПАО Укрзализныця.
Alexander Kryshtal, Head of Digital Hub, Raiffeisen Bank Aval.
Юрий Кучер, Заместитель директора платежной системы MOSST.
Алексей Мась, Lead of Innovation Lab Kyivstar.
Alexander Soroka, CEO&amp;Founder at Startup.Network.
Вопросы дискуссии:
1) Поговорим о рисках партнерства. Здесь могут случаться разные сценарии: в части клиентской базы, в части неудовлетворенности результатами, в части выхода одной стороны из проекта, в части утери интереса в развитии проекта у одной из сторон после инвестиций и до окупаемости.
2) Сейчас в стране восстанавливается кредитование. Наблюдается бум платформ микрокредитования (деньги до зарплаты). Начали более активно идти в кредитование банки. Появился Monobank. Есть вот даже банк, основным бизнесом которого также является кредитование. Без сопутствующих обычно банку корпоративных продуктов и услуг для МСБ. Люди активно и охотно берут деньги под 400+% годовых. Но при этом нет достойного большого игрока в сфере P2P кредитования. По вашим прогнозам, как в итоге поделится рынок между банковским кредитованием и микро кредиторами? Почему банки не идут в микрозаймы? И почему нет успешных примеров P2P платформ?
3) На европейском и американском рынках есть множество примеров диджитал банков или онлайн банков. Но судьба у них не однозначная. Без сильной платформы в виде традиционного банка или другого сильного партнера с мощной клиентской базой, они не выживают. Вот и Альфа-Банк говорил о создании диджитал банка в Украине. Появится ли в Украине диджитал банк? Какой формат и для какой аудитории он будет работать? Что вообще такое диджитал банк?
4) Топ-3 направления финтех-компаний в Украине - это Платежи и переводы (31,6%), Технологии и инфраструктура (19,3%) и Кредитование (14%). При этом в мире основные инвестиции (31%) утекли в Кредитование. Почему для нашего рынка платежи и переводы превалируют?
5) В Украине все ещё огромная доля наличных платежей - более 60% огромная работа проводится НБУ, МПС и банками по переводу платежей в безнал. Если взять к примеру Укрзализныцю - то в ее инфраструктуре наличные деньги однозначно во главе угла. Есть какие-то планы по переводу оплат за сервисы в диджитал?
Вход для гостей без оплаты, по предварительной регистрации в качестве гостя на лендинге https://battle.startup.network/events/368155/
До скорой встречи!</t>
  </si>
  <si>
    <t>Юлия Александровна Смелая</t>
  </si>
  <si>
    <t>20:20</t>
  </si>
  <si>
    <t>Котики правят финансовым миром :) После того, как Дмитрий Дубилет и Ко создали Монобанк, лицом которого стал кот</t>
  </si>
  <si>
    <t>Ага...так у всех банков ...в итоге!))</t>
  </si>
  <si>
    <t>Марина Пономарева</t>
  </si>
  <si>
    <t>Tatyana Gerasymova</t>
  </si>
  <si>
    <t>Приглашаю вас в monobank! Оформите карту по ссылке, и получите 50 грн на счет кешбэка!
https://monobank.com.ua/r/gBa3
monobank – банк без відділень</t>
  </si>
  <si>
    <t>Точно: кот Монобанка так и заявляет</t>
  </si>
  <si>
    <t>Наталия Меша</t>
  </si>
  <si>
    <t>Welliya  Welliya</t>
  </si>
  <si>
    <t>Таки да:)))</t>
  </si>
  <si>
    <t>Наталия Павлова</t>
  </si>
  <si>
    <t>https://forum.finance.ua/viewtopic.php?p=4336997#p4336997    mihasik написав:
Если у меня в этом мес.400грн КБ, мне обязательно его перечислять, чтоб в следующем месяце опять собирать? Или его можно накапливать? Т.е. в следующем 400остается + новые 500 можно?
можно копить.выводить дает 500 в месяц(402,50 чистоганом)</t>
  </si>
  <si>
    <t>19:31</t>
  </si>
  <si>
    <t>Да, про метро правильно уже написали.</t>
  </si>
  <si>
    <t>Oleg Zhukov</t>
  </si>
  <si>
    <t>Если у меня в этом мес.400грн КБ, мне обязательно его перечислять, чтоб в следующем месяце опять собирать? Или его можно накапливать? Т.е. в следующем 400остается + новые 500 можно?</t>
  </si>
  <si>
    <t>Обслуговування в українських банках (гарне і погане) - Айбокс Банк (Аграрний комерційний банк)</t>
  </si>
  <si>
    <t>https://forum.finance.ua/viewtopic.php?p=4336973#p4336973    ygn написав:
А кто-то уже пробовал кредитку банка https://www.ibox.ua/ ? Она и Приложение аналогичный продукт Монобанка напоминает.
 https://hostingkartinok.com/show-image.php?id=5bea5537a47f3f9a889701c467164055</t>
  </si>
  <si>
    <t>Спасибо @monobank.com.ua за удобство и сервис! Переходим на тёмную сторону :) @candy_nails_kiev_pedicure #monobank</t>
  </si>
  <si>
    <t>Спасибо за то, что присоединились к нам ;) рады вас приветствовать на тёмной стороне</t>
  </si>
  <si>
    <t>Dmitry Kofanov</t>
  </si>
  <si>
    <t>Когда пополняешь в айбоксе спрашивает мобильный, но никаких кодов (проверок) не приходит. Не понял зачем...</t>
  </si>
  <si>
    <t>Николай Иванович Дробот</t>
  </si>
  <si>
    <t>19:14</t>
  </si>
  <si>
    <t>За черный пластик в кошельке яростно плюсую. Насчёт метро Дмитрий правильно написал. Когда то Oleg Zhukov подробно описывал...</t>
  </si>
  <si>
    <t>Святая простота...</t>
  </si>
  <si>
    <t>Vadim Unguryan</t>
  </si>
  <si>
    <t>18:53</t>
  </si>
  <si>
    <t>https://forum.finance.ua/viewtopic.php?p=4336975#p4336975    ygn написав:
А в курсе кто-нибудь, что за карта у Айбокс-банка? https://www.ibox.ua/ ? Уж больно она карту Монобанка напоминает.
Несостоявшийся проект финтех бэнда</t>
  </si>
  <si>
    <t>f6mq8.app.goo.gl
https://monobank.com.ua/r/6QEd</t>
  </si>
  <si>
    <t>Александр Трачук</t>
  </si>
  <si>
    <t>Марина приглашает вас в monobank! Оформите карту, перейдя по персональной ссылке, и вы оба получите по 50 грн на счет кешбэка!
https://monobank.com.ua/r/sjRL</t>
  </si>
  <si>
    <t>Павел Кнырик</t>
  </si>
  <si>
    <t>Флудилка Днепр</t>
  </si>
  <si>
    <t>Тетяна приглашает вас в monobank! Оформите карту, перейдя по персональной ссылке, и вы оба получите по 50 грн на счет кешбэка!
https://monobank.com.ua/r/M9TE</t>
  </si>
  <si>
    <t>Tatyana</t>
  </si>
  <si>
    <t>У меня не так много друзей на ФБ и много из них из IT сферы а значит про Монобанк слышали и пользуются. Но вдруг кто не</t>
  </si>
  <si>
    <t>Не ну за котика лойс</t>
  </si>
  <si>
    <t>Alina Aleksandrova</t>
  </si>
  <si>
    <t>Artem  Slepets</t>
  </si>
  <si>
    <t>Хто оформлював карту в Монобанку? Все гуд? Надійний банк?</t>
  </si>
  <si>
    <t>Универсал банк обеспечивает.</t>
  </si>
  <si>
    <t>Олег Витенко</t>
  </si>
  <si>
    <t>Олег Руденко</t>
  </si>
  <si>
    <t>А в курсе кто-нибудь, что за карта у Айбокс-банка? https://www.ibox.ua/ ? Уж больно она карту Монобанка напоминает.</t>
  </si>
  <si>
    <t>ygn</t>
  </si>
  <si>
    <t>18:45</t>
  </si>
  <si>
    <t>А кто-то уже пробовал кредитку банка https://www.ibox.ua/ ? Она и Приложение аналогичный продукт Монобанка напоминает.</t>
  </si>
  <si>
    <t>18:38</t>
  </si>
  <si>
    <t>{PUBG} Nedomyvik/Up To The Sky
На вопрос "Хуле тут так мало?" отвечу просто, такого рода дичь очень трудно делать. Мы только демки 2 месяца писали, еще и найти моменты нужно было, что бы это все не лагло как сука. А кто в PUPG катает они знают о чем я. Так же я 2 недели искал музыку и рождал идеи для материала. Но для тебя это звук... 
Так что пока ты не забыл что это видео вообще существовало, просто лайк влепи и подписаться не забудь) 
Люблю тебя солнышко!) 
-------------------------------------------------------------------------------------------------------
Music: 
Yellow Claw - City On Lockdown (feat. Juicy J &amp; Lil Debbie)
Малой перепел Элджея (КАВЕР)
XXXTENTACION - Save Me (LXRY Remix)
Yultron &amp; Jay Park &amp; Bone Thugs - Thuggin 4 My Baby
-------------------------------------------------------------------------------------------------------
TpAnDy: https://www.twitch.tv/lietuviskasand1
AskFM: https://ask.fm/Morj_fm
Мой INSTAGRAM: https://instagram.com/morjishe/
Мыло для рекламы и предложений: morjara.m@yandex.ua
------------------------------------------------------------------------------------------------
Поддержи канал monetoy
Monobank:5375 4141 0088 6943
WebMoney:R244600250868 Z203359535756 U396128114837
ЯД:410012669870427</t>
  </si>
  <si>
    <t>МОРЖ</t>
  </si>
  <si>
    <t>Посмотрим на что способен #monobank.</t>
  </si>
  <si>
    <t>#instagood.</t>
  </si>
  <si>
    <t>Roman Ldov</t>
  </si>
  <si>
    <t>Александр Погасий</t>
  </si>
  <si>
    <t>Сергій приглашает вас в monobank! Оформите карту, перейдя по персональной ссылке, и вы оба получите по 50 грн на счет кешбэка!
https://monobank.com.ua/r/M8Fg</t>
  </si>
  <si>
    <t>SkayTrans</t>
  </si>
  <si>
    <t>Крутейшая компания спикеров и очень актуальные темы для обсуждения по Финтеху, платежам, инновациям в банках! И,</t>
  </si>
  <si>
    <t>Крутейшая компания спикеров и очень актуальные темы для обсуждения по Финтеху, платежам, инновациям в банках! И, наверняка, перспективные стартапы!
Приходите 4.04 в HUB 4.0!
 Мы серьезно :) подошли к организации Панельной Дискуссии
109 Битвы Стартапов,
которая состоится 4. 04 в Киеве, в Hub 4.0
https://battle.startup.network/events/368155/
Тема: Банки и FinTech
Мы уверены, что нет никакого противостояния и можно смело - поставить союз “И”.
Тренд на кооперацию. И стали возникать акселераторы и инкубаторы в стране. Есть также формат Битв Стартапов.
Модератор Дискуссии: Anastasiya Shevchenko, General Manager/Partner at Adecco Ukraine, автор книги «Digital Era».
Способ жизни Анастасии - позитивное мышление, постоянное обучение новому и открытость к изменениям. Наш человек! :)
Анастасия поинтересуется, насколько открыты банки к сотрудничеству со стартапами и какой будет наиболее эффективный формат сотрудничества, у спикеров:
Ivan Svitek, Генеральний менеджер Альфа –Груп в Украине.
Константин Кошеленко (Kostiantyn Koshelenko), Заместитель Главы Правления Forward Bank.
Любовь Сергеева, Fintech Market Development Lead Project management office for financial sector reform supported by EBRD.
Андрей Малахов, Зам директора департамента казначейства ПАО Укрзализныця.
Alexander Kryshtal, Head of Digital Hub, Raiffeisen Bank Aval.
Юрий Кучер, Заместитель директора платежной системы MOSST.
Алексей Мась, Lead of Innovation Lab Kyivstar.
Alexander Soroka, CEO&amp;Founder at Startup.Network.
Вопросы дискуссии:
1) Поговорим о рисках партнерства. Здесь могут случаться разные сценарии: в части клиентской базы, в части неудовлетворенности результатами, в части выхода одной стороны из проекта, в части утери интереса в развитии проекта у одной из сторон после инвестиций и до окупаемости.
2) Сейчас в стране восстанавливается кредитование. Наблюдается бум платформ микрокредитования (деньги до зарплаты). Начали более активно идти в кредитование банки. Появился Monobank. Есть вот даже банк, основным бизнесом которого также является кредитование. Без сопутствующих обычно банку корпоративных продуктов и услуг для МСБ. Люди активно и охотно берут деньги под 400+% годовых. Но при этом нет достойного большого игрока в сфере P2P кредитования. По вашим прогнозам, как в итоге поделится рынок между банковским кредитованием и микро кредиторами? Почему банки не идут в микрозаймы? И почему нет успешных примеров P2P платформ?
3) На европейском и американском рынках есть множество примеров диджитал банков или онлайн банков. Но судьба у них не однозначная. Без сильной платформы в виде традиционного банка или другого сильного партнера с мощной клиентской базой, они не выживают. Вот и Альфа-Банк говорил о создании диджитал банка в Украине. Появится ли в Украине диджитал банк? Какой формат и для какой аудитории он будет работать? Что вообще такое диджитал банк?
4) Топ-3 направления финтех-компаний в Украине - это Платежи и переводы (31,6%), Технологии и инфраструктура (19,3%) и Кредитование (14%). При этом в мире основные инвестиции (31%) утекли в Кредитование. Почему для нашего рынка платежи и переводы превалируют?
5) В Украине все ещё огромная доля наличных платежей - более 60% огромная работа проводится НБУ, МПС и банками по переводу платежей в безнал. Если взять к примеру Укрзализныцю - то в ее инфраструктуре наличные деньги однозначно во главе угла. Есть какие-то планы по переводу оплат за сервисы в диджитал?
Вход для гостей без оплаты, по предварительной регистрации в качестве гостя на лендинге https://battle.startup.network/events/368155/
До скорой встречи!</t>
  </si>
  <si>
    <t>Юрий Кучер</t>
  </si>
  <si>
    <t>А що таке диджитал? Мабуть ще одна піраміда?</t>
  </si>
  <si>
    <t>Olexandr Shtefan</t>
  </si>
  <si>
    <t>Новый банк диджитал</t>
  </si>
  <si>
    <t>18:00</t>
  </si>
  <si>
    <t>А що таке монобанк?</t>
  </si>
  <si>
    <t>4 апреля на Битве Стартапов будет жарко! Last call для стартапов зарегистрироваться и пройти отбор. Редко можно</t>
  </si>
  <si>
    <t>4 апреля на Битве Стартапов будет жарко! Last call для стартапов зарегистрироваться и пройти отбор. Редко можно встретить такой сильный состав жюри из крупнейших и самых инновационных компаний и банков страны! Не упустите свой шанс найти новых партнеров. Для гостей открыта бесплатная регистрация на ивент!
https://www.facebook.com/events/248383479035506/permalink/261325074408013/
 Мы серьезно :) подошли к организации Панельной Дискуссии
109 Битвы Стартапов,
которая состоится 4. 04 в Киеве, в Hub 4.0
https://battle.startup.network/events/368155/
Тема: Банки и FinTech
Мы уверены, что нет никакого противостояния и можно смело - поставить союз “И”.
Тренд на кооперацию. И стали возникать акселераторы и инкубаторы в стране. Есть также формат Битв Стартапов.
Модератор Дискуссии: Anastasiya Shevchenko, General Manager/Partner at Adecco Ukraine, автор книги «Digital Era».
Способ жизни Анастасии - позитивное мышление, постоянное обучение новому и открытость к изменениям. Наш человек! :)
Анастасия поинтересуется, насколько открыты банки к сотрудничеству со стартапами и какой будет наиболее эффективный формат сотрудничества, у спикеров:
Ivan Svitek, Генеральний менеджер Альфа –Груп в Украине.
Константин Кошеленко (Kostiantyn Koshelenko), Заместитель Главы Правления Forward Bank.
Любовь Сергеева, Fintech Market Development Lead Project management office for financial sector reform supported by EBRD.
Андрей Малахов, Зам директора департамента казначейства ПАО Укрзализныця.
Alexander Kryshtal, Head of Digital Hub, Raiffeisen Bank Aval.
Юрий Кучер, Заместитель директора платежной системы MOSST.
Алексей Мась, Lead of Innovation Lab Kyivstar.
Alexander Soroka, CEO&amp;Founder at Startup.Network.
Вопросы дискуссии:
1) Поговорим о рисках партнерства. Здесь могут случаться разные сценарии: в части клиентской базы, в части неудовлетворенности результатами, в части выхода одной стороны из проекта, в части утери интереса в развитии проекта у одной из сторон после инвестиций и до окупаемости.
2) Сейчас в стране восстанавливается кредитование. Наблюдается бум платформ микрокредитования (деньги до зарплаты). Начали более активно идти в кредитование банки. Появился Monobank. Есть вот даже банк, основным бизнесом которого также является кредитование. Без сопутствующих обычно банку корпоративных продуктов и услуг для МСБ. Люди активно и охотно берут деньги под 400+% годовых. Но при этом нет достойного большого игрока в сфере P2P кредитования. По вашим прогнозам, как в итоге поделится рынок между банковским кредитованием и микро кредиторами? Почему банки не идут в микрозаймы? И почему нет успешных примеров P2P платформ?
3) На европейском и американском рынках есть множество примеров диджитал банков или онлайн банков. Но судьба у них не однозначная. Без сильной платформы в виде традиционного банка или другого сильного партнера с мощной клиентской базой, они не выживают. Вот и Альфа-Банк говорил о создании диджитал банка в Украине. Появится ли в Украине диджитал банк? Какой формат и для какой аудитории он будет работать? Что вообще такое диджитал банк?
4) Топ-3 направления финтех-компаний в Украине - это Платежи и переводы (31,6%), Технологии и инфраструктура (19,3%) и Кредитование (14%). При этом в мире основные инвестиции (31%) утекли в Кредитование. Почему для нашего рынка платежи и переводы превалируют?
5) В Украине все ещё огромная доля наличных платежей - более 60% огромная работа проводится НБУ, МПС и банками по переводу платежей в безнал. Если взять к примеру Укрзализныцю - то в ее инфраструктуре наличные деньги однозначно во главе угла. Есть какие-то планы по переводу оплат за сервисы в диджитал?
Вход для гостей без оплаты, по предварительной регистрации в качестве гостя на лендинге https://battle.startup.network/events/368155/
До скорой встречи!</t>
  </si>
  <si>
    <t>Anastasiya Shevchenko</t>
  </si>
  <si>
    <t>♣ Бизнес услуги ♣</t>
  </si>
  <si>
    <t>17:26</t>
  </si>
  <si>
    <t>(Irina89 @ Mar 31 2018, 17:13)  index.php?act=findpost&amp;pid=6217647 
вопще интересная задумка и выглядит красиво, да и впринцепе услуги у них есть очень интересные
в каждой бочке затычка</t>
  </si>
  <si>
    <t>Oleksandr Mokhnatko</t>
  </si>
  <si>
    <t>*Рекламний допис* *Кому варто і не варто користувати карткою #monobank * (якщо вирішите, що варто, то тисніть )</t>
  </si>
  <si>
    <t>*Рекламний допис*
*Кому варто і не варто користувати карткою #monobank * (якщо вирішите, що варто, то тисніть https://monobank.com.ua/r/G8Vw )
Минулого року я отримав картку monobank в першій хвилі, і досі є користувачем бета-версії.
Зараз близько 50% своїх платежів я роблю картою #monobank. Інші платежі я роблю своєю основною картою від Kredobank.
Головна причина такого використання — це швидке і просте отримання картки, простий, зручний і не перевантажений застосунок під Android та повернення грошей за покупки (cashback)
Спілкування з техпідтримкою можливе через fb messenger/telegram/богомєрзкий viber, в рідкісних випадках можна писати напряму в групі підтримки на fb.
Кредитний ліміт встановлюється спочатку мінімальний, потім, якщо немає затримок з оплатою — то підвищується.
На залишок по карті можна включити отримання додаткового проценту.
Також можливо оформлювати депозит, прямо в застосунку (не користувався).
Безкоштовна оплата за комунальні платежі та поповнення телефону.
Можливо підключити картку до Mastercard Bilshe і отримувати бали. Також можна використати картку в Google Pay.
Моя схема користування monobank:
1. Вибираю категорії, якими найбільше користуюся (продукти, наприклад)
2. Всі оплати йдуть в рамках кредитного ліміту (так cashback вдвічі більше)
3. Оплата за платіж — того ж дня, щоб не забути (тобто, кожного дня зранку баланс 0)
4. Платежі, які не дають cashback я проводжу основною картою kredobank
В результаті, можна отримати додатково 200-300 (максимум 500) гривень в місяць з мінімальними витратами часу (по суті — пасивний дохід).
Поповнювати картку можна
1. В застосунку, з карти іншого банку (основний варіант)
2. Банківським переказом
3. Через термінали iBox
4. SWIFT переказом
5. Через термінали ПриватБанку (з комісією, яку поки що компенсує monobank)
Кому можна користуватися картами monobank:
1. Ви можете контролювати свої витрати і не купувати зайвого
2. У вас є карта іншого банку (і це не ПриватБанк, який бере 0.5% за переказ коштів на карту іншого банку)
3. Більшість покупок ви робите за допомогою картки
4. У вас є смартфон і ви любите новинки
Кому не можна користувати картами monobank:
1. Ви любите спонтанні покупки
2. Ви не хочете робити додаткові рухи і переказувати з основної картки на monobank
3. Ви користуєтеся ПриватБанк
4. Вам страшно користуватися "не своїми" коштами
Якщо ви належите до першої групи, можете замовити карту за посиланням https://monobank.com.ua/r/G8Vw — і ви одразу отримаєте 50 грн на cashback рахунок.</t>
  </si>
  <si>
    <t>Andrii Zhuk</t>
  </si>
  <si>
    <t>Шалом шаббат, православные)) Продолжаем клянчинг на глушаки для ПКМ пехоты. Доповідаю: за вчера мы собрали 25 грн. Отже,</t>
  </si>
  <si>
    <t>Шалом шаббат, православные)) Продолжаем клянчинг на глушаки для ПКМ пехоты.
Доповідаю: за вчера мы собрали 25 грн. Отже, дефицит по глушителям для хлопцев из 53ей бригады снизился до 3825 грн.
Предлагаю навалиться оптом и закрыть этот кейс за выходные. Нехай парни нарезают оккупантов тихо и аккуратно:)
Кому шо не жалко для пехоты, пипол.
5363 5423 0708 8857 - карта привата
5375 4141 0050 5386 - карта монобанка.
4790 7010 0214 9655 -  карта ощадбанка
По вопросам денежных переводов из-за рубежа обращаться в личку.
Дякую.</t>
  </si>
  <si>
    <t>До скорой встречи на 109 Битве Стартапов 4.04 в HUB 4.0 Вход для гостей без оплаты, по предварительной регистрации в</t>
  </si>
  <si>
    <t>До скорой встречи на 109 Битве Стартапов
4.04 в HUB 4.0
Вход для гостей без оплаты, по предварительной регистрации в качестве гостя на лендинге https://battle.startup.network/events/368155/
 Мы серьезно :) подошли к организации Панельной Дискуссии
в первом блоке 109 Битвы Стартапов,
которая состоится 4. 04 в Киеве, в Hub 4.0
https://battle.startup.network/events/368155/
Тема: Банки и FinTech
Мы уверены, что нет никакого противостояния и можно смело - поставить союз “И”.
Тренд на кооперацию. И стали возникать акселераторы и инкубаторы в стране. Есть также формат Битв Стартапов.
Модератор Дискуссии: Anastasiya Shevchenko, General Manager/Partner at Adecco Ukraine, автор книги «Digital Era».
Способ жизни Анастасии - позитивное мышление, постоянное обучение новому и открытость к изменениям. Наш человек! :)
Анастасия поинтересуется, насколько открыты банки к сотрудничеству со стартапами и какой будет наиболее эффективный формат сотрудничества, у спикеров:
Ivan Svitek, Генеральний менеджер Альфа –Груп в Украине.
Константин Кошеленко (Kostiantyn Koshelenko), Заместитель Главы Правления Forward Bank.
Любовь Сергеева, Fintech Market Development Lead Project management office for financial sector reform supported by EBRD.
Андрей Малахов, Зам директора департамента казначейства ПАО Укрзализныця.
Alexander Kryshtal, Head of Digital Hub, Raiffeisen Bank Aval.
Юрий Кучер, Заместитель директора платежной системы MOSST.
Алексей Мась, Lead of Innovation Lab Kyivstar.
Alexander Soroka, CEO&amp;Founder at Startup.Network.
Вопросы дискуссии:
1) Поговорим о рисках партнерства. Здесь могут случаться разные сценарии: в части клиентской базы, в части неудовлетворенности результатами, в части выхода одной стороны из проекта, в части утери интереса в развитии проекта у одной из сторон после инвестиций и до окупаемости.
2) Сейчас в стране восстанавливается кредитование. Наблюдается бум платформ микрокредитования (деньги до зарплаты). Начали более активно идти в кредитование банки. Появился Monobank. Есть вот даже банк, основным бизнесом которого также является кредитование. Без сопутствующих обычно банку корпоративных продуктов и услуг для МСБ. Люди активно и охотно берут деньги под 400+% годовых. Но при этом нет достойного большого игрока в сфере P2P кредитования. По вашим прогнозам, как в итоге поделится рынок между банковским кредитованием и микро кредиторами? Почему банки не идут в микрозаймы? И почему нет успешных примеров P2P платформ?
3) На европейском и американском рынках есть множество примеров диджитал банков или онлайн банков. Но судьба у них не однозначная. Без сильной платформы в виде традиционного банка или другого сильного партнера с мощной клиентской базой, они не выживают. Вот и Альфа-Банк говорил о создании диджитал банка в Украине. Появится ли в Украине диджитал банк? Какой формат и для какой аудитории он будет работать? Что вообще такое диджитал банк?
4) Топ-3 направления финтех-компаний в Украине - это Платежи и переводы (31,6%), Технологии и инфраструктура (19,3%) и Кредитование (14%). При этом в мире основные инвестиции (31%) утекли в Кредитование. Почему для нашего рынка платежи и переводы превалируют?
5) В Украине все ещё огромная доля наличных платежей - более 60% огромная работа проводится НБУ, МПС и банками по переводу платежей в безнал. Если взять к примеру Укрзализныцю - то в ее инфраструктуре наличные деньги однозначно во главе угла. Есть какие-то планы по переводу оплат за сервисы в диджитал?
Вход для гостей без оплаты, по предварительной регистрации в качестве гостя на лендинге https://battle.startup.network/events/368155/
До скорой встречи!</t>
  </si>
  <si>
    <t>Startup.Network</t>
  </si>
  <si>
    <t>Давайте заробатывать вместе .Оформите карту, перейдя по персональной ссылке, и вы оба получите по 50 грн на счет кешбэка!
https://monobank.com.ua/r/SeFN</t>
  </si>
  <si>
    <t>Віталій Петрик</t>
  </si>
  <si>
    <t>Олег Гороховский - Олег, оффтоп, но приятный.
Качество службы поддержки monobank впечатляет. 10 из 10ти!
Так держать!</t>
  </si>
  <si>
    <t>Сергій Пітік</t>
  </si>
  <si>
    <t>Inna Kolomiets</t>
  </si>
  <si>
    <t>16:44</t>
  </si>
  <si>
    <t>Получите бесплатно карту банка Monobank</t>
  </si>
  <si>
    <t>Monobank | Universal Bank</t>
  </si>
  <si>
    <t>Получай кэшбэк от своих покупок, путешествий. Пополнение телефона без комиссии monobank – банк без відділень Ми не несемо</t>
  </si>
  <si>
    <t>В первом mobile-only банке Украины Monobank появилась возможность размещать депозиты. Об этом сообщил сооснователь</t>
  </si>
  <si>
    <t>Мобильный банк Monobank зарегистрировал 100 000-го клиента По словам сооснователя Fintech Band (компания, которая и</t>
  </si>
  <si>
    <t>QR - Кіт / Monobank</t>
  </si>
  <si>
    <t>Встигніть отримати лімітовану чорну карту від Monobank з кешбеком 20% (це означає, що після покупки до 20% грошей</t>
  </si>
  <si>
    <t>Иван, Ты приглошаешь друга , он делает карту по твоей ссылке и тебе приходят еще 50 , ты их переводишь с кэшбэка на основной щёт и используешь.</t>
  </si>
  <si>
    <t>16:38</t>
  </si>
  <si>
    <t>Скорее всего, уже много кто видел посты про #Monobank. Расскажу и я, почему Монобанк лучше других и чем привлек мое</t>
  </si>
  <si>
    <t>Продам травматические патроны "Сова П" шустрая 92</t>
  </si>
  <si>
    <t>Продам травматические патроны "Сова П" шустрые 91-92 из старых запасов. Нашел в закромах остатки, в наличии 35 шт., больше нет и не будет. Продается одним лотом, цена 600.00 грн. Оплата на карту ПриватБанка/Monobank. Доставка Н. Почтой за счёт покупателя. Все вопросы по наличию, оплате, доставке в личку.
	Посмотреть вложение 11443093 https://reibert.info/attachments/11443093/ 
	Посмотреть вложение 11443095 https://reibert.info/attachments/11443095/ 
	Посмотреть вложение 11443096 https://reibert.info/attachments/11443096/ 
	Посмотреть вложение 11443097 https://reibert.info/attachments/11443097/ 
	Посмотреть вложение 11443098 https://reibert.info/attachments/11443098/ 
	Посмотреть вложение 11443099 https://reibert.info/attachments/11443099/</t>
  </si>
  <si>
    <t>Шалом шаббат, православные)) Доповідаю: за вчера мы собрали 25 грн. Отже, дефицит по глушителям для хлопцев из 53ей</t>
  </si>
  <si>
    <t>Шалом шаббат, православные))
Доповідаю: за вчера мы собрали 25 грн. Отже, дефицит по глушителям для хлопцев из 53ей бригады снизился до 3825 грн.
Предлагаю навалиться оптом и закрыть этот кейс за выходные. Нехай парни нарезают оккупантов тихо и аккуратно:)
Кому шо не жалко для пехоты, пипол.
5363 5423 0708 8857 - карта привата
5375 4141 0050 5386 - карта монобанка.
4790 7010 0214 9655 -  карта ощадбанка
По вопросам денежных переводов из-за рубежа обращаться в личку.
Дякую.</t>
  </si>
  <si>
    <t>Сначала года пользуюсь кредиткой monobank. Мне нравится! Хорошие условия, удобное приложение, довольно крутой кеш! Кому</t>
  </si>
  <si>
    <t>Сначала года пользуюсь кредиткой monobank. Мне нравится! Хорошие условия, удобное приложение, довольно крутой кеш!
Кому интересно, заходим по ссылочке
https://monobank.com.ua/r/a7Dt</t>
  </si>
  <si>
    <t>Alexandr  Platonov</t>
  </si>
  <si>
    <t>16:13</t>
  </si>
  <si>
    <t>Для усіх, хто в темі! Ловіть у Альфа-Мобайл таку фічу, від якої особисто нам хочеться випити шампанського. Багато...</t>
  </si>
  <si>
    <t>Ну так и пользуйтесь monobank'ом раз он так прекрасен.</t>
  </si>
  <si>
    <t>Oleg Stepura</t>
  </si>
  <si>
    <t>Альфа-Банк Україна</t>
  </si>
  <si>
    <t>16:12</t>
  </si>
  <si>
    <t>16:07</t>
  </si>
  <si>
    <t>Решила найти новый банк после прощания с Приватом. Нашла Ощадбанк... приложение понравилось, условия понравились... Все</t>
  </si>
  <si>
    <t>Grisha Lisnichiy</t>
  </si>
  <si>
    <t>Алина Лесовая</t>
  </si>
  <si>
    <t>Дизайн слизали @monobank.com.ua )))). Когда уже собачку в приложении запилите или енота? Или кота, чего уж стесняться. Может чет сами придумаете наконец?</t>
  </si>
  <si>
    <t>У меня не так много друзей на ФБ и много из них из IT сферы а значит про Монобанк слышали и пользуются.
Но вдруг кто не знаком и не слышал - рекомендую:
- удобное приложение
- скажи нет отделениям и очередям
- хороший кэшбэк
- бесплатная карта с PayPass и без абонплаты
- котик внутри
Ссылка для регистрации - https://monobank.com.ua/r/5H9h
P.S. Дмитрий Дубилет Материал карты немного смущает. Почему они такие хлипкие? Monobank</t>
  </si>
  <si>
    <t>Замість того, щоб вводити дані і програмі монобанку</t>
  </si>
  <si>
    <t>Андрій Бакай</t>
  </si>
  <si>
    <t>Про банки і картки і трошки про кeшбeк. Новинка - картка @monobank.com.ua Тeхнологічно, зручно і зрозуміло.  Плюси</t>
  </si>
  <si>
    <t>візьмем на замітку ! )</t>
  </si>
  <si>
    <t>Oksana Kalichka</t>
  </si>
  <si>
    <t>GO training.ua</t>
  </si>
  <si>
    <t>Oksana Kalichka я щe та кошатниця</t>
  </si>
  <si>
    <t>Oleksandra не знала, що ти любитель котів )</t>
  </si>
  <si>
    <t>Аркадий Красовский</t>
  </si>
  <si>
    <t>Дай пять! #monobank #stickers #illustrator #characterdesign #character #vector #telegram #iskra_design #katesemenova</t>
  </si>
  <si>
    <t>Кисалорд)</t>
  </si>
  <si>
    <t>Boris Shkitin</t>
  </si>
  <si>
    <t>Kate Semenova</t>
  </si>
  <si>
    <t>Спасибо @monobank.com.ua за удобство и сервис!
Переходим на тёмную сторону :)
@candy_nails_kiev_pedicure
#monobank</t>
  </si>
  <si>
    <t>@annazakharenko_ ♥️♥️♥️</t>
  </si>
  <si>
    <t>Так вот кого нужно благодарить за этих здоровских котиков</t>
  </si>
  <si>
    <t>Anna Zakharenko</t>
  </si>
  <si>
    <t>14:33</t>
  </si>
  <si>
    <t>Дай пять!
#monobank #stickers #illustrator #characterdesign #character #vector #telegram #iskra_design #katesemenova</t>
  </si>
  <si>
    <t>Пост для продажи товаров в ЖК б/у или новое. Какие угодно вещи. Если ваши вещи продана или уже нет надобности в продаже,</t>
  </si>
  <si>
    <t>ПРОДАЮ свій iPhone 7 32. Ціна 14500 грн. Можливий торг! БУДУ ВДЯЧНИЙ ЗА РЕПОСТ
Продаю, через те що хочу придбати новішу модель. Телефон майже як новий. У комплекті оригінальні коробка, наклейки, зарядка і оригінальний червоний чехол від Apple (він дуже приємний на дотик). Купив телефон в цитрусі майже відразу як він вийшов за 23500 грн, є чек і всі документи. Стан корпусу майже ідеальний. Вмятин і царапин на корпусі не має, є дрібні майже не помітні потертості від чехла (на фото видно). Телефон ніколи не падав, не топився (хоча він водонепроникний). Скло задньої камери зовсім без царапин, ідеальне, фотографує неймовірно, так само як і передня камера. Екран не битий, виглядає чудово, був без плівки і захисного скла, є дрібні царапини, але вони зовсім не критичні і їх видно тільки якщо вдивлятись на світлі. Звук в стерео динаміках прекрасний. Всі технічні характеристи телефону на сайті Apple https://www.apple.com/iphone-7/specs/
Телефон можна оглянути особисто при зустрічі в Києві або в ЖК Євромісто (с. Крюківщина).
Оплата на картку привату або монобанку якщо віддаю телефон особисто або оплата на новій пошті при отриманні. Якщо є питання, пишіть.
Посилання на мій пост з фотографіями https://www.facebook.com/victor.andrushkiv.5/posts/1691267424272726
iPhone 7 - Technical Specifications
This is 7. And it’s better than ever. View all the technical specifications and see what’s new on iPhone 7 and iPhone 7 Plus.</t>
  </si>
  <si>
    <t>Victor Andrushkiv</t>
  </si>
  <si>
    <t>Жителі Евроміста</t>
  </si>
  <si>
    <t>14:28</t>
  </si>
  <si>
    <t>Victor ПРОДАЮ свій iPhone 7 32. Ціна 14500 грн. Можливий торг! БУДУ ВДЯЧНИЙ ЗА РЕПОСТ Продаю, через те що хочу придбати</t>
  </si>
  <si>
    <t>Victor
ПРОДАЮ свій iPhone 7 32. Ціна 14500 грн. Можливий торг! БУДУ ВДЯЧНИЙ ЗА РЕПОСТ
Продаю, через те що хочу придбати новішу модель. Телефон майже як новий. У комплекті оригінальні коробка, наклейки, зарядка і оригінальний червоний чехол від Apple (він дуже приємний на дотик). Купив телефон в цитрусі майже відразу як він вийшов за 23500 грн, є чек і всі документи. Стан корпусу майже ідеальний. Вмятин і царапин на корпусі не має, є дрібні майже не помітні потертості від чехла (на фото видно). Телефон ніколи не падав, не топився (хоча він водонепроникний). Скло задньої камери зовсім без царапин, ідеальне, фотографує неймовірно, так само як і передня камера. Екран не битий, виглядає чудово, був без плівки і захисного скла, є дрібні царапини, але вони зовсім не критичні і їх видно тільки якщо вдивлятись на світлі. Звук в стерео динаміках прекрасний. Всі технічні характеристи телефону на сайті Apple https://www.apple.com/iphone-7/specs/
Телефон можна оглянути особисто при зустрічі в Києві або в ЖК Євромісто (с. Крюківщина).
Оплата на картку привату або монобанку якщо віддаю телефон особисто або оплата на новій пошті при отриманні. Якщо є питання, пишіть.
https://www.facebook.com/victor.andrushkiv.5/posts/1691267424272726</t>
  </si>
  <si>
    <t>14:17</t>
  </si>
  <si>
    <t>Serega Nagorny</t>
  </si>
  <si>
    <t>Елена, помогают Клиентам Операторы клиентской поддержки.</t>
  </si>
  <si>
    <t>Макс Чудин отправьте, пожалуйста Ваше резюме isy.yakusheva@gmail.com</t>
  </si>
  <si>
    <t>Полюбому уберут продукты,ибо на них больше всего кешбека по итогу получается.я у себя набил 500грн,гирбест и али черпз раз кешбек дают)</t>
  </si>
  <si>
    <t>Первый Мобильный Банк
Получите самую выгодную карту с кредитным лимитом до 100 000 грн
◉ Установите приложение monobank
◉ Заполните Заявку
◉ Выберите доставку карты сотрудником банка или заберите ее в ближайшей точке выдачи. Это бесплатно
Пригласите друга - Получите по 50 гривен на счет кешбєка!
Когда новый клиент установит приложение по Вашей уникальной ссылке и активирует карту monobank, вы оба получите по 50 грн. на счет кешбэка
Совет: опубликуйте ссылку в соцсетях, чтобы заработать больше
Где взять ссылку?
1. Войдите в приложение monobank (если нет карты monobank и приложения, закажите на официальном сайте https://goo.gl/8fv4RR)
2. Перейдите на вкладку "Еще"
3. Нажмите "Пригласите друга"
4. Нажмите "Отправить ссылку другу"
5, Выберите удобный способ для вас : Telegram, Viber, Facebook Messenger, Скопировать ссылку, или опубликовать на своей странице в социальной сети. (Ссылка для друга выглядит так https://monobank.com.ua/r/EAxY - ссылку не копируйте, у каждого своя :) )
https://ad.letmeads.com/?ad=mono73d43cb0230248f5305001a771</t>
  </si>
  <si>
    <t>Александр Родкин</t>
  </si>
  <si>
    <t>13:15</t>
  </si>
  <si>
    <t>Victor ПРОДАЮ свій iPhone 7 32. Ціна 13000 грн. Можливий торг! БУДУ ВДЯЧНИЙ ЗА РЕПОСТ Продаю, через те що хочу придбати</t>
  </si>
  <si>
    <t>Victor
ПРОДАЮ свій iPhone 7 32. Ціна 13000 грн. Можливий торг! БУДУ ВДЯЧНИЙ ЗА РЕПОСТ
Продаю, через те що хочу придбати новішу модель. Телефон майже як новий. У комплекті оригінальні коробка, наклейки, зарядка і оригінальний червоний чехол від Apple (він дуже приємний на дотик). Купив телефон в цитрусі майже відразу як він вийшов за 23500 грн, є чек і всі документи. Стан корпусу майже ідеальний. Вмятин і царапин на корпусі не має, є дрібні майже не помітні потертості від чехла (на фото видно). Телефон ніколи не падав, не топився (хоча він водонепроникний). Скло задньої камери зовсім без царапин, ідеальне, фотографує неймовірно, так само як і передня камера. Екран не битий, виглядає чудово, був без плівки і захисного скла, є дрібні царапини, але вони зовсім не критичні і їх видно тільки якщо вдивлятись на світлі. Звук в стерео динаміках прекрасний. Всі технічні характеристи телефону на сайті Apple https://www.apple.com/iphone-7/specs/
Телефон можна оглянути особисто при зустрічі в Києві або в ЖК Євромісто (с. Крюківщина).
Оплата на картку привату або монобанку якщо віддаю телефон особисто або оплата на новій пошті при отриманні. Якщо є питання, пишіть.
https://www.facebook.com/victor.andrushkiv.5/posts/1691267424272726</t>
  </si>
  <si>
    <t>Daria Kambarova</t>
  </si>
  <si>
    <t>13:08</t>
  </si>
  <si>
    <t>Всеволод Древицкий , вчера как раз произошло обратное</t>
  </si>
  <si>
    <t>Filobok Roman</t>
  </si>
  <si>
    <t>Ну, не знаю) у меня есть карта монобанка и лимит</t>
  </si>
  <si>
    <t>Инна Макарова</t>
  </si>
  <si>
    <t>Светлана Дорошенко-Башинская</t>
  </si>
  <si>
    <t>Во многих магазинах Крыма появилась возможность рассчитаться карточками #visa и #mastercard 
Круто! Можно больше не тащить с собой наличку!
Ага. Почти. @monobank.com.ua не прошел. Почему? Ибо принимаются карточки этих платёжных систем исключительно российских банков. Ну йомайо(((((
#хорошаяпопытка #крым</t>
  </si>
  <si>
    <t>Olya  Torshinina</t>
  </si>
  <si>
    <t>Лучшие Кредиты</t>
  </si>
  <si>
    <t>13:03</t>
  </si>
  <si>
    <t>Инна не знаете, не говорите. У меня в истории только крупные кредиты （2 машины и бизнес）всё выплачено до 2013 года без единой просрочки  , ещё в феврале 2014 года мне несколько раз звонил прокредитбанк и предлагал довольно крупную сумму на 5% дешевле чем в среднем по рынку. Так что с кредитной историей у меня всё ок. А в настоящее время Приватбанк обнулил мне кредитный лимит, хотя я и так им никогда не пользовался, монобанк сразу при регистрации написал что выдача кредитной карты невозможна, только депозитная. Оформлял покупку в Розетке, по акции был беспроцентный кредит, решил проверить, в результате укрсиб прислал мне такой ответ ”Shanovnyy kliyent! UkrSibbank ne rekomenduye Vam braty na sebe dodatkovi kredytni zobovyazannya. Po vashiy  zayavtsi pryynyato nehatyvne rishennya.” Додатковi !!! Хотя у меня нет никаких. Использовали какую-то стандартную отписку и конечно же никто не смотрел мою кредитную историю, смотрели только мою донецкую прописку. Поэтому все новые банки да и старые тоже я могу поприветствовать только поднятым средним пальцем</t>
  </si>
  <si>
    <t>Vsevolod Vitalich</t>
  </si>
  <si>
    <t>Действительно ли у Monobank бесплатное пополнение карты? Сегодня я решил с этим разобраться. И так, основной заманухой,</t>
  </si>
  <si>
    <t>Монобанк отличная штука под кешбек - перевл с привата под 0,5, заправился , получил 70 гривен кешбека чистыми. В АТБ сходил -
 пятерка капнула. В месяц - 300-400 гривен чистыми и набегает. Товарищ накатал на такси кредитным лимитом кешбека за месяц на 430 гривен. И еще - телефоны без комиссий - мне их 19 штук пополнять надо. Это гривен 40 каждый месяц.</t>
  </si>
  <si>
    <t>Сергей Симонов</t>
  </si>
  <si>
    <t>Александр Зарайский</t>
  </si>
  <si>
    <t>С Весенними Заработками !</t>
  </si>
  <si>
    <t>Pro Бизнес Ответ</t>
  </si>
  <si>
    <t>12:56</t>
  </si>
  <si>
    <t>Олександр приглашает вас в monobank! Оформите карту, перейдя по персональной ссылке, и вы оба получите по 50 грн на счет кешбэка!
https://monobank.com.ua/r/w8Hj
monobank – банк без відділень
Ми не несемо витрати на відділення, і тому можемо дати вам найвигідніші умови!</t>
  </si>
  <si>
    <t>Александр Антипов</t>
  </si>
  <si>
    <t>(Huwk @ Mar 31 2018, 11:54)  index.php?act=findpost&amp;pid=6217485 
Будут прикалываться, как с бензом - возьму карту привата в карман. Сейчас пользователь шустрый. Как пришел так и ущел.
Напевно чимало на АЗС ставило, (я в тому числі). Подумали щось забагато втрачаємо)))
Це поки єдинй мінус з їнього боку для мене</t>
  </si>
  <si>
    <t>При переводе на карту денег? Нет, не предусмотрена, я узнавала в поддержке. Вы вообще о другом говорите - о об оплате картой в другой валюте.</t>
  </si>
  <si>
    <t>Katya Kat</t>
  </si>
  <si>
    <t>Відкрив картку Монобанку. Безвідсоткові перекази, кешбек, зручне безвідсоткове поповнення з будь-яких карт (наприклад</t>
  </si>
  <si>
    <t>Відкрив картку Монобанку. Безвідсоткові перекази, кешбек, зручне безвідсоткове поповнення з будь-яких карт (наприклад приват універсальна).
Оформіть картку, перейшовши за персональним посиланням, і ви отримаєте 50 грн на рахунок кешбека!
f6mq8.app.goo.gl
https://monobank.com.ua/r/6Qv5</t>
  </si>
  <si>
    <t>Igor  Martynenko</t>
  </si>
  <si>
    <t>Петропавлівщина</t>
  </si>
  <si>
    <t>Oksana Kalichka тааа, кіт там зачотний.</t>
  </si>
  <si>
    <t>Oleksandra Grudzevych</t>
  </si>
  <si>
    <t>Борьба за клиента: погашение долгов в других банках
#Банкбезотделений #Monobank #Бюрокредитныхисторий #кредитка #кредитныесредства #погашениезадолженности #процентыпообслуживанию #реальнаягодоваяставка #УБКИ
https://goo.gl/SA8pRp</t>
  </si>
  <si>
    <t>Finstat</t>
  </si>
  <si>
    <t>Будут прикалываться, как с бензом - возьму карту привата в карман. Сейчас пользователь шустрый. Как пришел так и ущел.</t>
  </si>
  <si>
    <t>Roman Babinets  ну... раз з котом то треба брати</t>
  </si>
  <si>
    <t>Monobank!  Первый банк без отделений в Украине. Оформи карту, перейдя по персональной ссылке, и мы оба получим по 50 грн на счет кешбэка! Деньги с кешбэка можно перевести на личный счет. Если есть вопросы по поводу как работает карта, то пиши в сообщения)
S80331-115612(1).jpg
https://vk.com/doc386687379_462915047?hash=bb9452ec1d0631e1c9&amp;dl=HEZTGMBZGQYTS:1522487059:3e5b8786269df23b8d&amp;api=1&amp;no_preview=1
monobank – банк без відділень
https://monobank.com.ua/r/kTTH</t>
  </si>
  <si>
    <t>Александр Павловский</t>
  </si>
  <si>
    <t>(AWEA @ Mar 31 2018, 11:37)  index.php?act=findpost&amp;pid=6217479 
на что в апреле будет кешбек?
походу они решили не анонсить теперь.. второй месяц молчат о будущих категориях..</t>
  </si>
  <si>
    <t>11:41</t>
  </si>
  <si>
    <t>Таки, работает!)
Помните мой пост про Монобанк, где была реферальная ссылка..?
Так вот сегодня мне пришли 50 грн на карту от банка в виде кэшбека..!
Константин Джунь, надеюсь ты тоже получил этот бонус))
Как говорится, «мелочь, а приятно»..!)))
Ниже ещё раз высылаю ссылку на получение карты Monobank.
Напоминаю, что карту вам привезут в любую точку города!
Олександр Селіванов приглашает вас в monobank! Оформите карту, перейдя по персональной ссылке, и вы оба получите по 50 грн на счет кешбэка!
https://monobank.com.ua/r/62oF</t>
  </si>
  <si>
    <t>11:37</t>
  </si>
  <si>
    <t>на что в апреле будет кешбек?</t>
  </si>
  <si>
    <t>AWEA</t>
  </si>
  <si>
    <t>!!! Шалом шаббат, православные)) Доповідаю: за вчера мы собрали 25 грн. Отже, дефицит по глушителям для хлопцев из 53ей</t>
  </si>
  <si>
    <t>!!!
Шалом шаббат, православные))
Доповідаю: за вчера мы собрали 25 грн. Отже, дефицит по глушителям для хлопцев из 53ей бригады снизился до 3825 грн.
Предлагаю навалиться оптом и закрыть этот кейс за выходные. Нехай парни нарезают оккупантов тихо и аккуратно:)
Кому шо не жалко для пехоты, пипол.
5363 5423 0708 8857 - карта привата
5375 4141 0050 5386 - карта монобанка.
4790 7010 0214 9655 -  карта ощадбанка
По вопросам денежных переводов из-за рубежа обращаться в личку.
Дякую.</t>
  </si>
  <si>
    <t>11:24</t>
  </si>
  <si>
    <t>Дмитрий Ставим сцену на 18е!!! Репост! Подяка за стрім Monobank, Dmitriyev Dmitriy Mikhaylovich, 5375 4141 0005 0599.</t>
  </si>
  <si>
    <t>Маячня якась</t>
  </si>
  <si>
    <t>АБСТРАКТНАЯ ЖИВОПИСЬ (ABSTRACT PAINTING)</t>
  </si>
  <si>
    <t>оО ... це вже цікаво. Дякую</t>
  </si>
  <si>
    <t>Бери карточку, там є наклейки з котом. 
Але великі суми через той банк не раджу тримати.</t>
  </si>
  <si>
    <t>Roman Babinets</t>
  </si>
  <si>
    <t>Коли купуєш в Сільпо ти не отримуєш жоден кешбек. А з монобанк, так.</t>
  </si>
  <si>
    <t>Клиенты Альфа-Банк Україна первыми смогут добавить карту в Google Pay практически в один клик. Как это сделать - читайте</t>
  </si>
  <si>
    <t>В monobank такого функционала пока нет - только что нам это подтвердили в службе поддержки банка. Добавить карту банка в Google Pay можно только зайдя в этот цифровой кошелек.</t>
  </si>
  <si>
    <t>ПриватБанк уже не тот slowpoke.png Я вообще привык что они два раза в год блочат мою карту, что-бы выманить в отделение</t>
  </si>
  <si>
    <t>Monobank рулит. Я им доволен. Единственный бок - не очень большая сеть терминалов iBox для пополнения.</t>
  </si>
  <si>
    <t>Andriy Lusta</t>
  </si>
  <si>
    <t>David Gor</t>
  </si>
  <si>
    <t>Oksana Kalichka вибираєтся дві категорії. (зараз так)
друге питання - порівняно з якими сервісами?</t>
  </si>
  <si>
    <t>Друзi, реєcтруйтесь! Запрошую вас у monobank! Оформіть картку, перейшовши за персональним посиланням, і ви отримаєте 50 грн на рахунок кешбека!
https://monobank.com.ua/r/RnEp</t>
  </si>
  <si>
    <t>Just Store</t>
  </si>
  <si>
    <t>Тобто не з усіх ?( А відсоток кеш беку карти порівняно з сервісами вищий ?</t>
  </si>
  <si>
    <t>Ann  Gramatik</t>
  </si>
  <si>
    <t>ти кожен місяць маєш вибрати категорії, по яких хочеш отримувати кеш-бек. і їх всього дві.</t>
  </si>
  <si>
    <t>А в случае чего....у них же лапки!</t>
  </si>
  <si>
    <t>Дают, если у вас нормальная кредитная история, то дают! Если у вас куча кредитов и просрочек, чего Вы тогда хотите от банка?</t>
  </si>
  <si>
    <t>Мне не понравилось ни приложение, ни коммисии.  С приватом проще. Да комиссия за пополнение мобильных немного раздражает, но она меньше за месяц , чем чашка кофе.</t>
  </si>
  <si>
    <t>Кожного місяця встановлюєш., з яких категорій отримувати кешбек будеш.</t>
  </si>
  <si>
    <t>приглашает вас в monobank! Оформите карту, перейдя по персональной ссылке, и вы оба получите по 50 грн на счет кешбэка!
https://monobank.com.ua/r/uy4V</t>
  </si>
  <si>
    <t>Яна Цепеняк</t>
  </si>
  <si>
    <t>Kokosha Tatiana</t>
  </si>
  <si>
    <t>Наверное единственный банк, которым необходимо пользоваться! f6mq8.app.goo.gl</t>
  </si>
  <si>
    <t>Наверное единственный банк, которым необходимо пользоваться!
f6mq8.app.goo.gl
https://monobank.com.ua/r/mT6Q</t>
  </si>
  <si>
    <t>Vadim  Kovalev</t>
  </si>
  <si>
    <t>Не зовсім зрозуміло - що означає встановлювати кеш бек щомісяця
Це типу він пропадає, стає 0 ?</t>
  </si>
  <si>
    <t>Перейди по ссылке, оформи карту и получи 50 гривен на кешбэк!
Всё просто.
За подробностями в лс!
https://monobank.com.ua/r/qqLD</t>
  </si>
  <si>
    <t>Сергей Балабанов</t>
  </si>
  <si>
    <t>Я приглашает вас в monobank! Оформите карту, перейдя по персональной ссылке, и вы оба получите по 50 грн на счет кешбэка!
https://monobank.com.ua/r/uy4V</t>
  </si>
  <si>
    <t>​​ http://telegra.ph/file/f6724a3b33dde8b159a26.jpg -monobank- 
Вы уже слышали о Monobank? Если еще нет, то сейчас самое время познакомиться с первым Online банком Украины, от бывшего топ менеджмента Приватбанка 
Monobank - это надежно, удобно и современно!
Кроме того это:
- Ноль процентов за комиссию по любым операциям.
- Кредитный лимит до 100 тыс. грн.
- депозиты до 15%
- кэшбек до 20%
Оформите бесплатную карточку по ссылке и сразу получите 50грн на счет кэшбек:
https://monobank.com.ua/r/k5RX
http://telegra.ph/file/f6724a3b33dde8b159a26.jpg</t>
  </si>
  <si>
    <t>BEARDED DESIGN</t>
  </si>
  <si>
    <t>Про банки і картки і трошки про кeшбeк.
Новинка - картка @monobank.com.ua
 Тeхнологічно, зручно і зрозуміло. 
Плюси （ті, які явні зараз）:
- цікаві умови кeшбeку
- нарахування привабливоі ставки на залишок
- цікаві （думаю цe на початку）умови дeпозиту
- можливість поповнювати з карток інших банків - цe мeга зручно 
- Підтримка на мeсeнджeрі, який вам зручний
Мінуси:
- відразу тобі крeдит + вищий відсоток по кeшбeку при розрахунку крeдитними коштами. Знову присаджуємо на крeдити. Спасіння є - ставимо ліміт по крeдиту 0 грн.
- кeш бeк потрібно кожeн місяць встановлювати - цe всe ж нe мінус, а нeвeличка нeзручність
Інших мінусів поки нe знайшли 
Для читачів нашоі сторінки додатковий бонус. При рeєстраціі на випуск карти за цим посиланням https://monobank.com.ua/r/Z3Kr ви отримаєтe відразу собі кeшбeк в сумі 50 грн. на вашу картку.
Ті 50 грн, які поступлять також і на картку Олeксандри ми направимо на благодійність в фонд @hd_walnuthouse</t>
  </si>
  <si>
    <t>Там, якщо не плутаю, тільки раз було наперед, на січень, коли за грудневі катерогії моню полюбили навіть суперфани  а так тільки натякають на щось, типу того ж індивідуального списку. Цікаво, чи зроблять зараз такий, чи знову тіко індпроценти...</t>
  </si>
  <si>
    <t>О Привате! Предыстория. После того как мой (уже В прошлом) favorite Приват заблокировал мне карту на неделю после</t>
  </si>
  <si>
    <t>Регистрируйтесь! Дадут еще 50 грн. https://monobank.com.ua/r/G8Cu</t>
  </si>
  <si>
    <t>Юрий Асеев</t>
  </si>
  <si>
    <t>https://forum.finance.ua/viewtopic.php?p=4336608#p4336608    Інкогніто написав:
Через 23 часа 15 минут
Вы всё врёте, 13:50 осталось</t>
  </si>
  <si>
    <t>Райффайзен Онлайн</t>
  </si>
  <si>
    <t>Сложно зарегистрироваться, чтобы войти нужно предварительно посетить отделение и получить карту с паролем. Очень слабый функционал. По сути всё что можно сделать - пополнить мобильный и перевести деньги на другую карту. Конкурентно-способность с Приват и Монобанк нулевая.</t>
  </si>
  <si>
    <t>Юрий Котылко</t>
  </si>
  <si>
    <t>play.google.com</t>
  </si>
  <si>
    <t>приглашает вас в monobank! Оформите карту, перейдя по персональной ссылке, и вы оба получите по 50 грн на счет кешбэка!
https://monobank.com.ua/r/jdhS</t>
  </si>
  <si>
    <t>Лиана Грибановская</t>
  </si>
  <si>
    <t>09:40</t>
  </si>
  <si>
    <t>Наликом в тсо, 0,5 % на кешбек идёт. С карты не пополняй,кеш бек не дают)</t>
  </si>
  <si>
    <t>Egor  Smirnov</t>
  </si>
  <si>
    <t>Что такое flydubai? Нет, это совершенно не высший уровень Emirates, но это прекрасный пример нашему убогому МАУ. Один</t>
  </si>
  <si>
    <t>Что такое flydubai? Нет, это совершенно не высший уровень Emirates, но это прекрасный пример нашему убогому МАУ. Один уровень. Но...Это телевизоры сенсорные с меню еды и курсом вашего направления. Это когда картой Monobank ты оплачиваешь, не вставая с места, себе вкусный сендвич с индейкой и сыром. Самое забавное для меня было, то что стандартный экипаж стюардов составлял двое девочек и двое парней, но! Разных национальностей. Это был индус, араб, кореянка и хм...русскоговорящая девушка, которая мне напоминала милую куклу на заводном ключике, всегда в одной манере, хлопая глазами как по часикам и до миллиметра одинаковой улыбкой.
 Здорово- кого больше понимаешь, к тому и обращаешься) Ах, да! Ещё от экранчика можно заряжать, например, телефон от usb. По прилету в Дубай мой телефон был 100% заряжен. А по ценам flydubai уступил аэропорту Жуляны. Да. Вот такой вот средний класс авиакомпаний...</t>
  </si>
  <si>
    <t>Katerina Panchenko</t>
  </si>
  <si>
    <t>Прриглашает вас в monobank! Оформите карту, перейдя по персональной ссылке, и вы оба получите по 50 грн на счет кешбэка!</t>
  </si>
  <si>
    <t>Nice profile</t>
  </si>
  <si>
    <t>James Mitchell</t>
  </si>
  <si>
    <t>Mono Bank</t>
  </si>
  <si>
    <t>Так же лично от меня, при получение карты ты получишь возможность выиграть 200грн на свою карту. Приглашаю тебя в monobank! Оформи карту, перейдя по персональной ссылке, и мы оба получим по 50 грн на счет кешбэка!
https://monobank.com.ua/r/vJ1j #розыгрыш #подарки #деньги #халява</t>
  </si>
  <si>
    <t>Прриглашает вас в monobank! Оформите карту, перейдя по персональной ссылке, и вы оба получите по 50 грн на счет кешбэка!
https://monobank.com.ua/r/vJ1j #банк #моно #монобанк #деньги #кэшбэк #грн #карта #mastercard #money</t>
  </si>
  <si>
    <t>#mono #monobank #qrcat #challenge Ранковий пост про підтримку. Монопідтримку. От, припустимо, у вас питання. Про</t>
  </si>
  <si>
    <t>Ні, ми - найкрутіші! Куди там тому заходу!</t>
  </si>
  <si>
    <t>Бедный Приват. И комиссии "против" монобанка вводит, и котов крадёт, и не лояльно относится к своим сотрудникам - клиентам Моно. Ему этот монобанк как бельмо на глазу. )))</t>
  </si>
  <si>
    <t>Яна Войчак</t>
  </si>
  <si>
    <t>Так це ж як на западi,  чи що? ... цикаво</t>
  </si>
  <si>
    <t>Julia August</t>
  </si>
  <si>
    <t>Vasiliy Карточка решает) #30плюс #лигасмеха #квартал95</t>
  </si>
  <si>
    <t>А картка від Монобанку вирішує ще трішечки більше :-)</t>
  </si>
  <si>
    <t>Іван Васильович</t>
  </si>
  <si>
    <t>Ваня Кухарчук</t>
  </si>
  <si>
    <t>Монобанк шикарен</t>
  </si>
  <si>
    <t>Elizaveta  Tkacheva</t>
  </si>
  <si>
    <t>Наталья Шейко</t>
  </si>
  <si>
    <t>Обязательно делать вбросы на другие банки, чтобы монобанк рекламировать? И вообще, что это делает в этой группе?</t>
  </si>
  <si>
    <t>Alexandr  Maluk</t>
  </si>
  <si>
    <t>08:08</t>
  </si>
  <si>
    <t>Радует креативность нашей банковской сферы Котики правят финансовым миром :) После того, как Дмитрий Дубилет и Ко</t>
  </si>
  <si>
    <t>Радует креативность нашей банковской сферы
Котики правят финансовым миром :)
После того, как Дмитрий Дубилет и Ко создали Монобанк, лицом которого стал кот Дубилета, стало ясно, в чем секрет успеха финансового учреждения и лояльности клиентов к нему.
Поэтому у Приватбанка теперь есть Кіт Василь. Совпадение? Нет, просто всем хочется быть с котиками )</t>
  </si>
  <si>
    <t>Ksenika Borisova</t>
  </si>
  <si>
    <t>08:06</t>
  </si>
  <si>
    <t>Дают, можно запросить конкретный размер кредитного лимита, добавив данные о себе (информация о месте работы, размере зп, выписка из банка, наличие автомобиля и т.д.).</t>
  </si>
  <si>
    <t>08:03</t>
  </si>
  <si>
    <t>А вот кешбэк, действительно интересный и выгодный!</t>
  </si>
  <si>
    <t>Автоматическая конвертация предусмотрена!</t>
  </si>
  <si>
    <t>08:00</t>
  </si>
  <si>
    <t>Дают, если просрочек не было в привате</t>
  </si>
  <si>
    <t>07:59</t>
  </si>
  <si>
    <t>Ну , Вы тут пишите не правду за снятие оплата, откройте тарифы!!! Причём снятие с комиссией собственных средств! И плюс пополнение с карты другого банка так же возможна комиссия Банка карты с которой переводишь.</t>
  </si>
  <si>
    <t>07:57</t>
  </si>
  <si>
    <t>#mono #monobank #qrcat #challenge
Ранковий пост про підтримку. Монопідтримку.
От, припустимо, у вас питання. Про Монобанк, курс валюти або про будь-що. Телефонуєте 0-800-205-205. Навіть серед ночі. І вуаля, отримуєте відповідь. А що ж месенджери? Viber, telegram та Facebook messenger також до ваших послуг. Просто у додатку завітайте у розділ Підтримка і спитайте, що хочете. Декому, навіть, вдавалося отримати допомогу у складанні тестів з англійської ;)
Справа в тому, що у monobank немає бездушних ботів. З вами спілкуються живі люди. Вони готові на все, аби догодити нашим клієнтам! Чесно!
Запрошую вас у Монобанк - банк майбутнього! Після отримання картки на вас чекає приємний бонус - 50 грн на рахунок кешбеку. Є питання? Звертайтесь! Обіцяю вирішити будь-яку задачу (будь ласка, не запитуйте в мене рішення задач Фібоначчі!)
https://monobank.com.ua/r/XWnH</t>
  </si>
  <si>
    <t>07:49</t>
  </si>
  <si>
    <t>Добрый день! Как же мне хочется написать вам, что у нас все хорошо, что мы дома, что все, что мы прошли, уже все позади</t>
  </si>
  <si>
    <t>Добрый день!
Как же мне хочется написать вам, что у нас все хорошо, что мы  дома, что все, что мы прошли, уже все позади... Но это не так.
Каждую ночь засыпая и каждое утро просыпаясь,  я спрашиваю себя лишь об одном, что  сегодня я могу сделать, что б мой Костя был здоров? Я молюсь об этом каждый день, прошу Господа, что б он дал мне силы все это пройти, прошу, что б он исцелил моего сыночка, мою надежду, мою радость. Понимаю, что это испытание моей веры, понимаю, что все в его руках, но иногда, когда приходит сознание, что волшебной таблетки не существует, я понимаю, что я боюсь. Всему виной время, которое не стоит на месте.
  Сейчас оно играет против нас...
 Мы каждый день стучимся во все двери, в надежде, что их откроют, что те кто может нам помочь, помогут, что они поймут, что жизнь нашего ребенка это весь мир для нас!!! Мы столько всего прошли и не сдаемся, столько всего ещё впереди, но мы пройдем, мы будем жить. Вернёмся домой, Костя наконец-то узнает, что такое настоящее детство, без закрытой больничной палаты, без капельниц, болючих процедур, он забудет слова: катетор, периферичка, таблетки... Он забудет, что ему все нельзя. Он вернеться и будет гонять на велосипеде  с Максимкой, будет сбивать коленки, будет болеть как все дети обычной простудой, это все будет, мы верим.
 Но сейчас, пока что это все такое далекое... За все эти годы наша семья собрала все силы: физические, моральные, финансовые, чтоб спасти Костю, но в этот раз, нам не обойтись без вас, нам просто не собрать эту сумму своими усилиями. Понимаю, что таких просьб сейчас миллионы, понимаю, что для многих мой сыночек, это всего лишь ещё один ребёнок, которому нужна помощь. Но прошу вас, помогите нам его спасти, подарите надежду, подарите ему жизнь.
monobank: 5375414100658151
пополнение во всех терминалах приват банка и ibox без комиссии (даже если выводит что с комиссией)
Приват Банка: 5168755111178048
Заиченко Иван Сергеевич
Тел:0953530745
Для переводов из России на карту Сбербанк : 4276380177214827 получатель Бубырь Денис ( указывать наименование платежа)</t>
  </si>
  <si>
    <t>07:28</t>
  </si>
  <si>
    <t>#mono #bank #monobank #cashback #food #fashionblogger #followme #follow4follow #followforfollow #монобанк #кешбэк #еда</t>
  </si>
  <si>
    <t>В Вашей работе есть красота формы и глубина содержания. Воспользуйся возможностью. Узнаешь все нюансы.</t>
  </si>
  <si>
    <t>ОБУЧЕНИЕ ПРОДВИЖЕНИЮ</t>
  </si>
  <si>
    <t>Моему сыну нужна помощь. Его мечта- ходить. Если есть возможность, внесите свой вклад в его будущее.</t>
  </si>
  <si>
    <t>Ирина сын Елисей</t>
  </si>
  <si>
    <t>Пользуюсь, пока всё нравится.</t>
  </si>
  <si>
    <t>Виталий Коваленко</t>
  </si>
  <si>
    <t>07:26</t>
  </si>
  <si>
    <t>Счастья Вам в дом!  Если есть возможность- примите участие в поддержку моего сына.</t>
  </si>
  <si>
    <t>07:19</t>
  </si>
  <si>
    <t>#mono #bank #monobank 
#cashback #food #fashionblogger #followme #follow4follow #followforfollow #монобанк #кешбэк  #еда #едаялюблютебя #фэшион #фолов #подписывайтесь</t>
  </si>
  <si>
    <t>07:17</t>
  </si>
  <si>
    <t>07:15</t>
  </si>
  <si>
    <t>07:14</t>
  </si>
  <si>
    <t>07:13</t>
  </si>
  <si>
    <t>Вот почему мне не зашёл Монобанк. Не люблю котов.</t>
  </si>
  <si>
    <t>Natalia Poni Zhurbina</t>
  </si>
  <si>
    <t>06:02</t>
  </si>
  <si>
    <t>f6mq8.app.goo.gl
https://monobank.com.ua/r/utqn</t>
  </si>
  <si>
    <t>Юлия Перехрест</t>
  </si>
  <si>
    <t>Так!</t>
  </si>
  <si>
    <t>Владимир Горбань</t>
  </si>
  <si>
    <t>02:14</t>
  </si>
  <si>
    <t>02:04</t>
  </si>
  <si>
    <t>Микита приглашает вас в monobank! Оформите карту, перейдя по персональной ссылке, и вы оба получите по 50 грн на счет кешбэка!
monobank – банк без відділень
Ми не несемо витрати на відділення, і тому можемо дати вам найвигідніші умови!
https://monobank.com.ua/r/BJoP</t>
  </si>
  <si>
    <t>Никита Добрый</t>
  </si>
  <si>
    <t>Что-то ерунда какая-то в этом посте. Пополнить без комиссии монобанк можно далеко не везде. Снять деньги без комиссии невозможно в принципе. В самом приложении ничегошеньки интересного нет - даже покупки билетов! Раньше и депозитов не было, но сейчас появилось аж целых два вида! Карта исключительно гривневая - получать переводы в других валютах на нее нельзя, даже автоматическая конвертация не предусмотрена. Кстати, получать переводы типа вестерна приложение тоже не умеет. В общем, крайне урезаный функционал, неудобное пополнение, неудобное снятие.</t>
  </si>
  <si>
    <t>01:16</t>
  </si>
  <si>
    <t>запрошує вас у monobank! Оформіть картку, перейшовши за персональним посиланням, і ви обидва отримаєте по 50 грн на рахунок кешбека!
https://monobank.com.ua/r/RFLP</t>
  </si>
  <si>
    <t>Вова Гнатюк</t>
  </si>
  <si>
    <t>lov2108 написав:
 https://forum.finance.ua/viewtopic.php?p=4336576#p4336576    mustbe написав:Будут.
Через 24 часа 40 минут
Спасибо КЭП  Через 23 часа 15 минут</t>
  </si>
  <si>
    <t>Вот только про комиссию не совсем правда,даже в договоре прописано,за снятие.</t>
  </si>
  <si>
    <t>Anatoly  Batov</t>
  </si>
  <si>
    <t>Монобанк это проект Универсал банка, он же Тигипко, софт для для которого пилят финтех груп. Посмотрим, что в дальнейшем из себя представляет ай бокс банк)</t>
  </si>
  <si>
    <t>Антон Харченко</t>
  </si>
  <si>
    <t>К сожалению,  Не дают кредитных денег если Донецкая прописка:(</t>
  </si>
  <si>
    <t>Maksym  Dziuba</t>
  </si>
  <si>
    <t>Котики правят финансовым миром :)
После того, как Дмитрий Дубилет и Ко создали Монобанк, лицом которого стал кот Дубилета, стало ясно, в чем секрет успеха финансового учреждения и лояльности клиентов к нему.
Поэтому у Приватбанка теперь есть Кіт Василь. Совпадение? Нет, просто всем хочется быть с котиками )</t>
  </si>
  <si>
    <t>Андрей приглашает вас в monobank! Оформите карту, перейдя по персональной ссылке, и вы оба получите по 50 грн на счет кешбэка!
https://monobank.com.ua/r/ihua
monobank – банк без відділень</t>
  </si>
  <si>
    <t>Андрей Геннадьев</t>
  </si>
  <si>
    <t>Андрей Калус в месяц</t>
  </si>
  <si>
    <t>Irina Nikitina</t>
  </si>
  <si>
    <t>30.03.2018</t>
  </si>
  <si>
    <t>для физ лиц самые удобные сейчас Приват и Монобанк, как не крути) но уж точно не ощад))</t>
  </si>
  <si>
    <t>Alexey Sokolov</t>
  </si>
  <si>
    <t>23:38</t>
  </si>
  <si>
    <t>Концерт @044rose в поддержку @taras_oliinyk 
31.03 18:00 Кинотеатр «Салют» Крещатик, 170
Вчера , листая ленту , увидел пост что нужна помощь фотографу-черкащанину Его зовут Тарас Олейник , ему 25 лет, и у него диагноз - злокачественная опухоль желудка. Я понимаю, что это такое , так как моей отец тоже борется с этой болезнью. Сейчас ,Тарасу нужна наша поддержка, как моральная так и материальная. И я призываю , каждого неравнодушного человека помочь ему.
Я в свою очередь решил, что мы должны посвятить ему концерт и часть денег с концерта передать ему лично на лечение, как от сознательной молодежи Черкасс.
Потому что , лучше помочь человеку, который реально нуждается в помощи, чем положить эти деньги себе в карман.
Каждый человек имеет право на жизнь , не имеет значения какой он. Сегодня помогаем мы , а завтра нам.
Будьте добрее! Брат , мы с тобой!
Реквизиты , для помощи Тарасу:
ПриватБанк - 4149 6258 1157 4829
МоноБанк - 5375 4141 0058 4423
Білоног Марина 
#допоможемотарасуодужати #черкассы#вместемысила #помощьлюдям #помощь#gruppirovka_help #cherkassy_gram #cherkassy_insta#cherkasy #cherkassy_city #cherkassy_people</t>
  </si>
  <si>
    <t>Черкассы</t>
  </si>
  <si>
    <t>23:23</t>
  </si>
  <si>
    <t>О monobank! Предыстория. После того как мой (уже В прошлом) favorite Приват заблокировал мне карту на неделю после</t>
  </si>
  <si>
    <t>Закрывал в Привате карты, которыми долго не пользовался. Ушло две недели на звонки в банк. Они списали комиссию за обслуживание за три года, которые я картами не пользовался  в итоге потратил на скайп больше, чем долг по картам.
Предупреждал операторов, в какое время мне звонить, так они все равно звонили в 4-5 утра по моему времени, потом жаловались что не отвечаю. Вообщем, customer service хромает на обе ноги. Не говоря уже о непонятных блокировках карт в 2014 м.</t>
  </si>
  <si>
    <t>Danil Miakotkin</t>
  </si>
  <si>
    <t>Seir Joe</t>
  </si>
  <si>
    <t>ШинОКачка - шиномонтажная мастерская и не только...</t>
  </si>
  <si>
    <t>Приветствую всех форумчан!
Многие меня знают, кто не знает - познакомимся! 
"ШинОКачка" тоже многим знакома, поменялся только владелец.
Услуги и материалы так же держим на высоте.
Услуги:
- Шиномонтажные и шиноремонтные работы любой сложности (боковые порезы, вулканизация и т.д).
- Прокатка, рихтовка, ремонт литых и стальных дисков.
- Диагностика и заправка/дозаправка автокондиционеров хладогентом.
- Мелкие слесарные работы – замена колодок, лампочек, фильтров и прочее...
- Аргонная сварка литых дисков.
- Продажа автошин
- Подбор и продажа автозапчастей.
Для клиентов есть клиентская комната, где можно посмотреть ТВ и наблюдать все работы на мониторе не сходя с дивана. (кофе - в планах) 
Решаем вопрос по оборудованию для антибактериальной чистки системы кондиционирования...
В планах компьютерная диагностика...
Для всех членов клуба действует постоянная скидка 10% на работы и 5% на автозапчасти. Пароль - auto.ua
Оплата через Приват24, Монобанк, Ощад24, наличные.
Телефон для записи: 068-943-61-31
Можно набирать меня: 050-3-555-707, отписываться в личку, в вайбер...
Подробнее с ценами можно ознакомиться на нашем сайте: www.shinokachka.com.ua /away.php?link=http://www.shinokachka.com.ua 
Адрес "ШинОКачки": ул. Протасов Яр, между 33 и 39 номером – на парковке горно-лыжного комплекса «Протасов Яр», ехать по той стороне, что сверху Батыевой горы по направлению к ул. Н. Гринченко.
График работы: Пн-Вс с 8-00 до 21-00 (без выходных)
В сезон (весна/осень) работаем до последнего клиента.
Телефон Шинокачки : 068-943-61-31 (для записи)</t>
  </si>
  <si>
    <t>@Vik</t>
  </si>
  <si>
    <t>Автомобильный форум. Форум помощи выбора, покупки и продажи авто | Autoua &gt; Партнеры клуба</t>
  </si>
  <si>
    <t>https://forum.finance.ua/viewtopic.php?p=4336576#p4336576    mustbe написав:
Будут.
Через 24 часа 40 минут
Спасибо КЭП</t>
  </si>
  <si>
    <t>Бесплатно рекламирую Monobank и Планету кино, и ругаю Укрсиббанк (тоже бесплатно). Если кому-то нужно, чтобы вас</t>
  </si>
  <si>
    <t>Есть такой журнал "Маркетинг и реклама", но где его найти - честно говоря, не знаю)</t>
  </si>
  <si>
    <t>Slavik Fokin</t>
  </si>
  <si>
    <t>Будут.
Через 24 часа 40 минут</t>
  </si>
  <si>
    <t>Друзі, наш QR-кіт прикрасив свій стіл ще однією нагородою — перемога monobank в конкурсі «Фаворити Успіху» за результатами 2017 р. Вгадаєте, в якій номінації? Ну, звісно ж, «Кредитна картка року»!
Надзвичайно приємно, що monobank став фаворитом успішних людей! Голосування в цій номінації проводилось серед діячів культури та мистецтва, спортсменів і бізнесменів, інших відомих людей https://clck.ru/D6LSR
А тепер улюблений мобільний банк громадськості запрошує приєднатись всіх, хто ще цього не зробив! Досягайте успіху з Карткою року monobank http://bit.ly/2GWArKO!</t>
  </si>
  <si>
    <t>Ігор Валько</t>
  </si>
  <si>
    <t>Класс, а где прочитать?</t>
  </si>
  <si>
    <t>Anton Panchenko</t>
  </si>
  <si>
    <t>Чё там с категориями? Или анансов не будет? :-/</t>
  </si>
  <si>
    <t>Досить платити за картку! Тепер картка платить вам!  
Оформіть кредитну карту Монобанку. Пільговий період до 62 днів та кешбек до 20%. 
Найвигідніша кредитна карта.  Спробуйте, не пошкодуєте! 
Монобанк - перший в Україні банк без відділень. Від творців Приват 24. Оформіть картку, перейшовши за персональним посиланням, і ви отримаєте 50 грн на рахунок кешбека!
https://monobank.com.ua/r/yrRQ</t>
  </si>
  <si>
    <t>⠀
База Komilfo X-Base - от 125грн ⠀
Гель-лак Komilfo D212 - 125грн ⠀
 Приобрести можно у нас в интернет-магазине или в магазине при студии (инфо в шапке профиля)⠀
✅ Бесплатная доставка от 300грн⠀
✅ Скидка от 500грн (до 10%)⠀
✅ Широкий ассортимент в наличии!⠀
 Доставка | Delivery:⠀
▫️Новая Почта⠀
▫️Укрпошта⠀
▫️Самовывоз⠀
▫️International air delivery ✈️⠀
 Оплата | Payment:⠀
▫️Наличными / терминал⠀
▫️Наложенным платежом⠀
▫️На карту ПриватБанк или monobank⠀
▫️International debit and credit cards ⠀
(VISA, MasterCard), PayPal, Swift and WU</t>
  </si>
  <si>
    <t>⠀ База Komilfo X-Base - от 125грн ⠀ Гель-лак Komilfo D212 - 125грн ⠀ ⠀  Приобрести можно у нас в интернет-магазине</t>
  </si>
  <si>
    <t>⠀
База Komilfo X-Base - от 125грн ⠀
Гель-лак Komilfo D212 - 125грн ⠀
⠀
 Приобрести можно у нас в интернет-магазине или в магазине при студии (инфо в шапке профиля)⠀
⠀
✅ Бесплатная доставка от 300грн⠀
✅ Скидка от 500грн (до 10%)⠀
✅ Широкий ассортимент в наличии!⠀
⠀
 Доставка | Delivery:⠀
▫️Новая Почта⠀
▫️Укрпошта⠀
▫️Самовывоз⠀
▫️International air delivery ✈️⠀
⠀
 Оплата | Payment:⠀
▫️Наличными / терминал⠀
▫️Наложенным платежом⠀
▫️На карту ПриватБанк или monobank⠀
▫️International debit and credit cards ⠀
(VISA, MasterCard), PayPal, Swift and WU @ Nail Studio &amp; School GRACE</t>
  </si>
  <si>
    <t>⠀
База Komilfo X-Base - от 125грн ⠀
Гель-лак Komilfo D212 - 125грн ⠀
⠀
 Приобрести можно у нас в интернет-магазине или в магазине при студии (инфо в шапке профиля)⠀
⠀
✅ Бесплатная доставка от 300грн⠀
✅ Скидка от 500грн (до 10%)⠀
✅ Широкий ассортимент в наличии!⠀
⠀
 Доставка | Delivery:⠀
▫️Новая Почта⠀
▫️Укрпошта⠀
▫️Самовывоз⠀
▫️International air delivery ✈️⠀
⠀
 Оплата | Payment:⠀
▫️Наличными / терминал⠀
▫️Наложенным платежом⠀
▫️На карту ПриватБанк или monobank⠀
▫️International debit and credit cards ⠀
(VISA, MasterCard), PayPal, Swift and WU</t>
  </si>
  <si>
    <t>https://forum.finance.ua/viewtopic.php?p=4336548#p4336548    novichok написав:
За все шесть, конечно
Ого. В топку такие кредиты.</t>
  </si>
  <si>
    <t>bmwbmw</t>
  </si>
  <si>
    <t>22:52</t>
  </si>
  <si>
    <t>И еще в продолжение предыдущего поста о Monobank, спасибо Сергей Нестеренко (Serhii Nesterenko), его комент натолкнул</t>
  </si>
  <si>
    <t>Как все сложно с декларацией…
Если налоговая уже знает о твоих доходах, зачем их еще раз декларировать????
Не проще ли указать то, о чем налоговая инспекция не знает?…</t>
  </si>
  <si>
    <t>Yurij  Makeev</t>
  </si>
  <si>
    <t>Запрошую вас у monobank! Оформіть картку, перейшовши за персональним посиланням, і ви обидва отримаєте по 50 грн на рахунок кешбека!
https://monobank.com.ua/r/yrRQ
monobank – банк без відділень
Ми не несемо витрати на відділення, і тому можемо дати вам найвигідніші умови!</t>
  </si>
  <si>
    <t>https://forum.finance.ua/viewtopic.php?p=4336546#p4336546    bmwbmw написав:
Вопрос по рассрочке, сбила с толку фраза "при досрочном погашении комиссия за кредит взимается в полном обьеме".
Допустим рассрочка на 1000 грн на 6 мес.
При досрочном погашении на втором месяце снимет проценты за все 6 месяцев или за 2?
За все шесть, конечно</t>
  </si>
  <si>
    <t>novichok</t>
  </si>
  <si>
    <t>Станислав Сербин кешбек же ограничен в размере 500 грн?</t>
  </si>
  <si>
    <t>Andrew Kalus</t>
  </si>
  <si>
    <t>Вопрос по рассрочке, сбила с толку фраза "при досрочном погашении комиссия за кредит взимается в полном обьеме".
Допустим рассрочка на 1000 грн на 6 мес.
При досрочном погашении на втором месяце снимет проценты за все 6 месяцев или за 2?</t>
  </si>
  <si>
    <t>А сейчас ещё написали, что по соображениям безопасности была создана на меня учетная запись на куне, которую нужно мне активировать, и там уже автоматом прописаны мои фамилия и имя. По моему какая то фигня. У кого нибудь есть мысли по этому?</t>
  </si>
  <si>
    <t>Оформите карту Монобанк...через Интернет с доставкой...пополнение на Куна с нее секунды</t>
  </si>
  <si>
    <t>Barter</t>
  </si>
  <si>
    <t>Binance Ukraine</t>
  </si>
  <si>
    <t>Я для вас склав список з прикольних дрібниць monobank.
Оформіть безкоштовну картку за персональним посиланням та одразу отримайте 50грн на рахунок :
https://monobank.com.ua/r/yrRQ
Їх у нашому додатку сотні, але тут поділюся лише п'ятьма:
1. Якщо ви хочете переказати гроші тому, хто є у вашій телефонній книжці, для цього не потрібно знати номер картки. Досить просто натиснути на його ім'я в контактах. І більше жодних «Скинь мені номер картки!».
2. Якщо ви перебуваєте за кордоном, то додаток розуміє це і відразу показує курс валюти тієї країни, в якій ви перебуваєте.
3. Ви можете подивитися номер картки, термін дії та cvv просто в додатку. Можна тут же скопіювати номер картки в буфер. Зручно, коли потрібно зробити інтернет-купівлю, а за самою карткою тягнутися лінь.
4. У повідомленнях про транзакції ми використовуємо емодзі (наприклад,  для магазинів одягу). А якщо операція в валюті — то поруч з курсом ставимо прапор відповідної країни (ех, люблю прапори!).
5. Наша служба підтримки спілкується в зручних для вас месенджерах (Viber, Telegram або Facebook), а не у вбудованих месенджерах, які постійно вибиває. Ну і без ботів, само собою.
Оце так розробники додатку monobank! Оце так молодці!
Оформіть безкоштовну картку за персональним посиланням та одразу отримайте 50грн на рахунок кешбеку:
monobank – банк без відділень
Ми не несемо витрати на відділення, і тому можемо дати вам найвигідніші умови!</t>
  </si>
  <si>
    <t>не могу поверить что весь мой прошлый класс даже не слышал о монобанке типа але ребят у меня тут реклама на каждом шагу и одноклассники бесконечно говорят</t>
  </si>
  <si>
    <t>тушканчик</t>
  </si>
  <si>
    <t>Прошу Вас не бути байдужими, кожні кошти надзвичайно важливі, нехай то навіть 1 гривня, але вона може врятувати життя!</t>
  </si>
  <si>
    <t>Прошу Вас не бути байдужими, кожні кошти надзвичайно важливі, нехай то навіть 1 гривня, але вона може врятувати життя!
#ДопоможемоТарасуОдужати • ПриватБанк
4149 6258 1157 4829 — Марина Білоног
• Монобанк
5375 4141 0058 4423 — Марина Білоног
У мого друга Тарас Олійник знайшли злоякісну пухлину, діагноз — рак шлунку.
Тарас любить знімати на плівку. Багато хто потрапив у його об'єктив, та він ніколи не брав за те грошей. Зараз вони конче необхідні — операція коштує від $8 000 до $10 000, а курс хіміотерапії та реабілітації ще близько $5 000, разом — 400 000 грн.
12-го березня Тарасу виповнюється 25 років, а 13-го — складна операція з видалення пухлини. Оперувати будуть у Черкаському онкологічному диспансері.</t>
  </si>
  <si>
    <t>Наталья Дмитриева</t>
  </si>
  <si>
    <t>ДРЕССИРУЕМ ПЕРСОНАЛ АЛЬФА-БАНКА Начну с обращения к менеджменту банка (председателю правления и зампреду по операционной</t>
  </si>
  <si>
    <t>В монобанке и кассы то нет  кеш только через банкомат</t>
  </si>
  <si>
    <t>Volodymyr Krasnobrizhyy</t>
  </si>
  <si>
    <t>https://forum.finance.ua/viewtopic.php?p=4336137#p4336137    Хутін Пуй написав:
автолюбители и автопроХфессионалы,какие сайты авто запчастей при оплате  картой ОНЛИНЭ свинорыльный МСС дают 
АТО пора фильтров,масЁл и шин,турбин пришла....
exist.ua</t>
  </si>
  <si>
    <t>Kristina Kristina</t>
  </si>
  <si>
    <t>Прям хочешь, чтобы я все секреты раскрыл...</t>
  </si>
  <si>
    <t>Vadym Stadnyk</t>
  </si>
  <si>
    <t>А какие передовые методы маркетинга ты используешь? Ты знаешь, что в трендах искусственный интеллеки и VR? Когда дрели будет продавать робот?</t>
  </si>
  <si>
    <t>Slavik Fokin ты видишь, пока не статью на напишешь, у тебя про баги не спросят)) я даже проблемы описал, но меня и не заметили))</t>
  </si>
  <si>
    <t>Ты меня ещё не прорекламировал???</t>
  </si>
  <si>
    <t>Много лет пользуюсь Приватом. Ни разу не было никаких проблем. Буквально несколько дней назад мне  человек пополнил карту на 50000. Никаких проблем. Он не успел мне позвонить, что отправил деньги, а у меня уже пришло сообщение в Приват24. Сын начал пользоваться Monobank.Очень нравится.</t>
  </si>
  <si>
    <t>Виктория Каширина</t>
  </si>
  <si>
    <t>Ди, а Монобанк пробовала? Я только что зарегистрировалась, хочу попробовать. Отзывы .
Тарифы тоже понравились</t>
  </si>
  <si>
    <t>Диана Мурая</t>
  </si>
  <si>
    <t>0,5. Постфактум.</t>
  </si>
  <si>
    <t>приват або просить внести сумму комісії, або віднімає її від суми поповнення, але при нарахуванні монобанк автоматично компенсує суму комісії кешбеком! мені минулого разу кешбек прийшов навіть на 7 гривень більше ніж комісія привату</t>
  </si>
  <si>
    <t>Stanislav Serbin</t>
  </si>
  <si>
    <t>Что еще раз подтверждает что прописка в этой стране делит людей на категории или даже сорта</t>
  </si>
  <si>
    <t>Решил протестировать Вашу карту и вот в итоге разочаровался. Да много интересных забавных фич, кешбек и т.д. Но вот проблема, когда я решил пополнить карту, оказалось, что пополнить ее без комиссии можно только в айбоксах, которых нет у меня в городе :( Но я же решил узнать как это сделать у себя в городе и тут обманули. Где хваленое приветствие по моему желанию? Ко мне обратились по имени, а не так как я указал в Приложении.  Вообще расстроился, думал хоть поддержка обратиться и улыбнусь, а  в итоге еще больше разочарование. Пополнение платное, не удобное…</t>
  </si>
  <si>
    <t>Артем Клишин</t>
  </si>
  <si>
    <t>два дня с Monobank в режиме пользователя, а не тестирования, и знаете, что? #карматестировщика сегодня приложение просто</t>
  </si>
  <si>
    <t>По совету друзей завел карту - 4 дня, пока все хорошо. Месяц заканчивается, попробую оплатить коммуналку…</t>
  </si>
  <si>
    <t>Yaroslava Bagriy</t>
  </si>
  <si>
    <t>Артем запрошує вас у monobank! Оформіть картку, перейшовши за персональним посиланням, і ви обидва отримаєте по 50 грн на рахунок кешбека!
https://monobank.com.ua/r/2dZj</t>
  </si>
  <si>
    <t>Artem Tymencev</t>
  </si>
  <si>
    <t>Seir Joe  с 40 до 0)))</t>
  </si>
  <si>
    <t>Evgeny  Mihaylovsky</t>
  </si>
  <si>
    <t>Подтягивайтесь, лучшая карта   monobank! Оформите карту, перейдя по персональной ссылке, и вы оба получите по 50 грн на счет кешбэка! 
https://monobank.com.ua/r/DBtk
#monobank 
#cash 
#cashback 
#money 
#mastercard 
#universal 
#universal_bank</t>
  </si>
  <si>
    <t>Милый Парень</t>
  </si>
  <si>
    <t>Рекомендую. Проверено лично. Кэшбек работает. Возвращайте деньги за покупки! monobank – банк без відділень Ми не несемо</t>
  </si>
  <si>
    <t>согласен</t>
  </si>
  <si>
    <t>Дмитрий Федоренко</t>
  </si>
  <si>
    <t>Oleksandr Shchehlov</t>
  </si>
  <si>
    <t>на сегодня, это лучшее предложение по банковским картам.</t>
  </si>
  <si>
    <t>Инвестиции от $1000 до $10000: 10+1 инструментов. . Инструменты актуальны для Украины, а логика и аналоги для всего СНГ.</t>
  </si>
  <si>
    <t>Инвестиции от $1000 до $10000:
10+1 инструментов.
.
Инструменты актуальны для Украины, а логика и аналоги для всего СНГ. Со ссылками, явками, паролями, но под твою ответственность.
.
Подборка от Кир Горшков.
Написать сообщение автору можно тут
m.me/KirGorshkovOfficial?ref=investpost
.
Кому-то может показаться, что ставки по депозитным вкладам совсем грустные. Особенно по сравнению с криптой. Но если ты до сих пор не понимаешь разницу этих инструментов, дальше не читай. Это может быть опасно.
.
Если ты не понимаешь принципы инвестирования и не обладаешь инвестиционным мышлением, то «не влезай-убьет».
.
Это как при работе с электричеством: обязательна техника безопасности.
.
А теперь давай как есть: да наплевать тебе на эту технику безопасности. Я тебя понимаю, если что.
.
Я помню себя ровно в этом же состоянии, потом я правда потерял на фондовом рынке $42000.
Не много, согласен, но тогда для меня это были большие бабки. Короче, тебе просто нужны инструменты, а дальше ты сам сможешь.
.
Я предполагаю, что это до первого короткого замыкания, но «с тобой же этого не случится».
Короче, инструменты…
.
Классика__________
1. Карты со сложным %
10% в грн, от 100 грн
Например monobank. Дает 10% в грн, но сложным процентом! Если ты не понимаешь, что это такое (или думаешь, что понимаешь, но у тебя нет такого в опыте) - срочно получай практический опыт.
Как использовать: хорошо подходит для накопления инвестиционной суммы.
Т.е. например, ты хочешь вложить $10000, но у тебя их сейчас нет и ты их планируешь накопить.
Копить можно под подушкой, а можно копить на счету с % в моно.
Порог входа - от 100 грн.
.
Как получить: перейти по ссылке, установить приложение и забрать карту.
Если это сделать до конца месяца, то на счет прийдет бонусные 50 грн. Мало, но приятно, когда банк тее же платит за твое время.
https://monobank.com.ua/r/HSqs
.
2. ОВГЗ. Облигации внутреннего государственного займа.
14-15% в грн, 3,5-5% в $, от 100 000 грн.
Простой инструмент. Надежность на уровне надежности государства. Это, конечно та еще «гарантия», но теоретически выше уровня банка, если что.
Доходность в грн 14-15%, в $3,5-5%. Порог входа от 100 000 грн.
Приобрести можно просто через банк.
Основная прелесть в том, что с дохода от ОВГЗ вы не платите НДФЛ (18% на секундочку)
Подробнее тут: https://goo.gl/pBFPzU
.
3. Займ для бизнеса под залог.
14-15% в $, от $1000-10000
Другими словами - вы занимаете деньги малому бизнесу под залог имущества. Интересный инструмент, т.к. такая доходность подкрепляется довольно сильными гарантиями, если этим занимается толковый менеджер.
Даете деньги для бизнеса (например), под залог имущества. Это займ под залог для малого и среднего бизнеса. При этом обязательства обеспечены имуществом. Это адекватный современный займ.
Два важных момента, чтобы снизить риски:
- подбор целевого заемщика,
- подбор имущества для исполнения обязательств.
Как использовать - пишете специалисту, говорите, что от Кира (менеджер пообещал +1% тем, кто по рекомендации).
Писать Евгеній Мирончук, для +1% ссылаться на меня.
.
4. Займ под залог недвижимости.
Аналогично п.3, но дает 10-12% в $, и порог входа выше. Но, инструмент более интересен тем, кто больше полагается на рынок недвижимости.
По подробностям писать Yuriy Prus.
.
Продвинутая классика__________
5. Недвижимость. Нет, не квартиры.
12-20%, от $2000-10000
Ликвидная коммерческая недвижимость, например гараж или место на паркинге.
Очень важно, чтобы гараж был не «на пустыре», а в месте, где на него есть спрос. Особенно ценны гаражи около рынков, т.к. их используют под склад и это дает стабильный жирный спрос.
Подробности: «окей, гугл, где купить гараж, так чтобы сразу на него выстроилась очередь арендаторов?»
http://bfy.tw/HCwl
.
6. МАФ
40% в грн, до 10000
Да, обычный МАФ «в бойком месте». Есть особенность. Обычно городские власти издают «постановление» о том, что в таком-то месте МАФ может быть, а в таком-то нет. Издают его обычно на 5 лет. В идеале нужно, чтобы твой потенциальный МАФ был в законном месте. Ну и понятно, в месте, где есть стабильный жирный спрос, а не на пустыре.
Чтобы самому не заниматься менеджментом объекта, платежной дисциплиной, есть ребята, которые берут такие объекты в управление, например UDS. Сильно снимает геморрой по поиску арендатора + платежной дисциплине.
Подробности: можно написать Sergey Simak
.
7. Малый франшизный бизнес (напр. кофейня).
Доходность и порог входа очень разный может быть.
Можно подобрать вход до $10000 c доходностью 60%. Нужно постараться.
Небольшой понятный бизнес по франшизе, например кофейня в проходном месте.
Если это адекватная франшиза, верное место и толковый операционщик в кофейне
.
(напр. как в Espressoholic на подоле (https://goo.gl/sqxkie), кто не был - рекомендую, место волшебное. Мое любимое комбо - кофе+круассан с миндальным кремом в воскресенье утром, это просто медитация)
.
Подробности: «окей, гугл, где купить франшизу, так чтобы ничего не делать, а деньги сразу рекой полились?»
http://bfy.tw/HCwr
.
Экзотика (казалось бы)__________
8. Коллекционные авто, бухло, монеты.
Редкие автомобили для коллекций, коллекционный алкоголь, коллекционные монеты.
Этот пункт просто больше просто для фантазии, чтобы ты понимал, что можно и так. И что это «экзотика».
Хотя есть интересные моменты для публики. Например, вмнесто вина лучше смотреть на винные сертификаты.
Или, например, вино из ЮАР может взлететь, т.к. там сейчас культура виноделия белокожих фермеров под угрозой. А картины художников растут в цене сразу после их смерти. Тут может быть примерно схожая ситуация. Подробнее знает винный знаток и мой друг Инна Насадюк.
.
Знаю, что она в будущем планирует делать винные туры. Можно совместить приятное с полезным, а точнее винишко с инвестированием.
9. Ценные бумаги на фондовом рынке.
На самом деле это уже давно не экзотика, а реальная реальность. Хотя кажется экзотикой.
До $50000 в год можно инвестировать, например, в акции компаний США. Для этого нужна индивидуальная лицензия НБУ.
Подробности: Lyubomyr Ostapiv написал ряд толковых статей, например,
Как украинцу открыть брокерский счет https://goo.gl/cScnPR
Лицензия НБУ для инвестирования за границу https://goo.gl/qdzbiL
Дикая дич__________
10. Крипта, форекс, МММ, Меркурий и т.п.
Да, это тоже инвестиционные инструменты.
Как и болид Формула-1 - тожа автомобиль. Но тебе же не приходит в голову гонять на нем по городу.
Почему? Ну, как минимум скорость, покрытие дороги нужны специальные. И! Навыки вождения такого болида.
Но почему-то техника безопасности - это то, что нужно только после первой аварии (это если остался жив, заметь).
.
Регулярно вижу глаза и опушенные уголки рта у тех, кто «взял-кредит-вложил-думал-проскочу».
Короче, ты взрослый, сам все решишь.
.
Вопрос от криптооптимистов: туземун возможен? Теоретически да. О криптомышлении писал в январе
https://www.facebook.com/kir.gorshkov/posts/1892767727417316
.
Можно ли инвестить в крипту?
Да, по правилам сверхрискового инвестирования.
.
.
Адекватность__________
11. Итак, еще одна из мысль тебе на подумать:� самый главный твой актив - это ты! Твои навыки, связи, информация, время. Ты можешь прокачивать эти ресурсы. Можешь сам со своей скоростью, можешь с единомышленниками в правильном месте со скоростью ракеты. Выбор за тобой.
.
Как? Напиши сюда - сброшу ссылку
m.me/KirGorshkovOfficial?ref=link
.
С уважением к твоему желанию жить хорошо, Kir Gorshkov
.
П.С.
лучшим способом «сказать спасибо» будет:
1. проинформировать свое ближайшее окружение
2. высказать согласие\несогласие\советы в комментах
3. Если ты думаешь, что я шутил про технику безопасности, то нет, не шутил.
.
(ответ не обещаю, т.к. ценю твое и свое время, но планирую прочитать все пожелания, как хорошие, так и остальные)</t>
  </si>
  <si>
    <t>Антон Я.</t>
  </si>
  <si>
    <t>#monobank #монобанк</t>
  </si>
  <si>
    <t>Nazar</t>
  </si>
  <si>
    <t>Поддерживаю, проверил уже</t>
  </si>
  <si>
    <t>Геннадий Матюхин</t>
  </si>
  <si>
    <t>https://monobank.com.ua/r/uAqk Регистрируйтесь по ссылке и получИте 50 грн на свой счёт кешбэка в монобанке</t>
  </si>
  <si>
    <t>Yevhenii Taran</t>
  </si>
  <si>
    <t>Опасности кешбека И еще в продолжение предыдущего поста о Monobank, спасибо Сергей Нестеренко (Serhii Nesterenko), его</t>
  </si>
  <si>
    <t>Опасности кешбека
И еще в продолжение предыдущего поста о Monobank, спасибо Сергей Нестеренко (Serhii Nesterenko), его комент натолкнул меня на эту мысль.
Монобанк начисляет кешбек за покупки.
Так вот из этого кешбека он удерживает налоги: 18% НДФЛ и 1,5% ВЗ.
По сути это правильно, так как это дополнительное благо.
А раз он эти налоги удерживает, то почти наверняка сдает в налоговую декларацию 1-ДФ, в которой отражает сумму выплаченных доходов и удержанных налогов.
Так вот, если вы госслужащий или ЛЮБОЕ ДРУГОЕ ЛИЦО которое ежегодно сдает декларацию о доходах, согласно закона о коррупции....
НЕ забудьте указать сумму кешбека, полученного от монобанка в этой своей декларации.
Ибо в противном случае, светит вам за это протокол о коррупции (за недостоверные данные), со всеми вытекающими.
И хорошо если вы налоговик или просто умный госслужащий, и перед тем как сдавать декларацию, возьмете справку о доходах.
Ну и увидите суммы кешбека.
А если как многие, то сдадите декларацию, просто на основании справки о доходах с бухгалтерии.
Тут то и придет вам кабздец.
"Налоговик" впрочем совсем не означает ммм.... "умный".
Хотя казалось бы... само место работы какгбы обязывает думать "как система".
Но нет.
Девочка с налоговой ушла в декрет, на 6 лет.
А когда ей стало скучно сидеть дома (годика через четыре), решила не выходить на работу (там плохо и зарплата маленькая), а устроится менеджером на фирму.
На фирму ее взяли, и как-то не заморачиваясь отсутствием трудовой, оформили официально.
Через полгода за девочкой "пришли" - вылетела с работы по закону о коррупции.
И при этом недоумевала "За что? Я ж не работала в налоговой!! Я в декрете была!!!".
Вторая, будучи в декрете, торговала в интернете получая деньги на личную карту.
Последствия были такие же :)
И это только два факт, из длинной вереницы случаев, известны мне на сегодня :) и еще не получивших "огласки", в рамках уголовных или административных производств. ;) :)
Так вот, я собственно о чем.
Если сотрудники налоговой, зачастую не могут увязать, в логическую цепочку, факт выплаты доходов и декларацию :) то другим (тому же завкавфедрой института) и в голову не придет, что кешбек Монобанка нужно отражать в декларации :)
Кстати, Дмитрий Дубилет наверное было бы очень клиентоориентировано :) если бы ваши клиенты, скажем 1 января, получили письмо примерно следующего содержания "За прошлый год мы вам начислили и выплатили Н суму кешбека. Не забудьте отразить ее в вашей декларации, если вы должны ее подавать согласно Законодательства Украины"
Согласны? :) ;)
ЗЫ. Прочитали пост? :)
Жмите кнопку "Поделится", что бы показать его вашим друзьям.
Ну если только вы не хотите их увидеть в суде, в качестве обвиняемых, за неуказанную сумму кешбека, в их декларации :) :) :)</t>
  </si>
  <si>
    <t>Владимир Пономарев</t>
  </si>
  <si>
    <t>Супер стильна картка #monobank  Заходь в профіль, переходь по лінку та отримуй +50грн. на свою картку #vsco #vscocam #igers #igerslviv #igerskyiv #igukraine #lviv #kyiv #dnipro #odessa #kharkiv #uzhgorod #bukovel #slavske</t>
  </si>
  <si>
    <t>Monobank дарує +50грн</t>
  </si>
  <si>
    <t>Я пополнил с ощад и с отп
Не взяло ничего
Значит приват</t>
  </si>
  <si>
    <t>Ну эта тенденция наблюдается во всех поголовно банках
Мне приват лимит в 14 году с 15 до 2х срезал четко в октябре</t>
  </si>
  <si>
    <t>Я пополняла свою карту монобанк с приват, поступило на монобанк 100 грн, сняло с привата 105. Так что это приват берет комиссию</t>
  </si>
  <si>
    <t>Євгенія Колесніченко</t>
  </si>
  <si>
    <t>Моно делает кешбек по приватовским терминалам при пополнении</t>
  </si>
  <si>
    <t>Liga тиснула материал, посвящённый проблеме безопасности финансовых сервисов, в том числе Монобанка. Материал основан на</t>
  </si>
  <si>
    <t>Максим Довбыш</t>
  </si>
  <si>
    <t>Roman Khimich</t>
  </si>
  <si>
    <t>Запрошую вас у monobank! Оформіть картку, перейшовши за персональним посиланням, і ви обидва отримаєте по 50 грн на</t>
  </si>
  <si>
    <t>Друже треба почекати! Я з великим задоволенням запрошу, як почнемо працювати</t>
  </si>
  <si>
    <t>Sergey  Pilkevich</t>
  </si>
  <si>
    <t>Євгенія Колесніченко странно приват обычно просит внести сумму больше на комиссию а тут именно на карту зачислилось меньше</t>
  </si>
  <si>
    <t>Екатерина Пономарева</t>
  </si>
  <si>
    <t>#monobank #bleckcard Моя нова чорна картка з лімітом 25000 гривень, користуватись ним я, звісно ж, не буду, жартую, буду</t>
  </si>
  <si>
    <t>@independent_lika краще закрию ліміт, ну нафіг</t>
  </si>
  <si>
    <t>Павло Бурлака</t>
  </si>
  <si>
    <t>Это комиссия привата)) монобанк не берет</t>
  </si>
  <si>
    <t>Рекомендую. Проверено лично. Кэшбек работает.
Возвращайте деньги за покупки!
monobank – банк без відділень
Ми не несемо витрати на відділення, і тому можемо дати вам найвигідніші умови!
https://monobank.com.ua/r/UFY5</t>
  </si>
  <si>
    <t>Seir Joe значит я была права )</t>
  </si>
  <si>
    <t>Юлия Корд</t>
  </si>
  <si>
    <t>Через терминал приват банка пополнение Карты комиссия 5 грн со 100, так ли без комиссии?;)</t>
  </si>
  <si>
    <t>Прописка думаю</t>
  </si>
  <si>
    <t>О Монобанк продолжение.
И после многочисленных постов Олега Гороховского о том как они там все придумали я таки решил попробовать.
Скажу как есть уже при оформлении все интересно и прикольно. Фоткаешь паспорт и через 5 мин идешь получать.
Приложение для телефона просто кайфовое.
Это из темы Galaxy 9 IPhone 10 И Тесла. Если кто сидел в Тесле он меня поймет.
Это именно эти новые простые и одновременно крутые решения для людей! Это не просто удобно но прикольно оформлено.
Пополнить - пожалуйста везде без комиссии. Снять опять же везде без комиссии. Можно пополнить с другой карты любого банка мне деньги никогда не приходили за 15 секунд!
Думаю благодаря Monobank люди перестанут считать банк учреждением с бетонными стенами и кислыми лицами задолбанных работой сотрудников.
В общем в номинации Банк для Удобства людей РЕКОМЕНДУЮ!</t>
  </si>
  <si>
    <t>Не знаете в чем причина ?)) моим сотрудникам всем сразу по 20к дали )</t>
  </si>
  <si>
    <t>Комітет Підприємців України - КП: "Конференція: Шлях до економічного прогресу України! Дискутировали с Віктор Галасюк</t>
  </si>
  <si>
    <t>Комітет Підприємців України - КП:
"Конференція: Шлях до економічного прогресу України!
Дискутировали с Віктор Галасюк Александр Громыко, Tatiana Korotka, Лина Клебанова (Lina Klebanova)  о либеральной экономике, плюсах и минусах политики протекционизма.
Лина Клебанова:
"Мы безусловно за развитие отечественного производства. Проблема в том, что в феодально-олигархической системе, в которой мы все пребываем, при отсутствии равных возможностей для бизнеса, нормальной судебки и тотальной коррупции, любые традиционные методы протекции от дотаций отдельным направлениям до налоговых льгот и пошлин, превращаются в кран на потоках в чей-то конкретный карман...
Именно поэтому мы выступаем за создание базово приемлемых условий развития для всего бизнеса, за либерализацию, дерегуляцию, снижение налогового бремени, минимизацию контролирующих функций государства.
Не нужно помогать бизнесу. Перестаньте мешать ему работать.
Мы не хотим преференций, но требуем нормальных базовых условий для развития всего бизнеса."
Дмитрий
Конференція: Шлях до економічного прогресу України!
Вторая часть!
Репост!
Подяка за стріми Monobank, Dmitriyev Dmitriy Mikhaylovich, 5375 4141 0005 0599.
Подяка за стріми ПриватБанк, Дмитриев Дмитрий Михайлович, 5168 7456 0147 0328.</t>
  </si>
  <si>
    <t>Бізнес за майбутнє</t>
  </si>
  <si>
    <t>Не всем сразу дают :)
Это ж не приват в 2005 году :)
я думаю после нескольких месяцев пользования дадут :)</t>
  </si>
  <si>
    <t>Ти б краще на каву запросив би</t>
  </si>
  <si>
    <t>Василь Хомюк</t>
  </si>
  <si>
    <t>Что-то мне монобанк решил не давать кредитный лимит ) все хорошо, если бы не этот огромный минус</t>
  </si>
  <si>
    <t>подключайся  в МоноБанк. дать ссылку? :)</t>
  </si>
  <si>
    <t>Dmitry Taran</t>
  </si>
  <si>
    <t>Хочу про монобанк)</t>
  </si>
  <si>
    <t>@monobank.com.ua перший онлайн банк в Україні тепер зімною) #монобанк #cherkassy_life #cherassy_insta #cherkassy_rest_</t>
  </si>
  <si>
    <t>Ми вам вдячні за те, що ви з нами ;)</t>
  </si>
  <si>
    <t>Маша Олійник</t>
  </si>
  <si>
    <t>Отлично ещё и кешбек)</t>
  </si>
  <si>
    <t>Svetochka Sovit</t>
  </si>
  <si>
    <t>monobank – банк без відділень
Ми не несемо витрати на відділення, і тому можемо дати вам найвигідніші умови!
https://monobank.com.ua/r/9E18</t>
  </si>
  <si>
    <t>Гей истории расказы</t>
  </si>
  <si>
    <t>Павло Мимриков</t>
  </si>
  <si>
    <t>монобанк вроде тоже входит в тигипковский тас групп</t>
  </si>
  <si>
    <t>Екатерина Саблина</t>
  </si>
  <si>
    <t>Переходи на монобанк, нет отделений нет проблемы очериди.</t>
  </si>
  <si>
    <t>Игорь Кирушко</t>
  </si>
  <si>
    <t>monobank тролят))</t>
  </si>
  <si>
    <t>Oleh Misko</t>
  </si>
  <si>
    <t>Вторыми. В Монобанк уже такая возможность есть.</t>
  </si>
  <si>
    <t>Ярослав Володимирович</t>
  </si>
  <si>
    <t>Пользуйтесь услугами monobank. Всё прозрачно, удобно и надёжно. Поддержка на высоте. Есть кэшбек.</t>
  </si>
  <si>
    <t>19:15</t>
  </si>
  <si>
    <t>https://monobank.com.ua/r/uAqk</t>
  </si>
  <si>
    <t>Олег Олег запрошує вас у monobank! Оформіть картку, перейшовши за персональним посиланням, і ви обидва отримаєте по 50</t>
  </si>
  <si>
    <t>Олег
Олег запрошує вас у monobank! Оформіть картку, перейшовши за персональним посиланням, і ви обидва отримаєте по 50 грн на рахунок кешбека!
https://monobank.com.ua/r/fUFn
Monobank - це український аналог PerfectMoney, ADV-cash і т.д.
Його організували бувші айтішніки Привата з Дніпра, які покинули його після націоналізації.
https://monobank.com.ua/r/fUFn</t>
  </si>
  <si>
    <t>Олег Кошевой</t>
  </si>
  <si>
    <t>Олег запрошує вас у monobank! Оформіть картку, перейшовши за персональним посиланням, і ви обидва отримаєте по 50 грн на</t>
  </si>
  <si>
    <t>Олег запрошує вас у monobank! Оформіть картку, перейшовши за персональним посиланням, і ви обидва отримаєте по 50 грн на рахунок кешбека!
https://monobank.com.ua/r/fUFn
Monobank - це український аналог PerfectMoney, ADV-cash і т.д.
Його організували бувші айтішніки Привата з Дніпра, які покинули його після націоналізації.
f6mq8.app.goo.gl
https://monobank.com.ua/r/fUFn</t>
  </si>
  <si>
    <t>Спасибо. Это не была плохая работа сотрудников - они мне помогали, как могли. Но технические решения в вашем банке оставляют желать лучшего с точки зрения пользовательского опыта</t>
  </si>
  <si>
    <t>Sticker for #monobank</t>
  </si>
  <si>
    <t>ТАРАСА ПРООПЕРОВАНО Друзі, Тарасу зробили операцію з видалення злоякісної пухлини шлунку. Процедура буда дуже складною,</t>
  </si>
  <si>
    <t>ТАРАСА ПРООПЕРОВАНО
Друзі, Тарасу зробили операцію з видалення злоякісної пухлини шлунку. Процедура буда дуже складною, тривала 8(!) годин. Тарік, ти дуже сильний! 
Новини про його стан будуть завтра. Допомогти Тарасу одужати:
• ПриватБанк
4149 6258 1157 4829 — Марина Білоног
• Монобанк
5375 4141 0058 4423 — Марина Білоног
Дякуємо ❤️
 #ДопоможемоТарасуОдужати</t>
  </si>
  <si>
    <t>Анна Свитка</t>
  </si>
  <si>
    <t>Друзi, реєcтруйтесь! Запрошую вас у monobank! Оформіть картку, перейшовши за персональним посиланням, і ви отримаєте по 50 грн на рахунок кешбека!
https://monobank.com.ua/r/RnEp</t>
  </si>
  <si>
    <t>Дмитрий Шелест</t>
  </si>
  <si>
    <t>Запрошую вас у monobank, перший банк без відділень! Через те, що він не витрачає кошти на утримання відділень, він</t>
  </si>
  <si>
    <t>Запрошую вас у monobank, перший банк без відділень! Через те, що він не витрачає кошти на утримання відділень, він пропонує вам найменшу ставку по кредиту - 3,2% на місяць, а також розстрочку із ставкою 1,9% на місяць та багато іншого! Перейшовши за персональним посиланням,  ми обидва отримаємо по 50 грн на рахунок кешбека!
Користуюсь сам, і вам раджу!
https://monobank.com.ua/r/PA8C</t>
  </si>
  <si>
    <t>Maks Mysan</t>
  </si>
  <si>
    <t>О  Привате!
Предыстория.
После того как мой (уже В прошлом) favorite Приват заблокировал мне карту на неделю после пополнения ее третим лицом на 300 грн с объяснением "служба безопасности разбирается с поступившим платежом". Я,говорю блокируйте сумму почему весь остаток? Реакция как у кирпичной стены.
Я спросил у многих людей подолгу живших в разных странах видано но ли такое чудо общения с клиентами ? В ответ удивление на границе с ох@ением.
Каждый сегодня пользуется банком хотя бы раз в,2 днЯ  - телефон интернет предоплату за покупку и многое другое.
Поэтому перешел я на пользование Ощад24/7 и ОТП смарт. Ну с Отп прогнозируемо четко хоть немного замороченно. Но "Уровень 21 века" . В выходной день средства не перечисляются - банк отдыхает и деньги тоже, Европейский  же банк :)
И мое Вам искреннее удивление что Ощад уже как бы не тот Ощад как все привыкли за предыдущие годы. Все быстро, интуитивно понятно и комиссии минимальные. СМС с паролем приходит мах 10 сек. У привата часто доходило до звонков после минутного ожидания. Современная прога и удобство пользования!
Но когда я своим контрагентами сообщил о блокировке карты услышал десятки подобных.историй. Оказывается "Нормальная практика" для банка блокировать остаток на карте на неделю минимум.
В общем мой Вам совет хотите пользоваться спокойно Своими денежными средствами храните их НЕ в ПриватБанке!
Или как говорил герой Куравлёва
ХРАНИТЕ ДЕНЬГИ В СБЕРЕГАТЕЛЬНОЙ КАССЕ!
Дальше про Монобанк</t>
  </si>
  <si>
    <t>Читаю книгу о больших данных “Все лгут” (кстати, рекомендую). Она вдохновила меня на то, чтобы поиграться с Google</t>
  </si>
  <si>
    <t>Интересно как вы, зная о том, что в интернете всё везде фиксируется можете спокойно запустить в народ приложение монобанк, которое с первой минуты запрашивает пользователя о строго конфиденциальных данных?</t>
  </si>
  <si>
    <t>Георгий Кот</t>
  </si>
  <si>
    <t>Плюсую к Монобанку</t>
  </si>
  <si>
    <t>Sergey  Polyakov</t>
  </si>
  <si>
    <t>Рекомендую , очень шустрое приложение, очень много бесплатных сервисов, нет комиссий на пополнение мобильных, перевод</t>
  </si>
  <si>
    <t>https://monobank.com.ua/r/jTpg
Рекомендую , очень шустрое приложение, очень много бесплатных сервисов, нет комиссий на пополнение мобильных, перевод на карту любого банка Украины, и многое другое</t>
  </si>
  <si>
    <t>Vyacheslav  Stulen</t>
  </si>
  <si>
    <t>Наталія Вервека</t>
  </si>
  <si>
    <t>Так, давай прорекламируем тебя и посмотрим нормально, что ты там написал.</t>
  </si>
  <si>
    <t>Anton  Kudinov</t>
  </si>
  <si>
    <t>18:14</t>
  </si>
  <si>
    <t>Попробуй монобанк. Посещать отделения не нужно, приложение удобное, пополнение карты - без комиссии, оплата всех сервисов, кэшбэк</t>
  </si>
  <si>
    <t>Леонід Войтенко</t>
  </si>
  <si>
    <t>И еще в продолжение предыдущего поста о Monobank, спасибо Сергей Нестеренко (Serhii Nesterenko), его комент натолкнул меня на эту мысль.
Монобанк начисляет кешбек за покупки.
Так вот из этого кешбека он удерживает налоги: 18% НДФЛ и 1,5% ВЗ.
По сути это правильно, так как это дополнительное благо.
А раз он эти налоги удерживает, то почти наверняка сдает в налоговую декларацию 1-ДФ, в которой отражает сумму выплаченных доходов и удержанных налогов.
Так вот, если вы госслужащий или ЛЮБОЕ ДРУГОЕ ЛИЦО которое ежегодно сдает декларацию о доходах, согласно закона о коррупции....
НЕ забудьте указать сумму кешбека, полученного от монобанка в этой своей декларации.
Ибо в противном случае, светит вам за это протокол о коррупции (за недостоверные данные), со всеми вытекающими.
И хорошо если вы налоговик или просто умный госслужащий, и перед тем как сдавать декларацию, возьмете справку о доходах.
Ну и увидите суммы кешбека.
А если как многие, то сдадите декларацию, просто на основании справки о доходах с бухгалтерии.
Тут то и придет вам кабздец.
"Налоговик" впрочем совсем не означает ммм.... "умный".
Хотя казалось бы... само место работы какгбы обязывает думать "как система".
Но нет.
Девочка с налоговой ушла в декрет, на 6 лет.
А когда ей стало скучно сидеть дома (годика через четыре), решила не выходить на работу (там плохо и зарплата маленькая), а устроится менеджером на фирму.
На фирму ее взяли, и как-то не заморачиваясь отсутствием трудовой, оформили официально.
Через полгода за девочкой "пришли" - вылетела с работы по закону о коррупции.
И при этом недоумевала "За что? Я ж не работала в налоговой!! Я в декрете была!!!".
Вторая, будучи в декрете, торговала в интернете получая деньги на личную карту.
Последствия были такие же :)
И это только два факт, из длинной вереницы случаев, известны мне на сегодня :) и еще не получивших "огласки", в рамках уголовных или административных производств. ;) :)
Так вот, я собственно о чем.
Если сотрудники налоговой, зачастую не могут увязать, в логическую цепочку, факт выплаты доходов и декларацию :) то другим (тому же завкавфедрой института) и в голову не придет, что кешбек Монобанка нужно отражать в декларации :)
Кстати, Дмитрий Дубилет наверное было бы очень клиентоориентировано :) если бы ваши клиенты, скажем 1 января, получили письмо примерно следующего содержания "За прошлый год мы вам начислили и выплатили Н суму кешбека. Не забудьте отразить ее в вашей декларации, если вы должны ее подавать согласно Законодательства Украины"
Согласны? :) ;)
ЗЫ. Прочитали пост? :)
Жмите кнопку "Поделится", что бы показать его вашим друзьям.
Ну если только вы не хотите их увидеть в суде, в качестве обвиняемых, за неуказанную сумму кешбека, в их декларации :) :) :)</t>
  </si>
  <si>
    <t>Алексей Копанев</t>
  </si>
  <si>
    <t>Weblancer.net</t>
  </si>
  <si>
    <t>Действительно ли у Monobank бесплатное пополнение карты?
Сегодня я решил с этим разобраться.
И так, основной заманухой, для открытия карты Монобанка, лично для меня, стала информация о бесплатном пополнении их карты.
Об этом, правда достаточно коротко, написано на их сайте (скрин 1).
Ок, открываю их карту (достаточно просто все) и читаю информацию в буклете, который вложен в конверт с картой (скрин 2).
Обратите внимание как все написано.
Сразу идет инфа о пополнении карты БЕЗ комиссии и указано, что комиссия не взимается  если пополнять с карты другого банка через приложение Монобанка.
Дальше идет информация о том, что карту также можно пополнить через интернет-банкинг другого банка и скобочках стоит примечание, что в таком случае может быть комиссия другого банка.
Лично у меня, в результате такой подачи информации, сложилось впечатление, что при пополнении карты Монобанка, с карты другого банка, через приложение Монобанка, другой банк - КОМИССИЮ НЕ ВЗИМАЕТ.
Ведь в первом пункте нет в скобках примечания, аналогичного примечанию второго пункта. :) ;)
Ок.
Иду в приложение с целью пополнить карту Монобанка с карты ПриватБанк :)
Упс!
Вот оно!
Именно то что я и предполагал!
Только сейчас, в момент пополнения клиенту серым мелким шрифтом сообщается, что другой банк таки может взимать комиссию за такое пополнение :) :) :) (скрин 3)
Дочитались - молодцы.
Пропустили и не обратили внимание, ну кто ж вам доктор.
Ладно, идем до конца.
Нужно же выяснить какую там комиссию с меня возьмет ПриватБанк. :)
Кидаю на карту Монобанка 2375 грн и захожу в "Приват 24".
А вот и комиссия - 11,88 грн или 0,5% (скрин 4).
И 0,5% это еще ничего :)
Потому что если вы захотите отправить на карту Монобанка небольшую сумму, например, 100 грн то в таком случае комиссия составит 5,00 грн (скрин 5).
Осталось разобраться, какая будет комиссия если просто перевести деньги, на карту Монобанка, через интернет-банкинг другого банка.
Пытаюсь отправить деньги с карты ПриватБанка 1000 грн.
Замечательно, комиссия составляет овердохрена 34,44 грн или как вы сами видите 3,44% (скрин 6).
И так мои личные выводы*
Если вы думаете открыть карту Монобанка, что бы сэкономить на снятии наличности то, на мой личный взгляд, смысла в этом нет.
Учитывая, что комиссия по снятию наличности по карте Монобанка составляет 0,5%, вы в итоге заплатите все тот же 1%, если бы вы просто снимали деньги с карты ПриватБанка.
Аналогично не получится сэкономить получая деньги на карту Монобанка от других людей.
Точнее сэкономить получится у вас, но вот другим, кто отправит вам деньги, это обойдет не дешево, что вряд ли их обрадует :) :) :)
Пока все.
Изучение Монобанка продолжается :) о результатах обязательно проинформирую.
PS. Дмитрий Дубилет я думаю было бы правильным, если бы вы, не только в приложении, но и в рекламе и в буклете, в той части где идет речь о "бесплатном" пополнении, указывали  (в скобах), что при таком, якобы бесплатном, пополнении другие банки могут взимать комиссию.
А "бесплатным" оно "считается", вами, только потому, что сам Монобанк комиссию не взимает. :)
Согласны? :) ;)
* - выводы сделаны на основании опыта использования дебетовой карты (не зарплатной) ПриватБанка (голд) "в паре" с картой Монобанка. Если у вас карта другого банка (или другая карта Приватбанка), результаты и последствия (в виде комиссий), могут отличатся от вышеописанных.</t>
  </si>
  <si>
    <t>Уважаемые фрилансеры! 
Объявляем акцию - встречай весну вместе с monobank и Weblancer. 
Все участники Weblancer, которые откроют карту monobank в период с 01.04.2018 - 31.05.2018 примут участие в розыгрыше подарков от monobank и Masterсard.
Вас ждут: 
Рюкзаки - 5шт
PowerBank - 5шт
Термочашки - 5шт
Футболки - 5шт
Ссылка для регистрации в акции находится на форуме ресурса Weblancer.net, тема «Встречай весну вместе с monobank и Weblancer», а также в наших группах соц.сетей:
Facebook
VK
Google +
Twitter
#Подарки #Фотография #Вакансия #Проект #Работа #Заказ #Freelancer #Freelance #Фрилансер #Фриланс #Веблансер #Удаленнаяработа #Работанадому #Бизнес #Заработок #Дизайн #Дизайнер #Рисунок #Иллюстрация #Логотип #PHP #Баннер #СЕО #SEO #Соц.сети #Игры #HTML #Сайт #Верстка</t>
  </si>
  <si>
    <t>17:37</t>
  </si>
  <si>
    <t>Weblancer</t>
  </si>
  <si>
    <t>17:35</t>
  </si>
  <si>
    <t>Сергій приглашает вас в monobank! Оформите карту, перейдя по персональной ссылке, и вы оба получите по 50 грн на счет кешбэка!
https://monobank.com.ua/r/YE3Q
monobank – банк без відділень</t>
  </si>
  <si>
    <t>Сергей Саликов</t>
  </si>
  <si>
    <t>Сергій приглашает вас в monobank! Оформите карту, перейдя по персональной ссылке, и вы оба получите по 50 грн на счет кешбэка!
https://monobank.com.ua/r/YE3Q</t>
  </si>
  <si>
    <t>цим великий їх +</t>
  </si>
  <si>
    <t>Illia Golovatskyi напевно не справляються з кількістю запитів. Хоча все у них автоматизовано))</t>
  </si>
  <si>
    <t>Іринка Онищенко пнув їх у вайбері, то відразу прийшла смс "забирайте картку"...</t>
  </si>
  <si>
    <t>Illia Golovatskyi</t>
  </si>
  <si>
    <t>@pavloburlaka1996 Паш, я читала договір цього банку))</t>
  </si>
  <si>
    <t>Анжелика</t>
  </si>
  <si>
    <t>Получите самую выгодную карту с кредитным лимитом до 100 000 грн.
◉ Льготный период —  До 62 дней
◉ Процентная ставка — 3,2%
◉ Снятие наличных — 0,5%  собственные средства , 4%  кредитные средства
◉ Пополнение — Бесплатно
◉ Процент на остаток — 10% годовых
◉ Кешбэк — До 20%.
Приглашаю вас в monobank! Оформите карту, перейдя по персональной ссылке, и вы получите 50 грн на счет !
https://monobank.com.ua/r/uQby</t>
  </si>
  <si>
    <t>Олександр Литвиненко</t>
  </si>
  <si>
    <t>Ярослав Пипол, дорогой, пехота из 53й бригады просит о помощи. Им вкрай необходимы два вот таких глушака на ПКМ</t>
  </si>
  <si>
    <t>Ярослав
Пипол, дорогой, пехота из 53й бригады просит о помощи. Им вкрай необходимы два вот таких глушака на ПКМ http://barton.com.ua/glushiteli/glush-svd-ak-pkm.html
Стоимость одного - 1925 грн. Итого дефицит по потребности - 3850 грн.
Кому шо не жалко на оккупанторезку для наших защитников, битте. Дід Панас ты же тоже 53й помогаешь? Может быть, тоже подключишься?
5375414100505386 - карта монобанка (с привата заходит на Matiushyn Yaroslav).
4790 7010 0214 9655 -  карта ощадбанка
По вопросам денежных переводов из-за рубежа обращаться в личку.
Дякую!
Купить Глушитель для АКМ, АК74, СВД, ПКМ - легкий, недорогой глушитель - доставка по Украине
http://barton.com.ua/glushiteli/glush-svd-ak-pkm.html</t>
  </si>
  <si>
    <t>Alex Babich</t>
  </si>
  <si>
    <t>17:15</t>
  </si>
  <si>
    <t>Іринка Онищенко Тоді я знайшов баг :) треба їм дзвонити мабудь..</t>
  </si>
  <si>
    <t>Illia Golovatskyi дуже дивно, інеціалізацію пройшла за 5хв. Карта була в мене на руках на наступний день. В прогі збоїв не має (ОС Андроїд)</t>
  </si>
  <si>
    <t>Просто супер все просто и доступно☺</t>
  </si>
  <si>
    <t>Сергей Харчук</t>
  </si>
  <si>
    <t>ну наверное первым повезло. А у меня уже почти месяц "документи перевіряються"</t>
  </si>
  <si>
    <t>Все гуд)) вже 4 міс юзаю і тільки позитивні відгуки і враження</t>
  </si>
  <si>
    <t>Весну уже никто и не ждёт, зато лето точно будет огонь, ребята из Vibronica Festival как всегда сделают всё возможное</t>
  </si>
  <si>
    <t>Весну уже никто и не ждёт, зато лето точно будет огонь, ребята из Vibronica Festival как всегда сделают всё возможное 
Дорогие друзья, мы активно работаем над наполнением фестиваля и уже в ближайшее время будет новость о лайнапе :)
Хотим напомнить, что сегодня и завтра - последние дни, когда можно приобрести билет по цене 800 грн.
Оплата на карту Monobank: 5375 4141 0099 0299 (Томина Катерина). После оплаты - заполняем форму (http://bit.ly/2oGPKzP), вносим информацию об оплате.
И еще хотим напомнить о разных возможностях участия на фестивале. Подавайте заявки, заполняйте анкеты :)
Для волонтерства - http://bit.ly/2FRNvBj
 Для участия как театр/танцовщик/фаерщик/и другие виды перформансов - http://bit.ly/2Fk8QoV
 Для участия как музыкальный проект - http://bit.ly/2H1NKci
‍♂ Для проведения мастер/класса или лекции - http://bit.ly/2oOBX9L
 Для участия магазина на ярмарке - https://bit.ly/2utvAyP
И делимся фото-воспоминаниями с нашего последнего события Vibronica | Voodoo Love. Индор формат нам очень понравился, следите за новостями, будет еще 
One love &lt;3
Vibronica team
#vibronica #vibronicafestival #kyiv #ukraine #openair</t>
  </si>
  <si>
    <t>Anastasiya Kistenyova</t>
  </si>
  <si>
    <t>мне до сих пор(3 неделя) ответ не дали.</t>
  </si>
  <si>
    <t>Хто оформлював карту в
Монобанку?
Все гуд? Надійний банк?</t>
  </si>
  <si>
    <t>#вакансія@plt.rabota_arenda Пропоную роботу агентом Монобанку зарплата 2000 в тиждень може буди і більше залежить все від</t>
  </si>
  <si>
    <t>Буди</t>
  </si>
  <si>
    <t>Vlad Zhabotynskyi</t>
  </si>
  <si>
    <t>Работа &amp; Жильё | Полтава</t>
  </si>
  <si>
    <t>Т.е. в таких случаях человек еще и обязан знать всех, кто является его налоговым агентом? Кстати, вот в Привате есть такая штука "копилка". Она как-то сама по себе заводится с зарплатной картой, и по умолчанию туда какая-то мелочь зачисляется типа округление сдачи. По сути это депозит, на который начисляются проценты, с которых удерживается налог, но про его существование можно и не догадываться.</t>
  </si>
  <si>
    <t>Nikolay  Dordienko</t>
  </si>
  <si>
    <t>Пипол, дорогой, пехота из 53й бригады просит о помощи. Им вкрай необходимы два вот таких глушака на ПКМ Стоимость</t>
  </si>
  <si>
    <t>Пипол, дорогой, пехота из 53й бригады просит о помощи. Им вкрай необходимы два вот таких глушака на ПКМ http://barton.com.ua/glushiteli/glush-svd-ak-pkm.html
Стоимость одного - 1925 грн. Итого дефицит по потребности - 3850 грн.
Кому шо не жалко на оккупанторезку для наших защитников, битте. Дід Панас ты же тоже 53й помогаешь? Может быть, тоже подключишься?
5375414100505386 - карта монобанка (с привата заходит на Matiushyn Yaroslav).
4790 7010 0214 9655 -  карта ощадбанка
По вопросам денежных переводов из-за рубежа обращаться в личку.
Дякую!
Купить Глушитель для АКМ, АК74, ПКМ - доставка по Украине
Купить Глушитель для АКМ, АК74, СВД, ПКМ - легкий, недорогой глушитель - доставка по Украине
http://barton.com.ua/glushiteli/glush-svd-ak-pkm.html</t>
  </si>
  <si>
    <t>И нет, это не реклама! Я прям сильно довольна тем, как быстро я получила свою карту! Теперь главное чтобы было что на неё класть #monobank</t>
  </si>
  <si>
    <t>natalychyrkova</t>
  </si>
  <si>
    <t>Зарегайтесь , кому не сложно Оформіть картку, перейшовши за персональним посиланням, і ви обидва отримаєте по 50 грн на рахунок кешбека!
https://monobank.com.ua/r/fGnz</t>
  </si>
  <si>
    <t>Irar 14_88</t>
  </si>
  <si>
    <t>contr.cultura.chat♠️</t>
  </si>
  <si>
    <t>Пацаны , зарегайтесь кому не сложно Оформіть картку, перейшовши за персональним посиланням, і ви обидва отримаєте по 50 грн на рахунок кешбека!
https://monobank.com.ua/r/fGnz</t>
  </si>
  <si>
    <t>ua_ultras</t>
  </si>
  <si>
    <t>Nataliya Chystyukhina</t>
  </si>
  <si>
    <t>РЕДКОЛЕГІЯ: Оборона ZIK, що не так з Савченком та чиє НАЗК?
Говоримо про кулуарну політику, приховані смисли та те, що пишуть між рядків! Щоп’ятниці о 19:00 у прямому ефірі на UMN.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переказів: +380963302229
Підпишись на нас у соціальних мережах:
Facebook: https://www.facebook.com/UkrMediaNetwork
Twitter: https://twitter.com/UkrMediaNetwork
Telegram: https://t.me/SkrypinUA
Слухай подкасти в iTunes:
UMN  ➡️ https://goo.gl/LUUodu
skrypin.ua ➡️ https://goo.gl/mvGUgk
Danylo Yanevsky  ➡️ https://goo.gl/1QTWGU
Skype для дзвінків у студію: hello@skrypin.ua / Етер Ether
www.umn.com.ua</t>
  </si>
  <si>
    <t>О monobank!
Предыстория.
После того как мой (уже В прошлом) favorite Приват заблокировал мне карту на неделю после пополнения ее третим лицом на 300 грн с объяснением "служба безопасности разбирается с поступившим платежом". Я,говорю блокируйте сумму почему весь остаток? Реакция как у кирпичной стены.
Я спросил у многих людей подолгу живших в разных странах видано но ли такое чудо общения с клиентами ? В ответ удивление на границе с ох@ением.
Поэтому перешел я на пользование Ощад24/7 и ОТП смарт. Ну с Отп прогнозируемо четко хоть немного замороченно. Но Уровень 21 века.
И мое Вам искреннее удивление что Ощад уже как бы не тот Ощад. Все быстро, интуитивно понятно и комиссии минимальные. СМС с паролем приходит мах 10 сек. У привата часто доходило до звонков после минутного ожидания. Современная прога и удобство пользования!
Но когда я своим контрагентами сообщил о блокировке карты услышал десяток подобных.историй. Оказывается "Нормальная практика" для банка блокировать остаток на карте на неделю минимум.
В общем мой Вам совет хотите пользоваться спокойно Своими денежными средствами храните их НЕ в ПриватБанке!</t>
  </si>
  <si>
    <t>Друзья, SOS!!!У нас новости, хорошие или плохие, сказать однозначно нельзя. Нашему малышу отменили лучевую терапию. Так</t>
  </si>
  <si>
    <t>Друзья, SOS!!!У нас новости, хорошие или плохие, сказать однозначно нельзя.
Нашему малышу отменили лучевую терапию.
Так как Костя проходил эту процедуру два года назад в большой дозе 18 Грей, а в Италии при пересадке костного мозга облучение обязательно.
Это радиация и большой риск для маленького Костика. В данной ситуации эта процедура может больше навредить, чем помочь.
Врачи решили заменить облучение люмбальными пункциями с видением химии.
Так как Костику не проводят лучевую терапию, пересадку нужно делать раньше чем планировали.
На сегодняшний день реальность такова - через три месяца Костя должен быть в Турине, соответственно сумма 130 000 € должна быть на счету клиники.
Я даже не буду говорить как себя чувствуем мы после такой новости, это словами не передать. Мы надеялись, что у нас в запасе 6 месяцев, ну никак не три. 
Просим всех !!! ПОЖАЛУЙСТА помогите! Ситуация серьёзная, за три месяца нам нужно собрать эту огромную сумму для нашего Костика !!!
monobank: 5375414100658151 
пополнение во всех терминалах приват банка и ibox без комиссии (даже если выводит что с комиссией)
Приват Банка: 5168755111178048
Заиченко Иван Сергеевич
Тел:0953530745
Для переводов из России на карту Сбербанк : 4276380177214827 получатель Бубырь Денис (указывать наименование платежа)</t>
  </si>
  <si>
    <t>16:28</t>
  </si>
  <si>
    <t> Добрый день!    Как же мне хочется написать вам, что у нас все хорошо, что мы дома, что все, что мы</t>
  </si>
  <si>
    <t> Добрый день!      
Как же мне хочется написать вам, что у нас все хорошо, что мы дома, что все, что мы прошли, уже все позади... Но это не так.
Каждую ночь засыпая и каждое утро просыпаясь, я спрашиваю себя лишь об одном, что сегодня я могу сделать, что б мой Костя был здоров?
      Я молюсь об этом каждый день, прошу Господа, что б он дал мне силы все это пройти, прошу, что б он исцелил моего сыночка, мою надежду, мою радость. Понимаю, что это испытание моей веры, понимаю, что все в его руках, но иногда, когда приходит сознание, что волшебной таблетки не существует, я понимаю, что я боюсь. Всему виной время, которое не стоит на месте. 
Сейчас оно играет против нас...
Мы каждый день стучимся во все двери, в надежде, что их откроют, что те кто может нам помочь, помогут, что они поймут, что жизнь нашего ребенка это весь мир для нас!!! Мы столько всего прошли и не сдаемся, столько всего ещё впереди, но мы пройдем, мы будем жить. Вернёмся домой, Костя наконец-то узнает, что такое настоящее детство, без закрытой больничной палаты, без капельниц, болючих процедур, он забудет слова: катетор, периферичка, таблетки... Он забудет, что ему все нельзя. Он вернеться и будет гонять на велосипеде с Максимкой, будет сбивать коленки, будет болеть как все дети обычной простудой, это все будет, мы верим. 
Но сейчас, пока что это все такое далекое... За все эти годы наша семья собрала все силы: физические, моральные, финансовые, чтоб спасти Костю, но в этот раз, нам не обойтись без вас, нам просто не собрать эту сумму своими усилиями. Понимаю, что таких просьб сейчас миллионы, понимаю, что для многих мой сыночек, это всего лишь ещё один ребёнок, которому нужна помощь. Но прошу вас, помогите нам его спасти, подарите надежду, подарите ему жизнь.
monobank: 5375414100658151 
пополнение во всех терминалах приват банка и ibox без комиссии (даже если выводит что с комиссией)
Приват Банка: 5168755111178048
Заиченко Иван Сергеевич
Тел:0953530745
Для переводов из России на карту Сбербанк : 4276380177214827 получатель Бубырь Денис (указывать наименование платежа)</t>
  </si>
  <si>
    <t>Сегодня для себя открыл прикольный интернет банкинг в параллель или даже на замену Privat24 
В первую очередь меня купило оформление в стиле минимализма как самой карты, так и приложения.
Мне понравилось:
Карта полностью бесплатная, пополнение мобильной связи, оплата коммунальных счетов, интернета, переводы и многое другое тоже без комиссий.
Наличие постоянного кешбэка 2-20%. В магазинах, кафе, даже на АЗС )) Карта с чипом и технологией бесконтактных платежей PayPass, - удобно, ведь тот же приватбанк за все эти услуги берет деньги(хоть и небольшие), но дело даже не в них, — нужно иметь немалое терпение и время, чтоб отстоять в нем очередь ‍♂️...
Короче мне понравилось, и ещё прикольные наклеечки внутри   )) Кому интересно
https://monobank.com.ua/r/f6Rc
#monobank #privat24 #интернетбанкинг</t>
  </si>
  <si>
    <t>Андрей Николаевич</t>
  </si>
  <si>
    <t>Владимир Бердинский</t>
  </si>
  <si>
    <t>16:10</t>
  </si>
  <si>
    <t>Вот результат сотрудничества Монобанк + Я+ LR H&amp;B ! #аннафедоренко #пассивныйдоход #antiageмарафон #antiage #lr #lrworld</t>
  </si>
  <si>
    <t>За покупку определенных видов товаров и услуг</t>
  </si>
  <si>
    <t>Юлия Толстоногова</t>
  </si>
  <si>
    <t>Анна Федоренко</t>
  </si>
  <si>
    <t>Natalia Gladka</t>
  </si>
  <si>
    <t>Светлана, пишіть в лс розповім</t>
  </si>
  <si>
    <t>Сергій Пічка</t>
  </si>
  <si>
    <t>Ух ты! Интересно</t>
  </si>
  <si>
    <t>Olesya  Frolowa</t>
  </si>
  <si>
    <t>Конференція: Шлях до економічного прогресу України! Дискутировали с Віктор Галасюк Александр Громыко, Tatiana Korotka</t>
  </si>
  <si>
    <t>Конференція: Шлях до економічного прогресу України!
Дискутировали с Віктор Галасюк  Александр Громыко, Tatiana Korotka Лина Клебанова (Lina Klebanova) о либеральной экономике, плюсах и минусах политики протекционизма.
Лина Клебанова:
"Мы безусловно за развитие отечественного производства. Проблема в том, что в феодально-олигархической системе, в которой мы все пребываем, при отсутствии равных возможностей для бизнеса, нормальной судебки и тотальной коррупции, любые традиционные методы протекции от дотаций отдельным направлениям до налоговых льгот и пошлин, превращаются в кран на потоках в чей-то конкретный карман...
Именно поэтому мы выступаем за создание базово приемлемых условий развития для всего бизнеса, за либерализацию, дерегуляцию, снижение налогового бремени, минимизацию контролирующих функций государства.
Не нужно помогать бизнесу. Перестаньте мешать ему работать.
Мы не хотим преференций, но требуем равных условий для всего бизнеса."
Дмитрий
Конференція: Шлях до економічного прогресу України!
Вторая часть!
Репост!
Подяка за стріми Monobank, Dmitriyev Dmitriy Mikhaylovich, 5375 4141 0005 0599.
Подяка за стріми ПриватБанк, Дмитриев Дмитрий Михайлович, 5168 7456 0147 0328.</t>
  </si>
  <si>
    <t>Комітет Підприємців України - КП</t>
  </si>
  <si>
    <t>Кешбек  вид банку - за что начисляют?</t>
  </si>
  <si>
    <t>Сергей Петров</t>
  </si>
  <si>
    <t>Оля, пишіть в лс розповім</t>
  </si>
  <si>
    <t>15:54</t>
  </si>
  <si>
    <t>Запрошую вас у monobank! Оформіть картку, перейшовши за персональним посиланням, і ви обидва отримаєте по 50 грн на рахунок кешбека!
https://monobank.com.ua/r/N7Gz</t>
  </si>
  <si>
    <t>Віталій, пишіть в лс розповім</t>
  </si>
  <si>
    <t>Рома, пишіть в лс розповім</t>
  </si>
  <si>
    <t>Добрый день, Вячеслав! Вы можете в личные сообщения Ukrsibbank BNP Paribas Group описать ситуацию, которая произошла, и мы проверим и поможем в ней разобраться.</t>
  </si>
  <si>
    <t>Ukrsib Bank</t>
  </si>
  <si>
    <t>Кристина, пишіть в лс розповім</t>
  </si>
  <si>
    <t>ЗАРАБОТОК В ИНТЕРНЕТ — LIFE TRENER ЗАРАБОТОК В ИНТЕРНЕТ Финансы  Открывать ли карту monobank и как её использовать?</t>
  </si>
  <si>
    <t>ЗАРАБОТОК В ИНТЕРНЕТ — LIFE TRENER
ЗАРАБОТОК В ИНТЕРНЕТ Финансы  Открывать ли карту monobank и как её использовать? 22/03/201822/03/2018 admin 0 Comments Все, полезное о самой громкой новинке весны 2018 monobank. Последние ...
http://lifetrener.com/?cat=24</t>
  </si>
  <si>
    <t>Сергей Слюсаренко</t>
  </si>
  <si>
    <t>Кого цікаве пишіть</t>
  </si>
  <si>
    <t>15:29</t>
  </si>
  <si>
    <t>Щодо моднявого Монобанку, податків та відповідальности https://www.facebook.com/dmitro.shevchenko/posts/1874263055958402</t>
  </si>
  <si>
    <t>Dmytro Shevchenko</t>
  </si>
  <si>
    <t>Щодо моднявого Монобанку, податків та відповідальности И еще в продолжение предыдущего поста о Monobank, спасибо Сергей</t>
  </si>
  <si>
    <t>Щодо моднявого Монобанку, податків та відповідальности
И еще в продолжение предыдущего поста о Monobank, спасибо Сергей Нестеренко (Serhii Nesterenko), его комент натолкнул меня на эту мысль.
Монобанк начисляет кешбек за покупки.
Так вот из этого кешбека он удерживает налоги: 18% НДФЛ и 1,5% ВЗ.
По сути это правильно, так как это дополнительное благо.
А раз он эти налоги удерживает, то почти наверняка сдает в налоговую декларацию 1-ДФ, в которой отражает сумму выплаченных доходов и удержанных налогов.
Так вот, если вы госслужащий или ЛЮБОЕ ДРУГОЕ ЛИЦО которое ежегодно сдает декларацию о доходах, согласно закона о коррупции....
НЕ забудьте указать сумму кешбека, полученного от монобанка в этой своей декларации.
Ибо в противном случае, светит вам за это протокол о коррупции (за недостоверные данные), со всеми вытекающими.
И хорошо если вы налоговик или просто умный госслужащий, и перед тем как сдавать декларацию, возьмете справку о доходах.
Ну и увидите суммы кешбека.
А если как многие, то сдадите декларацию, просто на основании справки о доходах с бухгалтерии.
Тут то и придет вам кабздец.
"Налоговик" впрочем совсем не означает ммм.... "умный".
Хотя казалось бы... само место работы какгбы обязывает думать "как система".
Но нет.
Девочка с налоговой ушла в декрет, на 6 лет.
А когда ей стало скучно сидеть дома (годика через четыре), решила не выходить на работу (там плохо и зарплата маленькая), а устроится менеджером на фирму.
На фирму ее взяли, и как-то не заморачиваясь отсутствием трудовой, оформили официально.
Через полгода за девочкой "пришли" - вылетела с работы по закону о коррупции.
И при этом недоумевала "За что? Я ж не работала в налоговой!! Я в декрете была!!!".
Вторая, будучи в декрете, торговала в интернете получая деньги на личную карту.
Последствия были такие же :)
И это только два факт, из длинной вереницы случаев, известны мне на сегодня :) и еще не получивших "огласки", в рамках уголовных или административных производств. ;) :)
Так вот, я собственно о чем.
Если сотрудники налоговой, зачастую не могут увязать, в логическую цепочку, факт выплаты доходов и декларацию :) то другим (тому же завкавфедрой института) и в голову не придет, что кешбек Монобанка нужно отражать в декларации :)
Кстати, Дмитрий Дубилет наверное было бы очень клиентоориентировано :) если бы ваши клиенты, скажем 1 января, получили письмо примерно следующего содержания "За прошлый год мы вам начислили и выплатили Н суму кешбека. Не забудьте отразить ее в вашей декларации, если вы должны ее подавать согласно Законодательства Украины"
Согласны? :) ;)
ЗЫ. Прочитали пост? :)
Жмите кнопку "Поделится", что бы показать его вашим друзьям.
Ну если только вы не хотите их увидеть в суде, в качестве обвиняемых, за неуказанную сумму кешбека, в их декларации :) :) :)</t>
  </si>
  <si>
    <t>Дмитро Шевченко</t>
  </si>
  <si>
    <t>Привет друзья!!! Мы с Костиком ждём долгожданную выписку. Малыш каждый вечер собирает свои игрушки в сумки. Он спит и</t>
  </si>
  <si>
    <t>Привет друзья!!!
Мы с Костиком ждём долгожданную выписку.
Малыш каждый вечер собирает свои игрушки в сумки. Он спит и видит, как мы будем ехать в поезде домой, в родную Николаевку, к своим родным и близким.
Но наше лечение никак не заканчивается.
В понедельник Костику проводили бронхоскопию по поводу нашего кашля. А к вечеру у Костюшки этого дня поднялась температура 38,2 врачи назначили антибиотик. Опять нужно колоть маленькую ручку для установки переферички ( катетер) , опять крик, опять слёзы. Маленький Костик уже так устал, так настрадался от всех этих процедур я вам не могу передать, сердце рвётся на части.
Но Слава Богу, что антибиотик подошёл и стал работать мгновенно ,температура спала и больше не поднималась. 
Вчера у нас с Костиком был насыщенный день. К нам приходили журналист с оператором телеканала «1+1» снимали репортаж. Главным героем в этой съёмке был Костик. Сначала малыш испугался, а потом успокоился начал показывать все свои игрушки.
Теперь будем ждать трансляцию ТСН.
В этот же день Костику подали документы на оформление загранпаспорта,ему очень понравилась вся эта процедура. Очень рад , что у него будет настоящий паспорт, как у взрослых.
У нас радостная новость, благодаря вам собрана сумма на поиск донора 25 000 евро.
Огромное материнское вам спасибо. Но в впереди нас ждёт самый сложный барьер в 100 000 евро. Но мы не отчаиваемся, мы верим, что все будет хорошо, что все это временно. С такой поддержкой как вы, мы 100% справимся.
Спасибо, что помогаете, спасибо, что молитесь....
monobank: 5375414100658151 
пополнение во всех терминалах приват банка и ibox без комиссии (даже если выводит что с комиссией)
Приват Банка: 5168755111178048
Заиченко Иван Сергеевич
Тел:0953530745
Для переводов из России на карту Сбербанк : 4276380177214827 получатель Бубырь Денис (указывать наименование платежа)</t>
  </si>
  <si>
    <t>15:19</t>
  </si>
  <si>
    <t>Вторая петличка Shure! Необходимо докупить 3ю петличку для комплекта на 3их, переходников, проводов, стабилизатор,</t>
  </si>
  <si>
    <t>Вторая петличка Shure!
Необходимо докупить 3ю петличку для комплекта на 3их, переходников, проводов, стабилизатор, рюкзак, А9 Plus и автономная студия с лучшим качеством видео и звука будет ГОТОВА!!!
Кто хочет помочь финансово, пожалуйста:
Подяка за стріми Monobank, Dmitriyev Dmitriy Mikhaylovich, 5375 4141 0005 0599.
Подяка за стріми ПриватБанк, Дмитриев Дмитрий Михайлович, 5168 7456 0147 0328.</t>
  </si>
  <si>
    <t>#вакансія@plt.rabota_arenda
Пропоную роботу агентом Монобанку зарплата 2000 в тиждень може буди і більше залежить все від вас більш детальна інформація в лс!</t>
  </si>
  <si>
    <t>https://forum.finance.ua/viewtopic.php?p=4336130#p4336130    Vint написав:
Пополняйтесь пока не берет комиссию. С голда у всех берет.
Сколько берет,0,5%?
Уже по факту узнаешь что с комиссией или можно перед отправкой отменить?</t>
  </si>
  <si>
    <t>Monobank — кредитная карта до 100 000 грн | Кредиты онлайн в Украине сегодня Кредитный лимит - до 100 000 грн. Кешбек до</t>
  </si>
  <si>
    <t>Monobank — кредитная карта до 100 000 грн | Кредиты онлайн в Украине сегодня
Кредитный лимит - до 100 000 грн. Кешбек до 20%. Бесплатное снятие наличных в любом банкомате страны. Бесплатное оформление и доставка. Льготный период — до 62 дня. PayPass ...
https://fincredit.today/monobank/</t>
  </si>
  <si>
    <t>Бери от жизни лучшее</t>
  </si>
  <si>
    <t>IMO смыслу пока что только в няшной аппликушке и кэшбеке. Депозиты под их проценты вызывают опасения (15% в грн/год), валютных карт пока нет (обещают скоро) и пополнение только через терминалы iBOX (это если не хочется платить проценты другим банках), что превращает пополнение десятком-другим бумажек в довольно "увлекательное" приключение.
Но, пока что "удобства" от 1.6% кешбэка перевешивают.</t>
  </si>
  <si>
    <t>Дмитрий
Незаконне утримання людини за гратами!!!, Severion Dangadze, особиста вказівка-хотелка порошенка, справа повністю сфальшована!
Репост!
Подяка за стріми Monobank, Dmitriyev Dmitriy Mikhaylovich, 5375 4141 0005 0599.
Embassy of Sweden in Kyiv
Royal Norwegian Embassy in Kyiv
Embassy of Switzerland in Ukraine / Посольство Швейцарії в Україні
Embassy of Canada in Ukraine
Embassy of France, Kiev
Embassy of Germany, Kiev
Посольство Японії в Україні / 在ウクライナ日本国大使館 / Embassy of Japan in Ukraine
Embassy of Denmark in Ukraine
U.S. Embassy Kyiv Ukraine
НАБУ
Всеволод Филимоненко
Сергій Лещенко
Голос Америки
Myroslava Gongadze
Bohdan Kutiepov
chastime
British Embassy, Kyiv
The White House
FBI – Federal Bureau of Investigation
The United States Department of Justice
Amnesty International
Amnesty International Ukraine
Justin Trudeau
John McCain
Theresa May
Angela Merkel
Donald J. Trump</t>
  </si>
  <si>
    <t>Федоров Виталий</t>
  </si>
  <si>
    <t>14:54</t>
  </si>
  <si>
    <t>Подскажите, каким переводом из России возможно отправить деньги в Украину</t>
  </si>
  <si>
    <t>откройте счет в монобанке, это делается за 5 минут со смартфона. На этот счет переводятся рубли, доллары и евро практически без потерь. и конвертируются в гривны. карточкой можно расплачиваться в любой стране. это очень удобно.</t>
  </si>
  <si>
    <t>Олена Чародія</t>
  </si>
  <si>
    <t>Ksenia Naneli</t>
  </si>
  <si>
    <t>Женя Абрамова</t>
  </si>
  <si>
    <t>Денис Тимошевський приглашает вас в monobank! Оформите карту, перейдя по персональной ссылке, и вы оба получите по 50 грн на счет кешбэка!
https://monobank.com.ua/r/6juv
monobank – банк без відділень</t>
  </si>
  <si>
    <t>Денис Тимошевский</t>
  </si>
  <si>
    <t>Павло Кучеров это да, не кошерно.</t>
  </si>
  <si>
    <t>Dmitriy Kuzmenko</t>
  </si>
  <si>
    <t>Dmitriy Kuzmenko Для меня баг это оборванный фидбэк, сначала много написали, что разберутся и свяжутся, а потом молчок. Ну и 2 дня задержка, чуть много имхо.</t>
  </si>
  <si>
    <t>Павло Кучеров</t>
  </si>
  <si>
    <t>14:38</t>
  </si>
  <si>
    <t>Да, про метро. Это не баг а фича. При всей скорости работы, вы не хотите чтобы шёл запрос в банк на авторизацию, и собиралась очередь перед турникетам. Поэтому там асинхронный режим. У них своя база, они сначала проводят пассажира, а потом чарджат. Поэтому в метро можно зайти один раз без денег на карте) поэтому если не проходит транзакция, они добивают ретраями.</t>
  </si>
  <si>
    <t>✈️Значек золото и серебро, стоимость 100 грн ➖➖➖➖➖➖➖➖➖➖➖➖
 Доставка по Украине 25-80грн
 Наложенный платёж
✅ ПриватБанк
☑️ Monobank
➖➖➖➖➖➖➖➖➖➖➖➖
 Самовывоз из магазина NAUshop, г. Киев, проспект Космонавта Комарова 1. 
Главный корпус НАУ
Credit Card, cash, безналичный расчёт ➖➖➖➖➖➖➖➖➖➖➖➖
Заказ в Директ
+38 (063) 990 55 26
#agentsclothes #NAUshop #nau #нау #avgeek #aviationlovers #removebeforeflight #removebeforesex</t>
  </si>
  <si>
    <t>Вадим приглашает вас в monobank! Оформите карту, перейдя по персональной ссылке, и вы оба получите по 50 грн на счет кешбэка!
https://monobank.com.ua/r/kK6L</t>
  </si>
  <si>
    <t>Вадим Жмудь</t>
  </si>
  <si>
    <t>А кэш-бек от LR еще больше тому, кто хорошо работает!!!</t>
  </si>
  <si>
    <t>На днях совершенно случайно наткнулся на Монобанк, обычно довольно холодно отношусь к новым картам, в этом случае сценар</t>
  </si>
  <si>
    <t>Прекрасное фото</t>
  </si>
  <si>
    <t>Candy Bar - кондитерская</t>
  </si>
  <si>
    <t>Sergey Nadtochiy</t>
  </si>
  <si>
    <t>автолюбители и автопроХфессионалы,какие сайты авто запчастей при оплате  картой ОНЛИНЭ свинорыльный МСС дают 
АТО пора фильтров,масЁл и шин,турбин пришла....</t>
  </si>
  <si>
    <t>Хутін Пуй</t>
  </si>
  <si>
    <t>https://forum.finance.ua/viewtopic.php?p=4335983#p4335983    mihasik написав:
 https://forum.finance.ua/viewtopic.php?p=4335740#p4335740    Vint написав: https://forum.finance.ua/viewtopic.php?p=4334988#p4334988    mihasik написав:??? При чём здесь чат привата...
Человек спросил,я ответил.
Что значит повезло,она или есть или её нет.
Проверял на 100грн, может на большей сумме есть?
Голд или обычная?
Обычная
Пополняйтесь пока не берет комиссию. С голда у всех берет.</t>
  </si>
  <si>
    <t>@independent_lika побачу, як буде)</t>
  </si>
  <si>
    <t>П'ЯТНИЧНИЙ КАНАЛ | SKRYPIN.UA | 30 БЕРЕЗНЯ
П’ятничка! А ю реді? Ми от як раз готові! Порція гарного настрою, смачних страв та спілкування з нами та нашими гостями до ваших послуг! Тож готуйте ваші скайпи та комп’ютери для нашої трансляції!
15:00 - Кухня, скайпи, Кухня, скайпи і оце от все) 
16:00 - Ігор Гудзь, власник і засновник марки «GUD»
Поговоримо, як воно робити Made in Ukraine 
17:25 - Краще з кращого 16+ 
19:00 -  «Редколегія», розкладемо по поличках цей тиждень разом з Міланом Леличем («Фокус»), Олегом Новіковим («Слово і Діло») та Владиславом Красінським (INSIDER) 
21:00 - REW наша затишна розмова з вами про все ;)
Якби кожен наш глядач перераховував щомісяця хоча б по 10 гривень, ми точно змогли б порвати цей медіапростір як мавпа газету! Давайте це зробимо. Налаштуй щомісячний платіж:
• pb.ua: 5363 5423 0168 4263 ➡️ https://goo.gl/is9RSo
• monobank: 5375 4141 0021 8964
• paypal@skrypin.ua
• IBAN: DE11 1005 0000 6014 1157 71
• для збору мобільних переказів: +380963302229
Підтримай skrypin.ua криптою: http://skrypin.ua/help/
Bitcoin. Adress: 338E4EYVNBohzLg8zimAHEpL6rsyJADwzU
Litecoin. Adress: MTix58Y6qF9u8PhPhDLBWXB9xMbvMkniMv
Dash. Adress: XbBhf7fBq8UR6uZzib6A9QM3bHuiws21a9
Ethereum. Adress: 0x885069fd66272e2d874b77fd76c44993d00677a2
Підпишись на skrypin.ua у соціальних мережах:
Facebook: https://www.facebook.com/SKRYPIN.UA/
Telegram: https://t.me/SkrypinUA
Twitter: https://twitter.com/SkrypinUa
Instagram: https://www.instagram.com/skrypinua/
Слухай подкасти в iTunes:
skrypin.ua ➡️ https://goo.gl/mvGUgk
UMN  ➡️ https://goo.gl/LUUodu
Danylo Yanevsky  ➡️ https://goo.gl/1QTWGU
Skype для дзвінків у студію: hello@skrypin.ua / Етер Ether
www.skrypin.ua</t>
  </si>
  <si>
    <t>14:01</t>
  </si>
  <si>
    <t>Іван приглашает вас в monobank! Оформите карту, перейдя по персональной ссылке, и вы получите 50 грн на счет кешбэка!И стикеры в подарок!
monobank – банк без відділень
Ми не несемо витрати на відділення, і тому можемо дати вам найвигідніші умови!
https://monobank.com.ua/r/5KKg</t>
  </si>
  <si>
    <t>Иван Дерюга</t>
  </si>
  <si>
    <t>13:59</t>
  </si>
  <si>
    <t>С моих подписчиков о Monobank знают единицы! Немного познакомлю вас) и сразу отвечаю, нет я не работаю в Моно банке  M</t>
  </si>
  <si>
    <t>Мы тоже дружим с этим банком)</t>
  </si>
  <si>
    <t>Aηηα Bananna</t>
  </si>
  <si>
    <t>Людмила Сулима</t>
  </si>
  <si>
    <t>Анатолий Борода</t>
  </si>
  <si>
    <t>Вот это я называю концепцией "умный покупатель" :-)</t>
  </si>
  <si>
    <t>Vadym Sokrovyshchuk</t>
  </si>
  <si>
    <t>13:49</t>
  </si>
  <si>
    <t>Вот результат сотрудничества Монобанк + Я+ LR H&amp;B !
#аннафедоренко #пассивныйдоход #antiageмарафон #antiage #lr #lrworld #lrkiev #клеточноепитание  #зож
#RealLeadersCommunity #RLCOMM
#бизнесзолотогосечения</t>
  </si>
  <si>
    <t>Elena Korzh</t>
  </si>
  <si>
    <t>13:38</t>
  </si>
  <si>
    <t>@monobank.com.ua перший онлайн банк в Україні тепер зімною) #монобанк #cherkassy_life #cherassy_insta #cherkassy_rest_in #cherkassy_gram #mybank #insta #instagramers #instagood #instagram  #instafoto_  #likeme #likes #like4like  #likeforlike</t>
  </si>
  <si>
    <t>Кстати, монобанк предупреждал об этом пользователей, и у некоторых пользователей была попоболь что из-за кешбека они потеряют право на субсидию.</t>
  </si>
  <si>
    <t>Eugene Sodin</t>
  </si>
  <si>
    <t>Стал котиком и перешёл на тёмную сторону. Кто со мной? Регистрируйтесь по реферальной ссылке : приглашает вас в</t>
  </si>
  <si>
    <t>Стал котиком и перешёл на тёмную сторону.
Кто со мной?
Регистрируйтесь по реферальной ссылке :
 приглашает вас в monobank! Оформите карту, перейдя по персональной ссылке, и вы оба получите по 50 грн на счет кешбэка!
https://monobank.com.ua/r/WgdA</t>
  </si>
  <si>
    <t>Sergey Shkarupiy</t>
  </si>
  <si>
    <t>А, і % за використану)))</t>
  </si>
  <si>
    <t>13:35</t>
  </si>
  <si>
    <t>Эдуард Пирогов</t>
  </si>
  <si>
    <t>Скептикам на заметку. ;) Один пост в Фейсбук принес 150 грн. походы по магазинам ещё 250 Мало? :) Наверное да, но теперь</t>
  </si>
  <si>
    <t>Скептикам на заметку. ;)
Один пост в Фейсбук принес 150 грн.
походы по магазинам ещё 250
Мало? :) Наверное да, но теперь у меня моб.связь, дом.интернет, телевидение - бесплатно ;)
Не надо считать мои расходы ;)
Считайте свои доходы и присоединяйтесь ;)
https://monobank.com.ua/r/cQ6Z</t>
  </si>
  <si>
    <t>Я вообще об монобанке</t>
  </si>
  <si>
    <t>Baruh Weisemann</t>
  </si>
  <si>
    <t>13:29</t>
  </si>
  <si>
    <t>Я не понял, может народ не в курсе и о депозитных доходах?)))</t>
  </si>
  <si>
    <t>Anton Bobreshov</t>
  </si>
  <si>
    <t>І комісію за невикористану кредитну лінію будеш платити щомісяця)))</t>
  </si>
  <si>
    <t>ЗНАЛ БЫ ЧТО ТАКИМИ БОЛЬШИМИ БУКВАМИ НАПИШУТ ПРИДУМАЛ БЫ ПОЛУЧШЕ ЗАГОЛОВОК! Вообще редактор молодец, я считаю. Выглядит, будто Маск открыл поселение на Марсе, наконец-то</t>
  </si>
  <si>
    <t>Очень вероятно, что в следующем десятилетии мы будем жить на планете, полностью покрытой стабильным спутниковым</t>
  </si>
  <si>
    <t>Если он будет дешевле в роуминге любого оператора - уже будет выгодно :) для определённой ца.
+ вариант возникнования "монобанков для связи", типа операторов, но без инфраструктуры которые будут предлагать на локальных рынках конкурентные цены.</t>
  </si>
  <si>
    <t>Andrew Skrypnik</t>
  </si>
  <si>
    <t>Vlad Tislenko</t>
  </si>
  <si>
    <t>Монобанк глючит)</t>
  </si>
  <si>
    <t>У меня вчера тоже такое было. Я уже думал именную карту мне выпустили :)</t>
  </si>
  <si>
    <t>Roman M. Borys</t>
  </si>
  <si>
    <t>Aida  Askerova</t>
  </si>
  <si>
    <t>Кешбек считается доходом и отражён в справке о доходах - я об этом узнал за несколько лет до монобанка, когда увидел в своей справке о доходах кешбек топливной карты укрсоцбанка.</t>
  </si>
  <si>
    <t>Многие как раз из-за кэшбека и вступают</t>
  </si>
  <si>
    <t>Криптовалюта Дурова TON. Новые фишки TELEGRAM Конкурс - выигрывай Xiaomi Redmi Note 5! - В последнее время все больше и</t>
  </si>
  <si>
    <t>Сам ботами практически не пользуюсь, только Приватбанк (для удобства перекинуть деньги) и Техподдержка monobank. В основном читаю новости в различных новостных каналах (например https://t.me/ain_ua_tg ).
AIN.UA
AIN.UA - перше в Україні спеціалізоване онлайн-видання про інтернет-бізнес. Ми публікуємо найактуальніші українські та міжнародні новини, які наші журналісти ...</t>
  </si>
  <si>
    <t>Дим Евдокимов</t>
  </si>
  <si>
    <t>12:58</t>
  </si>
  <si>
    <t>Можно сегодня зайти за карточкой МоноБанка, уиииииии</t>
  </si>
  <si>
    <t>O'Flaherty.</t>
  </si>
  <si>
    <t>А может мне кто-то доступным языком объяснить, что это за секта и какой смысл в нее вступать?</t>
  </si>
  <si>
    <t>Друзья, всем привет! Актуально для жителей с Украины. Советую отличное приложение, очень удобно и практично, легко пополнить мобильный счет без комиссий и много других функций. Оформите карту, перейдя по персональной ссылке, и мы оба получим по 50 грн на счет кешбэка!
https://monobank.com.ua/r/F1p9
monobank – банк без відділень
Ми не несемо витрати на відділення, і тому можемо дати вам найвигідніші умови!</t>
  </si>
  <si>
    <t>Владимир Каменский</t>
  </si>
  <si>
    <t>#monobank #bleckcard Моя нова чорна картка з лімітом 25000 гривень, користуватись ним я, звісно ж, не буду, жартую, буду, але зовсім трішки)))</t>
  </si>
  <si>
    <t>Счета на оплату альбомов Игоря Загорулька</t>
  </si>
  <si>
    <t>На оплате Женская одежда норма(Одесса)
https://vk.com/album-29283691_252282522
https://vk.com/photo-29283691_456323601
Оплата на карту Monobank
5375 4141 0109 0552 - Загорулько Игорь Анатольевич
Оплата на карту ПриватБанка
4731 1856 1190 5339 - Загорулько Игорь Анатольевич
Реквизиты https://vk.com/topic-29283691_35733238?post=6558
Анна Байракова - 211,60 грн
Дарья Черномор - 312,40 грн
Марина Яриш - 312,40 грн
Надежда Вербицкая-Роменская - 290 грн
Наташа Голобородько-Шпак - 312,40 грн
Оксана Логвиненко - 234 грн +5 грн если укрпочтой
Светлана Чепурко - 312,40 грн
Таня Горб - 312,40 грн
Надежда Воробьёва - 256,40 грн
Lyudochka Samsonova - 312,40 грн</t>
  </si>
  <si>
    <t>Игорь Загорулько</t>
  </si>
  <si>
    <t>СП ПЧЁЛКА (Совместные покупки Украина)</t>
  </si>
  <si>
    <t>Михаил Владимирович</t>
  </si>
  <si>
    <t>Володимир приглашает вас в monobank! Оформите карту, перейдя по персональной ссылке, и вы оба получите по 50 грн на счет</t>
  </si>
  <si>
    <t>Володимир приглашает вас в monobank! Оформите карту, перейдя по персональной ссылке, и вы оба получите по 50 грн на счет кешбэка!
https://monobank.com.ua/r/F1p9</t>
  </si>
  <si>
    <t>12:17</t>
  </si>
  <si>
    <t>Витя серьезный парень...я пока в потолок не упирался :))</t>
  </si>
  <si>
    <t>Запрошуємо Вас до моносім’ї! Друзі, наш QR-кіт прикрасив свій стіл ще однією нагородою — перемога monobank в конкурсі</t>
  </si>
  <si>
    <t>Запрошуємо Вас до моносім’ї!
Друзі, наш QR-кіт прикрасив свій стіл ще однією нагородою — перемога monobank в конкурсі «Фаворити Успіху» за результатами 2017 р. Вгадаєте, в якій номінації? Ну, звісно ж, «Кредитна картка року»!
Надзвичайно приємно, що monobank став фаворитом успішних людей! Голосування в цій номінації проводилось серед діячів культури та мистецтва, спортсменів і бізнесменів, інших відомих людей https://clck.ru/D6LSR
А тепер улюблений мобільний банк громадськості запрошує приєднатись всіх, хто ще цього не зробив! Досягайте успіху з Карткою року monobank http://bit.ly/2GWArKO!</t>
  </si>
  <si>
    <t>и монобанк здесь - агент госдепа. збс</t>
  </si>
  <si>
    <t>Алексей L16</t>
  </si>
  <si>
    <t>Я вот сегодня удивился комиссии, которую взял приват когда я оттуда немного денег забрал на карту монобанка. Потом</t>
  </si>
  <si>
    <t>Sergiy Shychynov я тестово вляпалась в аваль полгода назад и каждый раз после общения с ними ощущение, будто у них монополия как у всяких водоканалов и клиенты им всюду должны и куча свободного времени ходить к ним в отделение когда и как им это удобно</t>
  </si>
  <si>
    <t>Valeriia Arkhypenko</t>
  </si>
  <si>
    <t>Yuliana  Kabanova</t>
  </si>
  <si>
    <t>Госслужащие и кешбек)) И еще в продолжение предыдущего поста о Monobank, спасибо Сергей Нестеренко (Serhii Nesterenko),</t>
  </si>
  <si>
    <t>Та же фигня с процентами по депозиту.</t>
  </si>
  <si>
    <t>Valentin Fedyk</t>
  </si>
  <si>
    <t>Volodymyr Zhuk</t>
  </si>
  <si>
    <t>возможно, карточка монобанка не клетчатая, поэтому нельзя</t>
  </si>
  <si>
    <t>Олексій Олексій</t>
  </si>
  <si>
    <t>11:55</t>
  </si>
  <si>
    <t>f6mq8.app.goo.gl
https://monobank.com.ua/r/eULA</t>
  </si>
  <si>
    <t>Andrey Kistrin</t>
  </si>
  <si>
    <t>https://forum.finance.ua/viewtopic.php?p=4335740#p4335740    Vint написав:
 https://forum.finance.ua/viewtopic.php?p=4334988#p4334988    mihasik написав: https://forum.finance.ua/viewtopic.php?p=4334966#p4334966    makor06 написав:Вы про это еще в чате Приват24 напишите. Чо уж.
Вам повезло, и все... У всех есть комиссия в таком случае.
??? При чём здесь чат привата...
Человек спросил,я ответил.
Что значит повезло,она или есть или её нет.
Проверял на 100грн, может на большей сумме есть?
Голд или обычная?
Обычная</t>
  </si>
  <si>
    <t>11:49</t>
  </si>
  <si>
    <t>ПриватБанк не боится конкуренции. Поэтому не спешит выполнять свои функции. Вторую неделю я не могу поменять свои 2</t>
  </si>
  <si>
    <t>ПриватБанк не боится конкуренции.  Поэтому не спешит выполнять свои функции.  Вторую неделю я не могу поменять свои 2 голдкарты,  у которых заканчивается срок действия завтра.  Карт то нет,  то система не работает.
Юзаю второй месяц Монобанк.  Если он перетащит к себе больше клиентов, то от привата я откажусь очень быстро с такой  клиентоориентированностью привата</t>
  </si>
  <si>
    <t>Анна Латышева</t>
  </si>
  <si>
    <t>#makemoney #luxury "bussiness #howtobeawesome
Оформіть картку, перейшовши за персональним посиланням, і ви обидва отримаєте по 50 грн на рахунок кешбека!
P.S. Безкоштовна доставка стильної чорної картки
https://monobank.com.ua/r/bAXM
monobank – банк без відділень
Ми не несемо витрати на відділення, і тому можемо дати вам найвигідніші умови!</t>
  </si>
  <si>
    <t>Анастасія Косандяк</t>
  </si>
  <si>
    <t>приглашает вас в monobank! Оформите карту, перейдя по персональной ссылке, и вы оба получите по 50 грн на счет кешбэка!
https://monobank.com.ua/r/EYre</t>
  </si>
  <si>
    <t>Dasha Kozak</t>
  </si>
  <si>
    <t>Дарья Козак</t>
  </si>
  <si>
    <t>Slavik Fokin не зря при ошибке в слове «новый» мне предложило автозамену на «левый». В укрсибе он такой и есть. Нельзя перевести деньги на карту другого банка. За границей тоже развод какой-то: деньги снимаются не по официальному курсу банка, а по отдельному курсу, который у них где-то спрятан в подвале.</t>
  </si>
  <si>
    <t>f6mq8.app.goo.gl
https://monobank.com.ua/r/EK6h</t>
  </si>
  <si>
    <t>Ольчик Гребеник</t>
  </si>
  <si>
    <t>https://forum.finance.ua/viewtopic.php?p=4335948#p4335948    Water написав:
А где можно поменять моя карта Приватбанк?
просто убейте её свайпом влево (или вправо ) и введите при случае обновлённые реквизиты</t>
  </si>
  <si>
    <t>Олег, добавьте к вашему списку ещё 2 карты. Оформили их, после прочтения именно вашего поста.  А приложение скачали с  сайта Монобанке, но по сути стали клиентами под влиянием  этого поста</t>
  </si>
  <si>
    <t>Irina  Tkacheva</t>
  </si>
  <si>
    <t>А где можно поменять моя карта Приватбанк? А то в январе перевыпустил Приватовскую, теперь Моня не видит. Приват сообщает что неверно введены реквизиты карты для перевода с карты.</t>
  </si>
  <si>
    <t>Water</t>
  </si>
  <si>
    <t>f6mq8.app.goo.gl
https://monobank.com.ua/r/naNq</t>
  </si>
  <si>
    <t>Валера Бондаренко</t>
  </si>
  <si>
    <t>Дальше фоткаете паспорт и код, все по инструкции. Получаете карту или на Героев Труда или на Кооперативной, могут доставить домой и вуаля...банк у Вас в кармане, получаете по 50 гр. за каждого, кто подписался, крутой кэшбэк и кредит с отсрочкой платежа 62 дня!</t>
  </si>
  <si>
    <t>Irina  Grass</t>
  </si>
  <si>
    <t>Starco Max</t>
  </si>
  <si>
    <t>Скачиваете приложение по ссылке https://monobank.com.ua/r/Gwu9</t>
  </si>
  <si>
    <t>Да, это жутко неудобно, особенно когда я открывала счёт в другом городе, и чтоб его закрыть, тоже предлагали ехать в это отделение в другом городе! Я забила! В итоге по идее до сих пор вишу им за обслуживание того счета</t>
  </si>
  <si>
    <t>Alla Kanareykina</t>
  </si>
  <si>
    <t>Victor Goubin</t>
  </si>
  <si>
    <t>Jura  Tatarshenko</t>
  </si>
  <si>
    <t>Кешбек не больше 500 грн в месяц.</t>
  </si>
  <si>
    <t>Viktor Parlag</t>
  </si>
  <si>
    <t>Serhii Bybyk мне вообще "по барабану", я всего ли написал что вы неправы на счёт "по выпискам наверняка хрен поймешь" — всё просто и понятно. По остальным пунктам, повторюсь, мне "по барабану" )</t>
  </si>
  <si>
    <t>Євген Ласман если уж банки по некоторым операциям обязали быть налоговыми агентами, то чем информация об удержанных налогах отличается от справки с работы?
кстати, международные платежные системы очень аккуратно высылают годовый свод об удержанных налогах и корона не падает</t>
  </si>
  <si>
    <t>Serhii Bybyk</t>
  </si>
  <si>
    <t>Олег Маляр</t>
  </si>
  <si>
    <t>Serhii Bybyk нет конечно, но если человек не умеет посчитать процент от суммы, то ему лучше вообще не иметь дела с банками, IMO.</t>
  </si>
  <si>
    <t>Євген Ласман и удержанный НДФЛ?</t>
  </si>
  <si>
    <t>ЗАГОЛОВОК – ПЕРВАЯ СТРОЧКА В СТАТЬЕ!</t>
  </si>
  <si>
    <t>Denik Keleberdous</t>
  </si>
  <si>
    <t>Serhii Bybyk в том что "по выпискам наверняка хрен". В программе расписаны на каждый месяц доходы по каждой и выбранных категорий + отмечены суммы вывода на основной счёт с кэшбэка.</t>
  </si>
  <si>
    <t>а что не так, насчет налога или насчет годовой бумаги?</t>
  </si>
  <si>
    <t>Serhii Bybyk так о том же и речь )) Иначе бы не написали такого.</t>
  </si>
  <si>
    <t>Олексій Миронов запрошує вас у monobank! Оформіть картку, перейшовши за персональним посиланням, і ви обидва отримаєте по 50 грн на рахунок кешбека!
https://monobank.com.ua/r/3Fj2
monobank – банк без відділень</t>
  </si>
  <si>
    <t>Алексей Миронов</t>
  </si>
  <si>
    <t>Будьте готовы, что когда пополняете карту Monobank в отделении Universal Bank (конкретно в отделении банка на Жуковского</t>
  </si>
  <si>
    <t>Будьте готовы, что когда пополняете карту Monobank в отделении Universal Bank (конкретно в отделении банка на Жуковского, 34, Одесса) на сумму, которую долго закидывать через автомат, вы столкнетесь с ч̶е̶л̶о̶в̶е̶ч̶е̶с̶к̶и̶м̶ ̶ф̶а̶к̶т̶о̶р̶о̶м̶ тем, что на следующий день вас разбудит кассир и нервным голосом скажет, что оказывается вы пополнили карту на 10,000 грн меньше и нужно их вернуть (хотя чек с печатью банка у меня перед глазами и сумма зашла правильная).
А еще будьте готовы, что через пару дней, таки зайдя в отделение банка, чтобы разобраться в ситуации, хотя можно было просто забить, вам покажут мутное видео с камеры наблюдения (где даже не касса), и расскажут историю, что доказательств нет, но вероятней всего (это не точно) это вы виноваты.
И, конечно же, будьте готовы к тому, что когда вы реагируете на эту ситуацию - как на противоречащее здравому смыслу, вас аккуратно отведут в закрытую комнату и начнут пугать, что внесут вас в черный список (межбанковский) и отправят данные на границу. Шта?)
Не знаю, чтобы вы делали в такой ситуации, но я отправился в ближайшее отделение полиции, где профессионально (чего я не ожидал) приняли заявление со всеми деталями, чеками и фамилиями.
Дмитрий Дубилет вы там пожалуйста разберитесь (я знаю, вы быстро разруливаете такое) с этими угрозами и вымогательством. Специально подождал достаточно долго и не публиковал пост, но тех.поддержка только и пишет, что они все разбираются и разбираются)
Законных оснований у банка списать деньги конечно же нет, так что я просто делюсь с вами ситуацией, которая может возникнуть с каждым.
 Всем добра и удачи, чтобы не попадать в такие ситуации)</t>
  </si>
  <si>
    <t>Dennis Putiy</t>
  </si>
  <si>
    <t>Екатерина Рыпаленко (Заиченко)</t>
  </si>
  <si>
    <t>а вот и нету</t>
  </si>
  <si>
    <t>Алексей Тулюля</t>
  </si>
  <si>
    <t>Dmitry Volkov вот 100%... ключевое слово... наличие головы:)</t>
  </si>
  <si>
    <t>Olena Shovkun</t>
  </si>
  <si>
    <t>Вот сразу видно что у человека есть карточка Монобанка</t>
  </si>
  <si>
    <t>не, я после этого закрыл у них все счета - так что нового банкинга не видел)</t>
  </si>
  <si>
    <t>Slavik Fokin по некоторым услугам я во многих банках это встречала. А я думала, ты ругал их новый он-лайн банкинг)</t>
  </si>
  <si>
    <t>Viktoriya Obidovskaya</t>
  </si>
  <si>
    <t>Andrii Derhun</t>
  </si>
  <si>
    <t>https://forum.finance.ua/viewtopic.php?p=4335852#p4335852    hv написав:
А если пополнить сегодня вечером через iBox, какая вероятность, что деньги зайдут на карту сегодня-завтра и закроют льготный период?
Даже можно завтра в 23-55, то должно закрыть (если ящик в онлайне)...</t>
  </si>
  <si>
    <t>Феликс Ильюк</t>
  </si>
  <si>
    <t>Псіх нєнармальний</t>
  </si>
  <si>
    <t>В определенных случаях у них строгая привязка к отделению - нельзя было сделать операцию в любом отделении, только по месту, где открыт счет. И мне это кажется дикостью в наше время</t>
  </si>
  <si>
    <t>Natali Rudneva</t>
  </si>
  <si>
    <t>А укрсиб за что?</t>
  </si>
  <si>
    <t>Бесплатно рекламирую Monobank и Планету кино, и ругаю Укрсиббанк (тоже бесплатно). Если кому-то нужно, чтобы вас прорекламировали, обращайтесь
#многобуквкоторыхнакартинкеневидно</t>
  </si>
  <si>
    <t>Госслужащие и кешбек))
И еще в продолжение предыдущего поста о Monobank, спасибо Сергей Нестеренко (Serhii Nesterenko), его комент натолкнул меня на эту мысль.
Монобанк начисляет кешбек за покупки.
Так вот из этого кешбека он удерживает налоги: 18% НДФЛ и 1,5% ВЗ.
По сути это правильно, так как это дополнительное благо.
А раз он эти налоги удерживает, то почти наверняка сдает в налоговую декларацию 1-ДФ, в которой отражает сумму выплаченных доходов и удержанных налогов.
Так вот, если вы госслужащий или ЛЮБОЕ ДРУГОЕ ЛИЦО которое ежегодно сдает декларацию о доходах, согласно закона о коррупции....
НЕ забудьте указать сумму кешбека, полученного от монобанка в этой своей декларации.
Ибо в противном случае, светит вам за это протокол о коррупции (за недостоверные данные), со всеми вытекающими.
И хорошо если вы налоговик или просто умный госслужащий, и перед тем как сдавать декларацию, возьмете справку о доходах.
Ну и увидите суммы кешбека.
А если как многие, то сдадите декларацию, просто на основании справки о доходах с бухгалтерии.
Тут то и придет вам кабздец.
"Налоговик" впрочем совсем не означает ммм.... "умный".
Хотя казалось бы... само место работы какгбы обязывает думать "как система".
Но нет.
Девочка с налоговой ушла в декрет, на 6 лет.
А когда ей стало скучно сидеть дома (годика через четыре), решила не выходить на работу (там плохо и зарплата маленькая), а устроится менеджером на фирму.
На фирму ее взяли, и как-то не заморачиваясь отсутствием трудовой, оформили официально.
Через полгода за девочкой "пришли" - вылетела с работы по закону о коррупции.
И при этом недоумевала "За что? Я ж не работала в налоговой!! Я в декрете была!!!".
Вторая, будучи в декрете, торговала в интернете получая деньги на личную карту.
Последствия были такие же :)
И это только два факт, из длинной вереницы случаев, известны мне на сегодня :) и еще не получивших "огласки", в рамках уголовных или административных производств. ;) :)
Так вот, я собственно о чем.
Если сотрудники налоговой, зачастую не могут увязать, в логическую цепочку, факт выплаты доходов и декларацию :) то другим (тому же завкавфедрой института) и в голову не придет, что кешбек Монобанка нужно отражать в декларации :)
Кстати, Дмитрий Дубилет наверное было бы очень клиентоориентировано :) если бы ваши клиенты, скажем 1 января, получили письмо примерно следующего содержания "За прошлый год мы вам начислили и выплатили Н суму кешбека. Не забудьте отразить ее в вашей декларации, если вы должны ее подавать согласно Законодательства Украины"
Согласны? :) ;)
ЗЫ. Прочитали пост? :)
Жмите кнопку "Поделится", что бы показать его вашим друзьям.
Ну если только вы не хотите их увидеть в суде, в качестве обвиняемых, за неуказанную сумму кешбека, в их декларации :) :) :)</t>
  </si>
  <si>
    <t>Костик уже дома с родными и близкими. Первый этап лечения пройден. 8 месяцев вдали от дома, 8 месяцев сложнейших курсов</t>
  </si>
  <si>
    <t>https://nikolaevka24.com/kostya-zaichenko-peredal-svoi-risunki-na-blagotvoritelnuyu-yarmarku/
Костик уже дома с родными и близкими. Первый этап лечения пройден. 8 месяцев вдали от дома, 8 месяцев сложнейших курсов химиотерапии, миллион лекарств… Но, к большому сожалению, лечение не закончилось. Костику нужно будет уже не уезжать, а улететь далеко от дома, в другую страну, в другую больницу.
ПриватБанк : 5168 7551 1117 8048
Папа, Иван Заиченко, тел. (095) 353-07-45.
monobank: 5375414100658151
пополнение во всех терминалах приват банка и ibox без комиссии (даже если выводит что с комиссией)
Приват Банка: 5168755111178048
Пополнение из-за границы, USD
Beneficiary (Бенефициар)
IBAN
UA403220010000029244998000840
Account No
29244998000840
Name
IVAN ZAICHENKO
Account with Institution (Банк Бенефициара)
Bank
PJSC UNIVERSAL BANK
City
KYIV, UKRAINE
Swift code
UNJSUAUKXXX
Intermediary (Банк посредник)
Bank
DEUTSCHE BANK TRUST CO. AMERICAS
City
NEW YORK, USA
Account number
4452477
Swift code
BKTRUS33XXX
Details of payment (Назначение платежа)
For crediting in UAH Card No
5375414100658151
Name
IVAN ZAICHENKO
Укажите один из вариантов
— Salary
— Honorarium
— Transfer to own account
— Help to relative
Пополнение из-за границы, RUB
Получатель
IBAN
UA833220010000029247998000643
Account No
29247998000643
Name
IVAN ZAICHENKO
Банк получателя
Банк
ПАО УНИВЕРСАЛ БАНК
Город
KYIV, UKRAINE
К/счет
16003000300001
Банк посредник
Банк
АО «ТАСКОМБАНК»
Город
КИЕВ, УКРАИНА
Счет
30111810500000000292
Корреспондент получателя
Банк
ОАО «СБЕРЕГАТЕЛЬНЫЙ БАНК РОССИЙСКОЙ ФЕДЕРАЦИИ»
Город
МОСКВА, РОССИЯ
ИНН
7707083893
БИК
44525225
К/счет
30101810400000000225 В ОПЕРУ МОСКОВСКОГО ГТУ БАНКА РОССИИ
Назначение платежа
Для зачисления в UAH на карту No
5375414100658151
Имя
IVAN ZAICHENKO
Укажите вариант:
— Помощь родственникам
Заиченко Иван Сергеевич
Тел:0953530745
Костя Заиченко передал свои рисунки на благотворительную ярмарку | Николаевка24 | Славянский район | Донецкая область
О чем думает маленький Костя, о чем мечтает, чем живет... Малыши, не всегда способны | Николаевка24 | Славянский район | Донецкая область</t>
  </si>
  <si>
    <t>Дорога жизни.  Помощь Юго-Востоку Украины</t>
  </si>
  <si>
    <t>Читаю интервью с владельцем Badoo — самым популярным приложенем для знакомств в мире (крупнее, чем Тиндер). Он рассказал</t>
  </si>
  <si>
    <t>Борис Абрамов потому что резидент с ВНЖ не может получить карту Монобанка.</t>
  </si>
  <si>
    <t>Сергей Пономаренко</t>
  </si>
  <si>
    <t>Ранком вже були результати екологічної акції?))</t>
  </si>
  <si>
    <t>Marco Varyvoda</t>
  </si>
  <si>
    <t>Денис приглашает вас в monobank! Оформите карту, перейдя по персональной ссылке, и вы оба получите по 50 грн на счет кешбэка!
https://monobank.com.ua/r/cUsd</t>
  </si>
  <si>
    <t>Denis Malakhov</t>
  </si>
  <si>
    <t>https://forum.finance.ua/viewtopic.php?p=4335852#p4335852    hv написав:
А если пополнить сегодня вечером через iBox, какая вероятность, что деньги зайдут на карту сегодня-завтра и закроют льготный период?
100% если яящик в онлайн режиме.</t>
  </si>
  <si>
    <t>The best! Случайно не в Атб на Гиршмана покупку делал?</t>
  </si>
  <si>
    <t>Ирина Теряева</t>
  </si>
  <si>
    <t>Александр Куценко</t>
  </si>
  <si>
    <t>А если пополнить сегодня вечером через iBox, какая вероятность, что деньги зайдут на карту сегодня-завтра и закроют льготный период?</t>
  </si>
  <si>
    <t>hv</t>
  </si>
  <si>
    <t>@victory_gavran все через приложение на тел делается</t>
  </si>
  <si>
    <t>Maksym Puhach</t>
  </si>
  <si>
    <t>Что то подобное я ожидал.... Действительно ли у Monobank бесплатное пополнение карты? Сегодня я решил с этим разобраться</t>
  </si>
  <si>
    <t>Поповнюю карту Монобанку без комісій через термінали Ibox, яких по всьому місту просто море ;)</t>
  </si>
  <si>
    <t>Andrii Kryvoruchko</t>
  </si>
  <si>
    <t>Kharchenko Dmirty</t>
  </si>
  <si>
    <t>@victory_gavran, там нужно будет паспорт сфотать и инн и забрать карту в ближайшем отделении. В принципе, все то, что и всегда делают в банках, только тут в разы проще)</t>
  </si>
  <si>
    <t>Читаю интервью с владельцем Badoo — самым популярным приложенем для знакомств в мире (крупнее, чем Тиндер).
Он рассказал забавную историю о том, как однажды на вечеринке познакомился с Эштоном Катчером и попытался зарегистрировать его в приложении. Их система распознавания лиц тут же узнала селебрити и заблокировала акаунт, посчитав его фейком.
Кстати, у нас в monobank регистрируется тоже много знаменитостей. Правда, большинство знаменитостей в Украине так или иначе связаны с политикой, а значит являются, если выражаться банковским жаргоном, ПЕПом (politically exposed person). Чтобы открыть счет для ПЕПа, законодательство требует такие танцы с бубнами, что легче на луну улететь.
А вот Катчеру мы бы счет открыть не смогли. Никаких тебе эффектов бабочки.</t>
  </si>
  <si>
    <t>Tem Gorach</t>
  </si>
  <si>
    <t>також планую на нього перейти )</t>
  </si>
  <si>
    <t>Готую корисні рецепти‍</t>
  </si>
  <si>
    <t>по п.1. - у них в частых вопросах этот момент описан. Кажется они рекомендуют после изменения лимита расплатиться с использованием чипа, чтоб что-то могло в чипе обновиться. (не уверен нужно перечитать).
по п.2 - это бага метро, у меня такое же и с Приватом было. А вот касательно того что забили с ответом, так это на них не похоже, мне и через 3 и 4 дня все отвечали...
по поводу пополнений с Привата в разделе частых вопросов они тоже доволно подробно все описали.
А вот из реальных минусов, то что нельзя как в Привате с приложения через NFC платить с телефона. (тогда можно было-бы вдвоем одной карточкой пользоваться. :) ), Но это вроде в планах и кажется они включили поддержку AndroidPay.</t>
  </si>
  <si>
    <t>Тарас Король</t>
  </si>
  <si>
    <t>Я за екологію, поліетилен це зло)))</t>
  </si>
  <si>
    <t>Марчело, смотри за подстрекательство к  терроризму закроют))</t>
  </si>
  <si>
    <t>Yevhen Ivliev</t>
  </si>
  <si>
    <t>як найкраще(найдешевше) поповняти монобанк?</t>
  </si>
  <si>
    <t>та, з кредо двома кліками :)</t>
  </si>
  <si>
    <t>Anna Paliukh</t>
  </si>
  <si>
    <t>Oleh A Mykhaylovych</t>
  </si>
  <si>
    <t>#постыДубилета )) модного банкира)) Читаю интервью с владельцем Badoo — самым популярным приложенем для знакомств в мире</t>
  </si>
  <si>
    <t>#постыДубилета )) модного банкира))
Читаю интервью с владельцем Badoo — самым популярным приложенем для знакомств в мире (крупнее, чем Тиндер).
Он рассказал забавную историю о том, как однажды на вечеринке познакомился с Эштоном Катчером и попытался зарегистрировать его в приложении. Их система распознавания лиц тут же узнала селебрити и заблокировала акаунт, посчитав его фейком.
Кстати, у нас в monobank регистрируется тоже много знаменитостей. Правда, большинство знаменитостей в Украине так или иначе связаны с политикой, а значит являются, если выражаться банковским жаргоном, ПЕПом (politically exposed person). Чтобы открыть счет для ПЕПа, законодательство требует такие танцы с бубнами, что легче на луну улететь.
А вот Катчеру мы бы счет открыть не смогли. Никаких тебе эффектов бабочки.</t>
  </si>
  <si>
    <t>Yuliya Latenko</t>
  </si>
  <si>
    <t>Oleksii Aleksandrov</t>
  </si>
  <si>
    <t>https://monobank.com.ua/r/xgAX</t>
  </si>
  <si>
    <t>На днях совершенно случайно наткнулся на Монобанк, обычно довольно холодно отношусь к новым картам, в этом случае сценарий немного изменился) По условиям пополнение/снятие схож с Приватом, но тут много других плюшек как, например, процент на остаток, который каждый день начисляется, и гибкий кешбек, который можно настроить под себя. Отдельно хочу отметить приложуху под iOS, выглядит очень достойно. В общем будем проверять в работе) Карта бесплатна, если что, оставлю ссылку, при регистрации Вам прилетит бонус 50 грн (мне, кстати, тоже)  Если кто пользуется, напишите отзывы)
https://monobank.com.ua/r/xgAX
.
#монобанк #monobank #kherson_insta #kherson #kherson_people #kherson_news #деньги #финансы #украина #норм #тема #отзывы #fabrika #trcfabrika #restinkherson</t>
  </si>
  <si>
    <t>Тетяна Федунь</t>
  </si>
  <si>
    <t>В их группе уже все давно выяснили по этому поводу</t>
  </si>
  <si>
    <t>Andrew Fadeev</t>
  </si>
  <si>
    <t>Hello Mono! #monobank #mono #cat</t>
  </si>
  <si>
    <t>Anastasia Koshil я только хотела написать, что ты не в тот клуб  подалась))) Даешь банк с наклейками для собак)))</t>
  </si>
  <si>
    <t>Elena Shcherbatiuk</t>
  </si>
  <si>
    <t>Anastasia Koshil</t>
  </si>
  <si>
    <t>Врятли гос служащие целевая монобанка. Но все верно, и гос служащие хорошо научены и январю-февраль у банков - тотальная печать справок:)</t>
  </si>
  <si>
    <t>Лариса Слаута</t>
  </si>
  <si>
    <t>Не забудьте подать актуальную декларацию :) И еще в продолжение предыдущего поста о Monobank, спасибо Сергей Нестеренко</t>
  </si>
  <si>
    <t>Не забудьте подать актуальную декларацию :)
И еще в продолжение предыдущего поста о Monobank, спасибо Сергей Нестеренко (Serhii Nesterenko), его комент натолкнул меня на эту мысль.
Монобанк начисляет кешбек за покупки.
Так вот из этого кешбека он удерживает налоги: 18% НДФЛ и 1,5% ВЗ.
По сути это правильно, так как это дополнительное благо.
А раз он эти налоги удерживает, то почти наверняка сдает в налоговую декларацию 1-ДФ, в которой отражает сумму выплаченных доходов и удержанных налогов.
Так вот, если вы госслужащий или ЛЮБОЕ ДРУГОЕ ЛИЦО которое ежегодно сдает декларацию о доходах, согласно закона о коррупции....
НЕ забудьте указать сумму кешбека, полученного от монобанка в этой своей декларации.
Ибо в противном случае, светит вам за это протокол о коррупции (за недостоверные данные), со всеми вытекающими.
И хорошо если вы налоговик или просто умный госслужащий, и перед тем как сдавать декларацию, возьмете справку о доходах.
Ну и увидите суммы кешбека.
А если как многие, то сдадите декларацию, просто на основании справки о доходах с бухгалтерии.
Тут то и придет вам кабздец.
"Налоговик" впрочем совсем не означает ммм.... "умный".
Хотя казалось бы... само место работы какгбы обязывает думать "как система".
Но нет.
Девочка с налоговой ушла в декрет, на 6 лет.
А когда ей стало скучно сидеть дома (годика через четыре), решила не выходить на работу (там плохо и зарплата маленькая), а устроится менеджером на фирму.
На фирму ее взяли, и как-то не заморачиваясь отсутствием трудовой, оформили официально.
Через полгода за девочкой "пришли" - вылетела с работы по закону о коррупции.
И при этом недоумевала "За что? Я ж не работала в налоговой!! Я в декрете была!!!".
Вторая, будучи в декрете, торговала в интернете получая деньги на личную карту.
Последствия были такие же :)
И это только два факт, из длинной вереницы случаев, известны мне на сегодня :) и еще не получивших "огласки", в рамках уголовных или административных производств. ;) :)
Так вот, я собственно о чем.
Если сотрудники налоговой, зачастую не могут увязать, в логическую цепочку, факт выплаты доходов и декларацию :) то другим (тому же завкавфедрой института) и в голову не придет, что кешбек Монобанка нужно отражать в декларации :)
Кстати, Дмитрий Дубилет наверное было бы очень клиентоориентировано :) если бы ваши клиенты, скажем 1 января, получили письмо примерно следующего содержания "За прошлый год мы вам начислили и выплатили Н суму кешбека. Не забудьте отразить ее в вашей декларации, если вы должны ее подавать согласно Законодательства Украины"
Согласны? :) ;)
ЗЫ. Прочитали пост? :)
Жмите кнопку "Поделится", что бы показать его вашим друзьям.
Ну если только вы не хотите их увидеть в суде, в качестве обвиняемых, за неуказанную сумму кешбека, в их декларации :) :) :)</t>
  </si>
  <si>
    <t>Yuriy Silvestrov</t>
  </si>
  <si>
    <t>Итак, с Gpay была одна проблема - карту нужно было заводить в приложение, потом подтвержать SMS. Альфа банк сделал финт</t>
  </si>
  <si>
    <t>Итак, с Gpay была одна проблема - карту нужно было заводить в приложение, потом подтвержать SMS.
Альфа банк сделал финт ушами, теперь в его мобильном приложении можно просто зайти в карту и привязать ее к Gpay, и назначить ее там же картой по умолчанию.
Мелочь? Ну мелочь не мелоч, а пользователю очень приятно.
Тут ребятки обошли и Monobank и даже "икону" банковских приложений Приват24. Красавчики, чо.
Ну и кстати, все остальные функции Приват24 там так же доступны :-)
Чем же хороша оплата с NFC, кроме очевидной выгоды - не нужно таскать лопатник с карточками?
А тем что карту, даже безконтактную некоторые кассиры таки норовят сцапать в свои руки. А вот телефон они у вас забирать не станут ;-)
Одна правда проблема - украинские банкоматы пока не понимают NFC. Но и тут Альфа оказались красавчиками - некоторые их банкоматы Прекрасно работают без карты, а только с NFC. Правда я не пробовал там использовать именно Gpay, выберусь на выходные расскажу.</t>
  </si>
  <si>
    <t>Андрій Горбенко</t>
  </si>
  <si>
    <t>Единый электронный билет в городском электротранспорте</t>
  </si>
  <si>
    <t>Цитата:
	Сообщение от Wowa
				Не только. Бесплатных полно. Ну а что в Харькове нельзя оплатить, что ж. Пригодятся в Сумах, Киеве или Тернополе.
а если не сложно, можно еще примеры бесплатных карт, желательно с пайпассом/пайвейвом кроме привата и монобанка?</t>
  </si>
  <si>
    <t>vovoshka</t>
  </si>
  <si>
    <t>(своими словами)
БУДЬТЕ ВНИМАТЕЛЬНЫ!
после вывода кешбека - на вас счет будет зачислена сумма *?:№;(*%? грн, после вычета налогов.
ОБРАТИТЕ ВНИМАНИЕ, если вы получаете социальную помощь или субсидии - это будет считаться вашим доходом и может повлиять на сумму начислений.</t>
  </si>
  <si>
    <t>Лола Грымзик</t>
  </si>
  <si>
    <t>А вообще я жду, пока появится «перший банк для песикiв» )))</t>
  </si>
  <si>
    <t>Anastasia Koshil   м-мотивация</t>
  </si>
  <si>
    <t>Карту я, кстати, уже потеряла. Так что при случае пойду за новой, только подожду новых наклеек)))</t>
  </si>
  <si>
    <t>Anastasia Koshil нееее)) блин, карту идти открыть что ли...)))</t>
  </si>
  <si>
    <t>А ты б давала наклейки просто так?) ещё и с котами)))</t>
  </si>
  <si>
    <t>И что в ней?</t>
  </si>
  <si>
    <t>Наклейки дают только при открытии карты?))</t>
  </si>
  <si>
    <t>А что, если технику и электронику будет рекламировать кот Борис? Такая идея пришла мне для интернет-магазина “Avic”,</t>
  </si>
  <si>
    <t>И у монобанка котик есть</t>
  </si>
  <si>
    <t>Anna Derikolenko</t>
  </si>
  <si>
    <t>Юлия Швед</t>
  </si>
  <si>
    <t>Максим Гаев</t>
  </si>
  <si>
    <t>Недавно попробовал Monobank... Это реально охуенный сервис. Ну и карта прикольная. Чтобы получить или закрыть карту, не</t>
  </si>
  <si>
    <t>Это прекрасно!</t>
  </si>
  <si>
    <t>Kit Zerg</t>
  </si>
  <si>
    <t>Риг Джо Крюгер</t>
  </si>
  <si>
    <t>08:04</t>
  </si>
  <si>
    <t>Yukhym Kuzmich</t>
  </si>
  <si>
    <t>ггг, а на пенсию это влияет?)
//подозрительно отношусь к тем, кто был в привате</t>
  </si>
  <si>
    <t>Иван Иванович Чай</t>
  </si>
  <si>
    <t>Історія про лотерею. Виникла у мене потреба замовити товар в інтернет-магазині, крупногабаритний, об'ємною масою &gt;30 кг.</t>
  </si>
  <si>
    <t>В треді Monobank декілька разів писали про це...</t>
  </si>
  <si>
    <t>Victor Ilynsky</t>
  </si>
  <si>
    <t>Volodymyr Mykhalchuk</t>
  </si>
  <si>
    <t>07:48</t>
  </si>
  <si>
    <t>чего тут выяснять, кроме как когда пришлют итоговое письмо
потому что по выпискам наверняка хрен поймешь сколько начисляли того кешбека</t>
  </si>
  <si>
    <t>07:38</t>
  </si>
  <si>
    <t>Maria Bereziouk</t>
  </si>
  <si>
    <t>07:36</t>
  </si>
  <si>
    <t>07:35</t>
  </si>
  <si>
    <t>#monobank #mono #qrcat #challenge Думали, куди це Іринка поділась зі своїм Монобанком, а я просто дала вам час</t>
  </si>
  <si>
    <t>#monobank #mono #qrcat #challenge
Думали, куди це Іринка поділась зі своїм Монобанком, а я просто дала вам час перетравити всі ті смаколики від monobank, про які я тут писала.
Одже, продовжимо. Наприклад, хочете ви перевести комусь кошти, а знаєте лише номер картки. В інших банках вам скажуть, що цієї інфи замало, а monobank в два кліки запульне ваші грошики та ще й без комісії (звісно, якщо це не були кредитні кошти)! А ще можна поповнити без комісії мобільний і сплатити комуналку. Чи я про таке розповідала? Хто уважний?
Запрошую вас у Монобанк! Встановлюєте додаток, реєструєтеся і отримуєте карту. Просто, як все геніальне. А після активації знайдіть у себе на рахунку 50 грн кешбеку ;)
https://monobank.com.ua/r/XWnH
Робіть репости, розповсюджуйте щастя :)</t>
  </si>
  <si>
    <t>Maxim  Luschan</t>
  </si>
  <si>
    <t>На месте пользователей монобанка я бы выяснила, что к чему
И еще в продолжение предыдущего поста о Monobank, спасибо Сергей Нестеренко (Serhii Nesterenko), его комент натолкнул меня на эту мысль.
Монобанк начисляет кешбек за покупки.
Так вот из этого кешбека он удерживает налоги: 18% НДФЛ и 1,5% ВЗ.
По сути это правильно, так как это дополнительное благо.
А раз он эти налоги удерживает, то почти наверняка сдает в налоговую декларацию 1-ДФ, в которой отражает сумму выплаченных доходов и удержанных налогов.
Так вот, если вы госслужащий или ЛЮБОЕ ДРУГОЕ ЛИЦО которое ежегодно сдает декларацию о доходах, согласно закона о коррупции....
НЕ забудьте указать сумму кешбека, полученного от монобанка в этой своей декларации.
Ибо в противном случае, светит вам за это протокол о коррупции (за недостоверные данные), со всеми вытекающими.
И хорошо если вы налоговик или просто умный госслужащий, и перед тем как сдавать декларацию, возьмете справку о доходах.
Ну и увидите суммы кешбека.
А если как многие, то сдадите декларацию, просто на основании справки о доходах с бухгалтерии.
Тут то и придет вам кабздец.
"Налоговик" впрочем совсем не означает ммм.... "умный".
Хотя казалось бы... само место работы какгбы обязывает думать "как система".
Но нет.
Девочка с налоговой ушла в декрет, на 6 лет.
А когда ей стало скучно сидеть дома (годика через четыре), решила не выходить на работу (там плохо и зарплата маленькая), а устроится менеджером на фирму.
На фирму ее взяли, и как-то не заморачиваясь отсутствием трудовой, оформили официально.
Через полгода за девочкой "пришли" - вылетела с работы по закону о коррупции.
И при этом недоумевала "За что? Я ж не работала в налоговой!! Я в декрете была!!!".
Вторая, будучи в декрете, торговала в интернете получая деньги на личную карту.
Последствия были такие же :)
И это только два факт, из длинной вереницы случаев, известны мне на сегодня :) и еще не получивших "огласки", в рамках уголовных или административных производств. ;) :)
Так вот, я собственно о чем.
Если сотрудники налоговой, зачастую не могут увязать, в логическую цепочку, факт выплаты доходов и декларацию :) то другим (тому же завкавфедрой института) и в голову не придет, что кешбек Монобанка нужно отражать в декларации :)
Кстати, Дмитрий Дубилет наверное было бы очень клиентоориентировано :) если бы ваши клиенты, скажем 1 января, получили письмо примерно следующего содержания "За прошлый год мы вам начислили и выплатили Н суму кешбека. Не забудьте отразить ее в вашей декларации, если вы должны ее подавать согласно Законодательства Украины"
Согласны? :) ;)
ЗЫ. Прочитали пост? :)
Жмите кнопку "Поделится", что бы показать его вашим друзьям.
Ну если только вы не хотите их увидеть в суде, в качестве обвиняемых, за неуказанную сумму кешбека, в их декларации :) :) :)</t>
  </si>
  <si>
    <t>07:23</t>
  </si>
  <si>
    <t>Ініціатива рушій екологічних проблем)))</t>
  </si>
  <si>
    <t>06:37</t>
  </si>
  <si>
    <t>Проблемы с переводом средств на карты приват банка. Приват эти переводы просто блочит.</t>
  </si>
  <si>
    <t>Илья Мисюра</t>
  </si>
  <si>
    <t>Юрий Пугач</t>
  </si>
  <si>
    <t>06:15</t>
  </si>
  <si>
    <t>Дмитрий приглашает вас в monobank! Оформите карту, перейдя по персональной ссылке, и вы получите 50 грн на счет!
https://monobank.com.ua/r/x9XU</t>
  </si>
  <si>
    <t>Delay News</t>
  </si>
  <si>
    <t>03:44</t>
  </si>
  <si>
    <t>Vlad Leshchenko</t>
  </si>
  <si>
    <t>03:41</t>
  </si>
  <si>
    <t>Taras Grabar</t>
  </si>
  <si>
    <t>03:08</t>
  </si>
  <si>
    <t>Wellcome to monobank! Оформи карту, перейдя по ссылке ниже, и получи 50 грн на счет кешбэка!
https://monobank.com.ua/r/VnU8</t>
  </si>
  <si>
    <t>Антон Подлесный</t>
  </si>
  <si>
    <t>03:00</t>
  </si>
  <si>
    <t>Wellcome to monobank! Оформи карту, перейдя по ссылке ниже, и получи 50 грн на счет кешбэка!
https://monobank.com.ua/r/VnU8
monobank.com.ua/r/VnU8
https://monobank.com.ua/r/VnU8</t>
  </si>
  <si>
    <t>02:57</t>
  </si>
  <si>
    <t>02:22</t>
  </si>
  <si>
    <t>Концерт @044rose  в поддержку @taras_oliinyk 
31.03 18:00 Кинотеатр «Салют» Крещатик, 170
Вчера , листая ленту , увидел пост что нужна помощь фотографу-черкащанину  Его зовут Тарас Олейник , ему 25 лет, и у него диагноз - злокачественная опухоль желудка. Я понимаю, что это такое , так как моей отец тоже борется с этой болезнью. Сейчас ,Тарасу нужна наша поддержка, как моральная так и материальная. И я призываю , каждого неравнодушного человека помочь ему.
Я в свою очередь решил, что мы должны посвятить ему концерт и часть денег с концерта передать ему лично на лечение, как от сознательной молодежи Черкасс.
Потому что , лучше помочь человеку, который реально нуждается в помощи, чем положить эти деньги себе в карман.
Каждый человек имеет право на жизнь , не имеет значения какой он. Сегодня помогаем мы , а завтра нам.
Будьте добрее! Брат , мы с тобой!
Реквизиты , для помощи Тарасу:
ПриватБанк - 4149 6258 1157 4829
МоноБанк - 5375 4141 0058 4423
Білоног Марина 
#допоможемотарасуодужати #черкассы #вместемысила #помощьлюдям #помощь #gruppirovka_help #cherkassy_gram #cherkassy_insta #cherkasy #cherkassy_city #cherkassy_people</t>
  </si>
  <si>
    <t>ukraine,cherkassy</t>
  </si>
  <si>
    <t>02:18</t>
  </si>
  <si>
    <t>Vugar Ismailov</t>
  </si>
  <si>
    <t>02:05</t>
  </si>
  <si>
    <t>Братство телефона и банка: есть ли перспективы у мобильных кошельков в Украине</t>
  </si>
  <si>
    <t>Мобильные деньги обычно становятся популярными в странах со слабой банковской инфраструктурой и обилием препейд-абонентов. В Украине есть, как минимум, второе. 2018 год обещает много сюрпризов на рынке мобильных кошельков. Чему учит международный опыт и что предлагают «Киевстар», Vodafone и lifecell?  Рождение мобильного кошелька  Мобильный банкинг — технология, позволяющая управлять своим банковским счетом с помощью телефона. Прародителем технологии считается SMS-банкинг, который сейчас используется исключительно для оповещения о транзакциях. Благодаря развитию смартфонов мобильный банкинг получил огромный толчок – в результате пользователи получили банковские приложения, возможность подтверждать операции по отпечатку пальца и переводить деньги, не выстаивая очереди в отделениях. 
 Но есть у словосочетания «мобильный банкинг» и более узкое значение, где слово «мобильный» соотносится не с телефоном, а с абонентским счетом сотового оператора. Речь о мобильном кошельке – технологии, которая позволяет превращать телефонный счет в банковский аккаунт и совершать базовые финансовые операции. 
 Настоящую революцию в этой сфере начал Vodafone, запустив в 2007 году систему M-Pesa в Кении и Танзании. В обеих странах очень слабо развита банковская система, нет разветвленной инфраструктуры, зато есть тотальное недоверие населения к местным финучреждениям. Vodafone предложил альтернативу. Деньги, положенные на мобильный счет, могли использоваться для проведения разнообразных транзакций: оплаты товаров и услуг, переводов и даже размещения депозитов. Так как телефоны были практически у всего населения, трюк сработал, и уже через 4 года системой пользовались более 20 млн человек. Со временем этот опыт заимствовал Афганистан (там это помогло частично побороть коррупцию в органах власти, которые попросту оставляли себе часть наличной зарплаты сотрудников), Мозамбик, Лесото и Египет.  Сдерживающие контракты  Несмотря на отличные результаты Vodafone в Африке, другие операторы и другие страны не спешили перенимать опыт. Во-первых, создание технической базы для технологии в Кении и Танзании финансировалось британским Департаментом международного развития в рамках помощи странам третьего мира. Во-вторых, запуск M-Pesa в ЮАР оказался провальным – так же, как и попытка выйти с этой технологией на рынок Европы. В Румынии и Албании сервис не стал популярным. 
 Причина проста — в более развитых странах банковская система обладает достаточным количеством ресурсов и возможностей, чтобы предоставить свои услуги всем желающим. И даже если в доступности она может проигрывать операторам, то более широкий спектр услуг покрывает этот недостаток. Например, операторы не в состоянии кредитовать абонентов на серьезном уровне. В результате, сервис M-Pesa стал фактически монополистом в некоторых развивающихся странах, но путь на большие рынки пробить себе не смог. 
 Это не означает, что зарубежные операторы совсем не поддерживают технологию мобильных кошельков. Почти в каждой стране можно найти телеком-компании, которые предлагают абонентам проводить некоторые мелкие операции с помощью мобильного счета, но их количество ограничено особенностями рынка. Дело в том, что услуга доступна исключительно абонентам препейд-тарифов, а в большинстве стран мира преобладает контрактное подключение. Но – не в Украине.  Украинские реалии  Нельзя сказать, что в Украине большие проблемы с сетевой банковской инфраструктурой или качественным мобильным банкингом – решения уровня Privat24 и Monobank были бы конкурентны и на западноевропейских рынках. Но для cтраны по-прежнему актуальна проблема «чем дальше от города, тем меньше возможностей». Кроме того, рынок состоит преимущественно из препейд-абонентов, что создает благоприятные условия для запуска мобильных кошельков. Как украинские операторы пользуются этой возможностью?  Путь «Киевстара»  Сервис «Киевстара» «Мобільні гроші» (запущен в 2013 году) превращает личный счет абонента в «банковский». В 2015 году оператор создал компанию «Стармани» для расширения спектра услуг в этой области и получил необходимые лицензии для перевода средств между абонентами без открытия счетов. Сейчас с помощью номера телефона можно также оплатить коммунальные услуги, финансовые услуги, штрафы, закинуть деньги на счет в онлайн-играх, купить билеты в кино или на поезд и так далее. 
 В декабре 2017 года президент компании Петр Чернышов анонсировал у себя в Facebook запуск таинственной услуги с «Альфа-банком» и компанией Visa. Вероятно, речь идет о расширении функций «Мобільних грошей». 
 Важной особенностью сервиса являются ограничения в сумме перевода (до 3000 гривен) и доступность исключительно для абонентов «Киевстар». Казалось бы, в этом ничего странного. Но у главных конкурентов «Киевстара» возможность работать с есть.  Путь Vodafone  Как только «МТС-Украина» превратилась в Vodafone, компания зарегистрировала в Украине бренд M-Pesa. Вполне возможно, что запуск планировали в 2016-2017 годах, но провал в Албании и Румынии подкорректировал планы. Вместо этого оператор запустил Vodafone Pay — приложение-цифровой кошелек, который позволяет держать в одном месте все карточки и осуществлять финансовые операции, не прибегая к физической пластиковой карте. 
 В отличие от услуги от «Киевстар», это приложение доступно для абонентов всех операторов. Естественно, будучи пользователем других телеком-компаний, вы не сможете использовать личный счет Vodafone, но получите возможность проводить операции с помощью банковских карточек. 
 Компания пошла гибридным путем, выбрав вариант посредника между банком и абонентом для упрощения использования множества счетов одновременно. В то же время «Киевстар» постепенно движется к собственной системе финансовых услуг, которая напоминает M-Pesa и российский «МТС Банк».  Путь lifecell  Третий оператор из «большой тройки» только начинает делать первые шаги в сторону услуги «мобильного кошелька». Компания запустила свой сервис оплаты Paycell лишь в феврале 2018 года, предоставив абонентам все основные возможности: оплата счетов, коммунальных услуг, переводы на банковскую карточку, такси, покупка билетов, электронных ваучеров и даже журналов (в фирменном приложении оператора). Что интересно, Paycell — адаптация одноименной системы материнской компании Turkcell, которая уже давно работает в Турции. 
 Также компания запустила сервис перевода средств между банковскими карточками.</t>
  </si>
  <si>
    <t>k750.media</t>
  </si>
  <si>
    <t>01:50</t>
  </si>
  <si>
    <t>Samanta Frost</t>
  </si>
  <si>
    <t>Кто хочет получить сегодня карту Монобанка в отделении - пока не заработает телеграм - не выйдет) upd. Выдали карту без</t>
  </si>
  <si>
    <t>IN DUROV WE TRUST))</t>
  </si>
  <si>
    <t>Виктор Анатольевич</t>
  </si>
  <si>
    <t>01:39</t>
  </si>
  <si>
    <t>Пропоную роботу на monobank, вона полягає в тому що потрібно щоб за вашою помилкою зареєструвався наприклад ваш друг і оформив собі карту абсолютно безкоштовно за це вам і йому прийде 50 грн на кешбек.Мінус в тому що з кешбеку можна вивести не менше ніж 100 грн.
З цією картою ви зможете поповнювати мобільний без комісії, отримувати 20% кешбеку за квитки в кіно, та 4% за продукти харчування.
Вивести на іншу карту без комісії.
Зняти кошти в будь—якому банкоматі з комісією 0,5%.
Щоб отримати ссилку за реєстрацію по якій вам дається 50 грн пишіть в пп.</t>
  </si>
  <si>
    <t>01:32</t>
  </si>
  <si>
    <t>Оформите карту, перейдя по персональной ссылке, и вы  получите по 50 грн на счет кешбэка!
https://monobank.com.ua/r/SeFN</t>
  </si>
  <si>
    <t>Мембот</t>
  </si>
  <si>
    <t>01:30</t>
  </si>
  <si>
    <t>01:20</t>
  </si>
  <si>
    <t>Василь Давидко</t>
  </si>
  <si>
    <t>01:14</t>
  </si>
  <si>
    <t>Супер монобанк. Использую как проездной.
https://monobank.com.ua/r/5dHz</t>
  </si>
  <si>
    <t>АТБшна історія.
Тільки шо, вже після 24.00 розраховуюсь на касі картою Monobank в передчутті 4% кешбеку. Скупився на 307,60 грн., в т.ч. 0.7л Whisky Sir Edward's за 223,90 грн. (мінімалка). Касир традиційно пропонує пакетик, я традиційно відмовляюсь. Але в цей раз вирішив трохи поговорити. Мовляв, по радіо чув екологічну передачу і там сказали, що поліетиленові пакетики - зло. Касир і охоронець зі мною погодились. Потім я додав, що найвища ступінь екологічної свідомості - вбити себе, щоб не шкодити природі. Вони трохи напряглися, але теж ніби погодились. Тоді я продовжив свою думку - перед самоліквідацією треба постаратись вбити інших людей (так ще буде менше шкоди природі). Касир, після невеликої паузи, задумливо: "Проблема в тому, що всі багато говорять і нічого не роблять". Я засміявся і перепитав: "в сенсі, не вбивають себе?". Вона радісно відповіла: "Ну так!" і охоронець її підтримав. :-)</t>
  </si>
  <si>
    <t>Dmitriy Kuzmenko Попробую чипом :)</t>
  </si>
  <si>
    <t>00:58</t>
  </si>
  <si>
    <t>Inna  Vasilenko</t>
  </si>
  <si>
    <t>Марина Парафенюк</t>
  </si>
  <si>
    <t>Valeriia Arkhypenko не аваль - это пройденный этап - я закрыл эту тему 10 лет назад, когда они меня обманули на курсе доллара и в отделении сказали "да да мы понимаем, но ниче сделать не можем". Ну и клинент банк у них всегда паршивый был. Хотя не паршивее ,чем у Кредо банка :-)</t>
  </si>
  <si>
    <t>И даже с постепенным закручиванием гаек у привата конкурентов по  сервису нет. Через их апликухи можно делать буквально всё, включая отправку доков в налоговую. Аваль, например, предлагает мне прийти к ним в отделение с декларацией за прошлый год для "идентификации клиента" по какому-то очередному требованию НБУ. И это я у них как физ.лицо обслуживаюсь.</t>
  </si>
  <si>
    <t>Alexey Gavenko</t>
  </si>
  <si>
    <t>00:37</t>
  </si>
  <si>
    <t>00:33</t>
  </si>
  <si>
    <t>Приват сейчас становится все неудобнее - в нем даже нельзя долларов с долларовой карты на гривневую кинуть в неоперационное время. Как и этот перевод за 3 гривны.
Я этот вопрос решал тем что пополнял монобанковускую карточку с долларовой приватовской - это шло как оплата и было доступно круглые сутки, но этот их гнусный процент делает эту операцию неприятной.
Но в целом все понятно с ними.</t>
  </si>
  <si>
    <t>Реально крутая штука! Мне за сегодня только 25 грн вернули  Приглашаю вас в monobank! Оформите карту, перейдя по</t>
  </si>
  <si>
    <t>Реально крутая штука!
Мне за сегодня только 25 грн вернули 
Приглашаю вас в monobank! Оформите карту, перейдя по персональной ссылке, и мы оба получим по 50 грн на счет кешбэка!
f6mq8.app.goo.gl
https://monobank.com.ua/r/jRQv</t>
  </si>
  <si>
    <t>Ania Bozhevilna</t>
  </si>
  <si>
    <t>Межбанковские переводы идут до трёх дней. В данном случае перевод с привата на монобанк</t>
  </si>
  <si>
    <t>С карты на карту - моментально тоже</t>
  </si>
  <si>
    <t>Виталий Воропаев</t>
  </si>
  <si>
    <t>А че так? У меня моментально летает и с привета и с моно на биржу по 14500 хоть по 10 платежей за час делай</t>
  </si>
  <si>
    <t>С монобанка обнал не удобный</t>
  </si>
  <si>
    <t>Мне завести нужно, для начала. Сделал перевод с привата на моно, так теперь ждать платёж до 3 банковских дней. Ни что не согревает этим вечером, как моя горящая жопа от привата</t>
  </si>
  <si>
    <t>Согласно нашей статистике, с монобанком гораздо меньше проблем</t>
  </si>
  <si>
    <t>Вау. Спасибо за развернутый ответ.</t>
  </si>
  <si>
    <t>#monobank Написав звернення опівночі в месенджері- отримав відповідь через 5 хв. Респект</t>
  </si>
  <si>
    <t>#monobank
Написав звернення опівночі в месенджері- отримав відповідь через 5 хв. Респект</t>
  </si>
  <si>
    <t>Vasyl Khomiak</t>
  </si>
  <si>
    <t>За три месяца использования минусов не нашёл) кроме того что задаёт планку, и потом сложно с другими сервисными компаниями сотрудничать)</t>
  </si>
  <si>
    <t>00:11</t>
  </si>
  <si>
    <t>Насколько я понял, это работает только для чипа, когда контактлесс - срабатывает настройка эквайрера</t>
  </si>
  <si>
    <t>Когда выводишь кешбек - у меня выскакивает огромная табличка про налог. Сложно провтыкать</t>
  </si>
  <si>
    <t>Внимание, кэшбэк. И еще в продолжение предыдущего поста о Monobank, спасибо Сергей Нестеренко (Serhii Nesterenko), его</t>
  </si>
  <si>
    <t>Количество для декларации не важно.</t>
  </si>
  <si>
    <t>Date</t>
  </si>
  <si>
    <t>Time</t>
  </si>
  <si>
    <t>Save</t>
  </si>
  <si>
    <t>Title</t>
  </si>
  <si>
    <t>Text</t>
  </si>
  <si>
    <t>Tonality</t>
  </si>
  <si>
    <t>Author</t>
  </si>
  <si>
    <t>Followers</t>
  </si>
  <si>
    <t>Demography</t>
  </si>
  <si>
    <t>Age</t>
  </si>
  <si>
    <t>Site</t>
  </si>
  <si>
    <t>Edition</t>
  </si>
  <si>
    <t>Country</t>
  </si>
  <si>
    <t>Account</t>
  </si>
  <si>
    <t>Account_Edition</t>
  </si>
  <si>
    <t>Post_Type</t>
  </si>
  <si>
    <t>Followers_Edition</t>
  </si>
  <si>
    <t>Site_Type</t>
  </si>
  <si>
    <t>Post</t>
  </si>
  <si>
    <t>Amended share</t>
  </si>
  <si>
    <t>Share</t>
  </si>
  <si>
    <t>Comment</t>
  </si>
  <si>
    <t>Negative</t>
  </si>
  <si>
    <t>Positive</t>
  </si>
  <si>
    <t>Neutral</t>
  </si>
  <si>
    <t>Male</t>
  </si>
  <si>
    <t>Female</t>
  </si>
  <si>
    <t>Association</t>
  </si>
  <si>
    <t>Forum</t>
  </si>
  <si>
    <t>Social network</t>
  </si>
  <si>
    <t>Blog</t>
  </si>
  <si>
    <t>Mass-media</t>
  </si>
  <si>
    <t>Messengers</t>
  </si>
  <si>
    <t>Reviews</t>
  </si>
  <si>
    <t>Russia</t>
  </si>
  <si>
    <t>Ukraine</t>
  </si>
  <si>
    <t>Australia</t>
  </si>
  <si>
    <t>Austria</t>
  </si>
  <si>
    <t>Bangladesh</t>
  </si>
  <si>
    <t>Belarus</t>
  </si>
  <si>
    <t>Belgium</t>
  </si>
  <si>
    <t>Brazil</t>
  </si>
  <si>
    <t>Bulgaria</t>
  </si>
  <si>
    <t>Latvia</t>
  </si>
  <si>
    <t>Lithuania</t>
  </si>
  <si>
    <t>Great Britain</t>
  </si>
  <si>
    <t>Israel</t>
  </si>
  <si>
    <t>Honduras</t>
  </si>
  <si>
    <t>Greece</t>
  </si>
  <si>
    <t>Germany</t>
  </si>
  <si>
    <t>Georgia</t>
  </si>
  <si>
    <t>India</t>
  </si>
  <si>
    <t>Spain</t>
  </si>
  <si>
    <t>Italy</t>
  </si>
  <si>
    <t>Kazakhstan</t>
  </si>
  <si>
    <t>Kyrgyzstan</t>
  </si>
  <si>
    <t>Canada</t>
  </si>
  <si>
    <t>Colombia</t>
  </si>
  <si>
    <t>South Africa</t>
  </si>
  <si>
    <t>Netherlands</t>
  </si>
  <si>
    <t>Norway</t>
  </si>
  <si>
    <t>Pakistan</t>
  </si>
  <si>
    <t>Portugal</t>
  </si>
  <si>
    <t>Poland</t>
  </si>
  <si>
    <t>South Korea</t>
  </si>
  <si>
    <t>USA</t>
  </si>
  <si>
    <t>Estonia</t>
  </si>
  <si>
    <t>Ecuador</t>
  </si>
  <si>
    <t>Turkmenistan</t>
  </si>
  <si>
    <t>Uzbekistan</t>
  </si>
  <si>
    <t>France</t>
  </si>
  <si>
    <t>Thailand</t>
  </si>
  <si>
    <t>Slovakia</t>
  </si>
  <si>
    <t>Sweden</t>
  </si>
  <si>
    <t>Czech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</si>
</sst>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ont>
    <font>
      <b/>
      <sz val="11"/>
      <color rgb="FF000000"/>
      <name val="Calibri"/>
    </font>
    <font>
      <u/>
      <sz val="11"/>
      <color rgb="FF0000FF"/>
      <name val="Calibri"/>
    </font>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xf numFmtId="0" fontId="2" fillId="0" borderId="0" xfId="0" applyFont="1"/>
    <xf numFmtId="0" fontId="3" fillId="0" borderId="0" xfId="0" applyFont="1" applyAlignment="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62"/>
  <sheetViews>
    <sheetView tabSelected="1" zoomScale="80" zoomScaleNormal="80" workbookViewId="0">
      <selection activeCell="T1" sqref="T1"/>
    </sheetView>
  </sheetViews>
  <sheetFormatPr defaultColWidth="14.44140625" defaultRowHeight="15" customHeight="1" x14ac:dyDescent="0.3"/>
  <cols>
    <col min="1" max="1" width="14.109375" customWidth="1"/>
    <col min="2" max="7" width="8.6640625" customWidth="1"/>
    <col min="8" max="8" width="14.109375" customWidth="1"/>
    <col min="9" max="9" width="8.6640625" customWidth="1"/>
    <col min="10" max="10" width="38.33203125" customWidth="1"/>
    <col min="11" max="11" width="14" bestFit="1" customWidth="1"/>
    <col min="12" max="19" width="8.6640625" customWidth="1"/>
  </cols>
  <sheetData>
    <row r="1" spans="1:19" ht="14.25" customHeight="1" x14ac:dyDescent="0.3">
      <c r="A1" s="1" t="s">
        <v>6038</v>
      </c>
      <c r="B1" s="1" t="s">
        <v>6039</v>
      </c>
      <c r="C1" s="1" t="s">
        <v>6040</v>
      </c>
      <c r="D1" s="1" t="s">
        <v>6041</v>
      </c>
      <c r="E1" s="1" t="s">
        <v>6042</v>
      </c>
      <c r="F1" s="1" t="s">
        <v>6053</v>
      </c>
      <c r="G1" s="1" t="s">
        <v>0</v>
      </c>
      <c r="H1" s="1" t="s">
        <v>6043</v>
      </c>
      <c r="I1" s="1" t="s">
        <v>6044</v>
      </c>
      <c r="J1" s="1" t="s">
        <v>6051</v>
      </c>
      <c r="K1" s="1" t="s">
        <v>6045</v>
      </c>
      <c r="L1" s="1" t="s">
        <v>6046</v>
      </c>
      <c r="M1" s="1" t="s">
        <v>6047</v>
      </c>
      <c r="N1" s="1" t="s">
        <v>6048</v>
      </c>
      <c r="O1" s="1" t="s">
        <v>6049</v>
      </c>
      <c r="P1" s="1" t="s">
        <v>6052</v>
      </c>
      <c r="Q1" s="1" t="s">
        <v>6054</v>
      </c>
      <c r="R1" s="1" t="s">
        <v>6055</v>
      </c>
      <c r="S1" s="1" t="s">
        <v>6050</v>
      </c>
    </row>
    <row r="2" spans="1:19" ht="14.25" customHeight="1" x14ac:dyDescent="0.3">
      <c r="A2" t="s">
        <v>2225</v>
      </c>
      <c r="B2" t="s">
        <v>2324</v>
      </c>
      <c r="C2" t="s">
        <v>95</v>
      </c>
      <c r="D2" t="s">
        <v>39</v>
      </c>
      <c r="E2" t="s">
        <v>2327</v>
      </c>
      <c r="F2" t="s">
        <v>6056</v>
      </c>
      <c r="G2" s="2" t="str">
        <f>HYPERLINK("http://4pda.ru/forum/index.php?showtopic=849632&amp;st=1140#entry72023454")</f>
        <v>http://4pda.ru/forum/index.php?showtopic=849632&amp;st=1140#entry72023454</v>
      </c>
      <c r="H2" t="s">
        <v>6060</v>
      </c>
      <c r="I2" t="s">
        <v>2328</v>
      </c>
      <c r="J2" s="2" t="str">
        <f>HYPERLINK("http://4pda.ru/forum/index.php?showuser=1800816")</f>
        <v>http://4pda.ru/forum/index.php?showuser=1800816</v>
      </c>
      <c r="N2" t="s">
        <v>1141</v>
      </c>
      <c r="O2" t="s">
        <v>1142</v>
      </c>
      <c r="P2" s="2" t="str">
        <f t="shared" ref="P2:P21" si="0">HYPERLINK("http://4pda.ru/forum/index.php?showforum=316")</f>
        <v>http://4pda.ru/forum/index.php?showforum=316</v>
      </c>
      <c r="R2" t="s">
        <v>6066</v>
      </c>
      <c r="S2" t="s">
        <v>6072</v>
      </c>
    </row>
    <row r="3" spans="1:19" ht="14.25" customHeight="1" x14ac:dyDescent="0.3">
      <c r="A3" t="s">
        <v>2225</v>
      </c>
      <c r="B3" t="s">
        <v>3033</v>
      </c>
      <c r="C3" t="s">
        <v>95</v>
      </c>
      <c r="D3" t="s">
        <v>39</v>
      </c>
      <c r="E3" t="s">
        <v>3034</v>
      </c>
      <c r="F3" t="s">
        <v>6056</v>
      </c>
      <c r="G3" s="2" t="str">
        <f>HYPERLINK("http://4pda.ru/forum/index.php?showtopic=849632&amp;st=1140#entry72015252")</f>
        <v>http://4pda.ru/forum/index.php?showtopic=849632&amp;st=1140#entry72015252</v>
      </c>
      <c r="H3" t="s">
        <v>6060</v>
      </c>
      <c r="I3" t="s">
        <v>3035</v>
      </c>
      <c r="J3" s="2" t="str">
        <f>HYPERLINK("http://4pda.ru/forum/index.php?showuser=2962290")</f>
        <v>http://4pda.ru/forum/index.php?showuser=2962290</v>
      </c>
      <c r="N3" t="s">
        <v>1141</v>
      </c>
      <c r="O3" t="s">
        <v>1142</v>
      </c>
      <c r="P3" s="2" t="str">
        <f t="shared" si="0"/>
        <v>http://4pda.ru/forum/index.php?showforum=316</v>
      </c>
      <c r="R3" t="s">
        <v>6066</v>
      </c>
      <c r="S3" t="s">
        <v>6072</v>
      </c>
    </row>
    <row r="4" spans="1:19" ht="14.25" customHeight="1" x14ac:dyDescent="0.3">
      <c r="A4" t="s">
        <v>629</v>
      </c>
      <c r="B4" t="s">
        <v>2219</v>
      </c>
      <c r="C4" t="s">
        <v>95</v>
      </c>
      <c r="D4" t="s">
        <v>39</v>
      </c>
      <c r="E4" t="s">
        <v>2220</v>
      </c>
      <c r="F4" t="s">
        <v>6056</v>
      </c>
      <c r="G4" s="2" t="str">
        <f>HYPERLINK("http://4pda.ru/forum/index.php?showtopic=849632&amp;st=1160#entry72026362")</f>
        <v>http://4pda.ru/forum/index.php?showtopic=849632&amp;st=1160#entry72026362</v>
      </c>
      <c r="H4" t="s">
        <v>6060</v>
      </c>
      <c r="I4" t="s">
        <v>1436</v>
      </c>
      <c r="J4" s="2" t="str">
        <f>HYPERLINK("http://4pda.ru/forum/index.php?showuser=2964918")</f>
        <v>http://4pda.ru/forum/index.php?showuser=2964918</v>
      </c>
      <c r="N4" t="s">
        <v>1141</v>
      </c>
      <c r="O4" t="s">
        <v>1142</v>
      </c>
      <c r="P4" s="2" t="str">
        <f t="shared" si="0"/>
        <v>http://4pda.ru/forum/index.php?showforum=316</v>
      </c>
      <c r="R4" t="s">
        <v>6066</v>
      </c>
      <c r="S4" t="s">
        <v>6072</v>
      </c>
    </row>
    <row r="5" spans="1:19" ht="14.25" customHeight="1" x14ac:dyDescent="0.3">
      <c r="A5" t="s">
        <v>629</v>
      </c>
      <c r="B5" t="s">
        <v>1432</v>
      </c>
      <c r="C5" t="s">
        <v>95</v>
      </c>
      <c r="D5" t="s">
        <v>39</v>
      </c>
      <c r="E5" t="s">
        <v>1435</v>
      </c>
      <c r="F5" t="s">
        <v>6056</v>
      </c>
      <c r="G5" s="2" t="str">
        <f>HYPERLINK("http://4pda.ru/forum/index.php?showtopic=849632&amp;st=1160#entry72036676")</f>
        <v>http://4pda.ru/forum/index.php?showtopic=849632&amp;st=1160#entry72036676</v>
      </c>
      <c r="H5" t="s">
        <v>6060</v>
      </c>
      <c r="I5" t="s">
        <v>1436</v>
      </c>
      <c r="J5" s="2" t="str">
        <f>HYPERLINK("http://4pda.ru/forum/index.php?showuser=2964918")</f>
        <v>http://4pda.ru/forum/index.php?showuser=2964918</v>
      </c>
      <c r="N5" t="s">
        <v>1141</v>
      </c>
      <c r="O5" t="s">
        <v>1142</v>
      </c>
      <c r="P5" s="2" t="str">
        <f t="shared" si="0"/>
        <v>http://4pda.ru/forum/index.php?showforum=316</v>
      </c>
      <c r="R5" t="s">
        <v>6066</v>
      </c>
      <c r="S5" t="s">
        <v>6072</v>
      </c>
    </row>
    <row r="6" spans="1:19" ht="14.25" customHeight="1" x14ac:dyDescent="0.3">
      <c r="A6" t="s">
        <v>2225</v>
      </c>
      <c r="B6" t="s">
        <v>2248</v>
      </c>
      <c r="C6" t="s">
        <v>95</v>
      </c>
      <c r="D6" t="s">
        <v>39</v>
      </c>
      <c r="E6" t="s">
        <v>2249</v>
      </c>
      <c r="F6" t="s">
        <v>6056</v>
      </c>
      <c r="G6" s="2" t="str">
        <f>HYPERLINK("http://4pda.ru/forum/index.php?showtopic=849632&amp;st=1140#entry72025650")</f>
        <v>http://4pda.ru/forum/index.php?showtopic=849632&amp;st=1140#entry72025650</v>
      </c>
      <c r="H6" t="s">
        <v>6060</v>
      </c>
      <c r="I6" t="s">
        <v>2250</v>
      </c>
      <c r="J6" s="2" t="str">
        <f>HYPERLINK("http://4pda.ru/forum/index.php?showuser=264120")</f>
        <v>http://4pda.ru/forum/index.php?showuser=264120</v>
      </c>
      <c r="N6" t="s">
        <v>1141</v>
      </c>
      <c r="O6" t="s">
        <v>1142</v>
      </c>
      <c r="P6" s="2" t="str">
        <f t="shared" si="0"/>
        <v>http://4pda.ru/forum/index.php?showforum=316</v>
      </c>
      <c r="R6" t="s">
        <v>6066</v>
      </c>
      <c r="S6" t="s">
        <v>6072</v>
      </c>
    </row>
    <row r="7" spans="1:19" ht="14.25" customHeight="1" x14ac:dyDescent="0.3">
      <c r="A7" t="s">
        <v>2225</v>
      </c>
      <c r="B7" t="s">
        <v>881</v>
      </c>
      <c r="C7" t="s">
        <v>95</v>
      </c>
      <c r="D7" t="s">
        <v>39</v>
      </c>
      <c r="E7" t="s">
        <v>2993</v>
      </c>
      <c r="F7" t="s">
        <v>6056</v>
      </c>
      <c r="G7" s="2" t="str">
        <f>HYPERLINK("http://4pda.ru/forum/index.php?showtopic=849632&amp;st=1140#entry72016837")</f>
        <v>http://4pda.ru/forum/index.php?showtopic=849632&amp;st=1140#entry72016837</v>
      </c>
      <c r="H7" t="s">
        <v>6060</v>
      </c>
      <c r="I7" t="s">
        <v>2097</v>
      </c>
      <c r="J7" s="2" t="str">
        <f>HYPERLINK("http://4pda.ru/forum/index.php?showuser=2188024")</f>
        <v>http://4pda.ru/forum/index.php?showuser=2188024</v>
      </c>
      <c r="N7" t="s">
        <v>1141</v>
      </c>
      <c r="O7" t="s">
        <v>1142</v>
      </c>
      <c r="P7" s="2" t="str">
        <f t="shared" si="0"/>
        <v>http://4pda.ru/forum/index.php?showforum=316</v>
      </c>
      <c r="R7" t="s">
        <v>6066</v>
      </c>
      <c r="S7" t="s">
        <v>6072</v>
      </c>
    </row>
    <row r="8" spans="1:19" ht="14.25" customHeight="1" x14ac:dyDescent="0.3">
      <c r="A8" t="s">
        <v>4439</v>
      </c>
      <c r="B8" t="s">
        <v>1406</v>
      </c>
      <c r="C8" t="s">
        <v>3538</v>
      </c>
      <c r="D8" t="s">
        <v>39</v>
      </c>
      <c r="E8" t="s">
        <v>4702</v>
      </c>
      <c r="F8" t="s">
        <v>6056</v>
      </c>
      <c r="G8" s="2" t="str">
        <f>HYPERLINK("http://4pda.ru/forum/index.php?showtopic=849632&amp;st=1140#entry71934881")</f>
        <v>http://4pda.ru/forum/index.php?showtopic=849632&amp;st=1140#entry71934881</v>
      </c>
      <c r="H8" t="s">
        <v>6060</v>
      </c>
      <c r="I8" t="s">
        <v>4703</v>
      </c>
      <c r="J8" s="2" t="str">
        <f>HYPERLINK("http://4pda.ru/forum/index.php?showuser=6077343")</f>
        <v>http://4pda.ru/forum/index.php?showuser=6077343</v>
      </c>
      <c r="N8" t="s">
        <v>1141</v>
      </c>
      <c r="O8" t="s">
        <v>1142</v>
      </c>
      <c r="P8" s="2" t="str">
        <f t="shared" si="0"/>
        <v>http://4pda.ru/forum/index.php?showforum=316</v>
      </c>
      <c r="R8" t="s">
        <v>6066</v>
      </c>
      <c r="S8" t="s">
        <v>6072</v>
      </c>
    </row>
    <row r="9" spans="1:19" ht="14.25" customHeight="1" x14ac:dyDescent="0.3">
      <c r="A9" t="s">
        <v>629</v>
      </c>
      <c r="B9" t="s">
        <v>250</v>
      </c>
      <c r="C9" t="s">
        <v>95</v>
      </c>
      <c r="D9" t="s">
        <v>39</v>
      </c>
      <c r="E9" t="s">
        <v>1459</v>
      </c>
      <c r="F9" t="s">
        <v>6056</v>
      </c>
      <c r="G9" s="2" t="str">
        <f>HYPERLINK("http://4pda.ru/forum/index.php?showtopic=849632&amp;st=1160#entry72036323")</f>
        <v>http://4pda.ru/forum/index.php?showtopic=849632&amp;st=1160#entry72036323</v>
      </c>
      <c r="H9" t="s">
        <v>6060</v>
      </c>
      <c r="I9" t="s">
        <v>1460</v>
      </c>
      <c r="J9" s="2" t="str">
        <f>HYPERLINK("http://4pda.ru/forum/index.php?showuser=3207363")</f>
        <v>http://4pda.ru/forum/index.php?showuser=3207363</v>
      </c>
      <c r="N9" t="s">
        <v>1141</v>
      </c>
      <c r="O9" t="s">
        <v>1142</v>
      </c>
      <c r="P9" s="2" t="str">
        <f t="shared" si="0"/>
        <v>http://4pda.ru/forum/index.php?showforum=316</v>
      </c>
      <c r="R9" t="s">
        <v>6066</v>
      </c>
      <c r="S9" t="s">
        <v>6072</v>
      </c>
    </row>
    <row r="10" spans="1:19" ht="14.25" customHeight="1" x14ac:dyDescent="0.3">
      <c r="A10" t="s">
        <v>3527</v>
      </c>
      <c r="B10" t="s">
        <v>2125</v>
      </c>
      <c r="C10" t="s">
        <v>3538</v>
      </c>
      <c r="D10" t="s">
        <v>39</v>
      </c>
      <c r="E10" t="s">
        <v>4419</v>
      </c>
      <c r="F10" t="s">
        <v>6056</v>
      </c>
      <c r="G10" s="2" t="str">
        <f>HYPERLINK("http://4pda.ru/forum/index.php?showtopic=849632&amp;st=1140#entry71959519")</f>
        <v>http://4pda.ru/forum/index.php?showtopic=849632&amp;st=1140#entry71959519</v>
      </c>
      <c r="H10" t="s">
        <v>6060</v>
      </c>
      <c r="I10" t="s">
        <v>4420</v>
      </c>
      <c r="J10" s="2" t="str">
        <f>HYPERLINK("http://4pda.ru/forum/index.php?showuser=3483873")</f>
        <v>http://4pda.ru/forum/index.php?showuser=3483873</v>
      </c>
      <c r="N10" t="s">
        <v>1141</v>
      </c>
      <c r="O10" t="s">
        <v>1142</v>
      </c>
      <c r="P10" s="2" t="str">
        <f t="shared" si="0"/>
        <v>http://4pda.ru/forum/index.php?showforum=316</v>
      </c>
      <c r="R10" t="s">
        <v>6066</v>
      </c>
      <c r="S10" t="s">
        <v>6072</v>
      </c>
    </row>
    <row r="11" spans="1:19" ht="14.25" customHeight="1" x14ac:dyDescent="0.3">
      <c r="A11" t="s">
        <v>629</v>
      </c>
      <c r="B11" t="s">
        <v>1136</v>
      </c>
      <c r="C11" t="s">
        <v>95</v>
      </c>
      <c r="D11" t="s">
        <v>39</v>
      </c>
      <c r="E11" t="s">
        <v>1139</v>
      </c>
      <c r="F11" t="s">
        <v>6056</v>
      </c>
      <c r="G11" s="2" t="str">
        <f>HYPERLINK("http://4pda.ru/forum/index.php?showtopic=849632&amp;st=1160#entry72043236")</f>
        <v>http://4pda.ru/forum/index.php?showtopic=849632&amp;st=1160#entry72043236</v>
      </c>
      <c r="H11" t="s">
        <v>6060</v>
      </c>
      <c r="I11" t="s">
        <v>1140</v>
      </c>
      <c r="J11" s="2" t="str">
        <f>HYPERLINK("http://4pda.ru/forum/index.php?showuser=1132103")</f>
        <v>http://4pda.ru/forum/index.php?showuser=1132103</v>
      </c>
      <c r="N11" t="s">
        <v>1141</v>
      </c>
      <c r="O11" t="s">
        <v>1142</v>
      </c>
      <c r="P11" s="2" t="str">
        <f t="shared" si="0"/>
        <v>http://4pda.ru/forum/index.php?showforum=316</v>
      </c>
      <c r="R11" t="s">
        <v>6066</v>
      </c>
      <c r="S11" t="s">
        <v>6072</v>
      </c>
    </row>
    <row r="12" spans="1:19" ht="14.25" customHeight="1" x14ac:dyDescent="0.3">
      <c r="A12" t="s">
        <v>4439</v>
      </c>
      <c r="B12" t="s">
        <v>320</v>
      </c>
      <c r="C12" t="s">
        <v>3538</v>
      </c>
      <c r="D12" t="s">
        <v>39</v>
      </c>
      <c r="E12" t="s">
        <v>4780</v>
      </c>
      <c r="F12" t="s">
        <v>6056</v>
      </c>
      <c r="G12" s="2" t="str">
        <f>HYPERLINK("http://4pda.ru/forum/index.php?showtopic=849632&amp;st=1120#entry71931444")</f>
        <v>http://4pda.ru/forum/index.php?showtopic=849632&amp;st=1120#entry71931444</v>
      </c>
      <c r="H12" t="s">
        <v>6060</v>
      </c>
      <c r="I12" t="s">
        <v>4781</v>
      </c>
      <c r="J12" s="2" t="str">
        <f>HYPERLINK("http://4pda.ru/forum/index.php?showuser=171957")</f>
        <v>http://4pda.ru/forum/index.php?showuser=171957</v>
      </c>
      <c r="N12" t="s">
        <v>1141</v>
      </c>
      <c r="O12" t="s">
        <v>1142</v>
      </c>
      <c r="P12" s="2" t="str">
        <f t="shared" si="0"/>
        <v>http://4pda.ru/forum/index.php?showforum=316</v>
      </c>
      <c r="R12" t="s">
        <v>6066</v>
      </c>
      <c r="S12" t="s">
        <v>6072</v>
      </c>
    </row>
    <row r="13" spans="1:19" ht="14.25" customHeight="1" x14ac:dyDescent="0.3">
      <c r="A13" t="s">
        <v>4439</v>
      </c>
      <c r="B13" t="s">
        <v>1415</v>
      </c>
      <c r="C13" t="s">
        <v>3538</v>
      </c>
      <c r="D13" t="s">
        <v>39</v>
      </c>
      <c r="E13" t="s">
        <v>4711</v>
      </c>
      <c r="F13" t="s">
        <v>6056</v>
      </c>
      <c r="G13" s="2" t="str">
        <f>HYPERLINK("http://4pda.ru/forum/index.php?showtopic=849632&amp;st=1140#entry71934313")</f>
        <v>http://4pda.ru/forum/index.php?showtopic=849632&amp;st=1140#entry71934313</v>
      </c>
      <c r="H13" t="s">
        <v>6062</v>
      </c>
      <c r="I13" t="s">
        <v>4712</v>
      </c>
      <c r="J13" s="2" t="str">
        <f>HYPERLINK("http://4pda.ru/forum/index.php?showuser=2575738")</f>
        <v>http://4pda.ru/forum/index.php?showuser=2575738</v>
      </c>
      <c r="N13" t="s">
        <v>1141</v>
      </c>
      <c r="O13" t="s">
        <v>1142</v>
      </c>
      <c r="P13" s="2" t="str">
        <f t="shared" si="0"/>
        <v>http://4pda.ru/forum/index.php?showforum=316</v>
      </c>
      <c r="R13" t="s">
        <v>6066</v>
      </c>
      <c r="S13" t="s">
        <v>6072</v>
      </c>
    </row>
    <row r="14" spans="1:19" ht="14.25" customHeight="1" x14ac:dyDescent="0.3">
      <c r="A14" t="s">
        <v>4439</v>
      </c>
      <c r="B14" t="s">
        <v>3340</v>
      </c>
      <c r="C14" t="s">
        <v>3538</v>
      </c>
      <c r="D14" t="s">
        <v>39</v>
      </c>
      <c r="E14" t="s">
        <v>4751</v>
      </c>
      <c r="F14" t="s">
        <v>6056</v>
      </c>
      <c r="G14" s="2" t="str">
        <f>HYPERLINK("http://4pda.ru/forum/index.php?showtopic=849632&amp;st=1140#entry71932839")</f>
        <v>http://4pda.ru/forum/index.php?showtopic=849632&amp;st=1140#entry71932839</v>
      </c>
      <c r="H14" t="s">
        <v>6062</v>
      </c>
      <c r="I14" t="s">
        <v>2328</v>
      </c>
      <c r="J14" s="2" t="str">
        <f>HYPERLINK("http://4pda.ru/forum/index.php?showuser=1800816")</f>
        <v>http://4pda.ru/forum/index.php?showuser=1800816</v>
      </c>
      <c r="N14" t="s">
        <v>1141</v>
      </c>
      <c r="O14" t="s">
        <v>1142</v>
      </c>
      <c r="P14" s="2" t="str">
        <f t="shared" si="0"/>
        <v>http://4pda.ru/forum/index.php?showforum=316</v>
      </c>
      <c r="R14" t="s">
        <v>6066</v>
      </c>
      <c r="S14" t="s">
        <v>6072</v>
      </c>
    </row>
    <row r="15" spans="1:19" ht="14.25" customHeight="1" x14ac:dyDescent="0.3">
      <c r="A15" t="s">
        <v>4439</v>
      </c>
      <c r="B15" t="s">
        <v>150</v>
      </c>
      <c r="C15" t="s">
        <v>3538</v>
      </c>
      <c r="D15" t="s">
        <v>39</v>
      </c>
      <c r="E15" t="s">
        <v>4708</v>
      </c>
      <c r="F15" t="s">
        <v>6056</v>
      </c>
      <c r="G15" s="2" t="str">
        <f>HYPERLINK("http://4pda.ru/forum/index.php?showtopic=849632&amp;st=1140#entry71934535")</f>
        <v>http://4pda.ru/forum/index.php?showtopic=849632&amp;st=1140#entry71934535</v>
      </c>
      <c r="H15" t="s">
        <v>6062</v>
      </c>
      <c r="I15" t="s">
        <v>2328</v>
      </c>
      <c r="J15" s="2" t="str">
        <f>HYPERLINK("http://4pda.ru/forum/index.php?showuser=1800816")</f>
        <v>http://4pda.ru/forum/index.php?showuser=1800816</v>
      </c>
      <c r="N15" t="s">
        <v>1141</v>
      </c>
      <c r="O15" t="s">
        <v>1142</v>
      </c>
      <c r="P15" s="2" t="str">
        <f t="shared" si="0"/>
        <v>http://4pda.ru/forum/index.php?showforum=316</v>
      </c>
      <c r="R15" t="s">
        <v>6066</v>
      </c>
      <c r="S15" t="s">
        <v>6072</v>
      </c>
    </row>
    <row r="16" spans="1:19" ht="14.25" customHeight="1" x14ac:dyDescent="0.3">
      <c r="A16" t="s">
        <v>4439</v>
      </c>
      <c r="B16" t="s">
        <v>1484</v>
      </c>
      <c r="C16" t="s">
        <v>3538</v>
      </c>
      <c r="D16" t="s">
        <v>39</v>
      </c>
      <c r="E16" t="s">
        <v>4769</v>
      </c>
      <c r="F16" t="s">
        <v>6056</v>
      </c>
      <c r="G16" s="2" t="str">
        <f>HYPERLINK("http://4pda.ru/forum/index.php?showtopic=849632&amp;st=1120#entry71932253")</f>
        <v>http://4pda.ru/forum/index.php?showtopic=849632&amp;st=1120#entry71932253</v>
      </c>
      <c r="H16" t="s">
        <v>6062</v>
      </c>
      <c r="I16" t="s">
        <v>2328</v>
      </c>
      <c r="J16" s="2" t="str">
        <f>HYPERLINK("http://4pda.ru/forum/index.php?showuser=1800816")</f>
        <v>http://4pda.ru/forum/index.php?showuser=1800816</v>
      </c>
      <c r="N16" t="s">
        <v>1141</v>
      </c>
      <c r="O16" t="s">
        <v>1142</v>
      </c>
      <c r="P16" s="2" t="str">
        <f t="shared" si="0"/>
        <v>http://4pda.ru/forum/index.php?showforum=316</v>
      </c>
      <c r="R16" t="s">
        <v>6066</v>
      </c>
      <c r="S16" t="s">
        <v>6072</v>
      </c>
    </row>
    <row r="17" spans="1:19" ht="14.25" customHeight="1" x14ac:dyDescent="0.3">
      <c r="A17" t="s">
        <v>4439</v>
      </c>
      <c r="B17" t="s">
        <v>1507</v>
      </c>
      <c r="C17" t="s">
        <v>3538</v>
      </c>
      <c r="D17" t="s">
        <v>39</v>
      </c>
      <c r="E17" t="s">
        <v>4771</v>
      </c>
      <c r="F17" t="s">
        <v>6056</v>
      </c>
      <c r="G17" s="2" t="str">
        <f>HYPERLINK("http://4pda.ru/forum/index.php?showtopic=849632&amp;st=1120#entry71932050")</f>
        <v>http://4pda.ru/forum/index.php?showtopic=849632&amp;st=1120#entry71932050</v>
      </c>
      <c r="H17" t="s">
        <v>6062</v>
      </c>
      <c r="I17" t="s">
        <v>4772</v>
      </c>
      <c r="J17" s="2" t="str">
        <f>HYPERLINK("http://4pda.ru/forum/index.php?showuser=7415714")</f>
        <v>http://4pda.ru/forum/index.php?showuser=7415714</v>
      </c>
      <c r="N17" t="s">
        <v>1141</v>
      </c>
      <c r="O17" t="s">
        <v>1142</v>
      </c>
      <c r="P17" s="2" t="str">
        <f t="shared" si="0"/>
        <v>http://4pda.ru/forum/index.php?showforum=316</v>
      </c>
      <c r="R17" t="s">
        <v>6066</v>
      </c>
      <c r="S17" t="s">
        <v>6072</v>
      </c>
    </row>
    <row r="18" spans="1:19" ht="14.25" customHeight="1" x14ac:dyDescent="0.3">
      <c r="A18" t="s">
        <v>2225</v>
      </c>
      <c r="B18" t="s">
        <v>885</v>
      </c>
      <c r="C18" t="s">
        <v>95</v>
      </c>
      <c r="D18" t="s">
        <v>39</v>
      </c>
      <c r="E18" t="s">
        <v>2996</v>
      </c>
      <c r="F18" t="s">
        <v>6056</v>
      </c>
      <c r="G18" s="2" t="str">
        <f>HYPERLINK("http://4pda.ru/forum/index.php?showtopic=849632&amp;st=1140#entry72016695")</f>
        <v>http://4pda.ru/forum/index.php?showtopic=849632&amp;st=1140#entry72016695</v>
      </c>
      <c r="H18" t="s">
        <v>6062</v>
      </c>
      <c r="I18" t="s">
        <v>2997</v>
      </c>
      <c r="J18" s="2" t="str">
        <f>HYPERLINK("http://4pda.ru/forum/index.php?showuser=2431559")</f>
        <v>http://4pda.ru/forum/index.php?showuser=2431559</v>
      </c>
      <c r="N18" t="s">
        <v>1141</v>
      </c>
      <c r="O18" t="s">
        <v>1142</v>
      </c>
      <c r="P18" s="2" t="str">
        <f t="shared" si="0"/>
        <v>http://4pda.ru/forum/index.php?showforum=316</v>
      </c>
      <c r="R18" t="s">
        <v>6066</v>
      </c>
      <c r="S18" t="s">
        <v>6072</v>
      </c>
    </row>
    <row r="19" spans="1:19" ht="14.25" customHeight="1" x14ac:dyDescent="0.3">
      <c r="A19" t="s">
        <v>4439</v>
      </c>
      <c r="B19" t="s">
        <v>1941</v>
      </c>
      <c r="C19" t="s">
        <v>3538</v>
      </c>
      <c r="D19" t="s">
        <v>39</v>
      </c>
      <c r="E19" t="s">
        <v>4857</v>
      </c>
      <c r="F19" t="s">
        <v>6056</v>
      </c>
      <c r="G19" s="2" t="str">
        <f>HYPERLINK("http://4pda.ru/forum/index.php?showtopic=849632&amp;st=1120#entry71928722")</f>
        <v>http://4pda.ru/forum/index.php?showtopic=849632&amp;st=1120#entry71928722</v>
      </c>
      <c r="H19" t="s">
        <v>6062</v>
      </c>
      <c r="I19" t="s">
        <v>4858</v>
      </c>
      <c r="J19" s="2" t="str">
        <f>HYPERLINK("http://4pda.ru/forum/index.php?showuser=740964")</f>
        <v>http://4pda.ru/forum/index.php?showuser=740964</v>
      </c>
      <c r="N19" t="s">
        <v>1141</v>
      </c>
      <c r="O19" t="s">
        <v>1142</v>
      </c>
      <c r="P19" s="2" t="str">
        <f t="shared" si="0"/>
        <v>http://4pda.ru/forum/index.php?showforum=316</v>
      </c>
      <c r="R19" t="s">
        <v>6066</v>
      </c>
      <c r="S19" t="s">
        <v>6072</v>
      </c>
    </row>
    <row r="20" spans="1:19" ht="14.25" customHeight="1" x14ac:dyDescent="0.3">
      <c r="A20" t="s">
        <v>4439</v>
      </c>
      <c r="B20" t="s">
        <v>4760</v>
      </c>
      <c r="C20" t="s">
        <v>3538</v>
      </c>
      <c r="D20" t="s">
        <v>39</v>
      </c>
      <c r="E20" t="s">
        <v>4764</v>
      </c>
      <c r="F20" t="s">
        <v>6056</v>
      </c>
      <c r="G20" s="2" t="str">
        <f>HYPERLINK("http://4pda.ru/forum/index.php?showtopic=849632&amp;st=1120#entry71932407")</f>
        <v>http://4pda.ru/forum/index.php?showtopic=849632&amp;st=1120#entry71932407</v>
      </c>
      <c r="H20" t="s">
        <v>6062</v>
      </c>
      <c r="I20" t="s">
        <v>4744</v>
      </c>
      <c r="J20" s="2" t="str">
        <f>HYPERLINK("http://4pda.ru/forum/index.php?showuser=1563442")</f>
        <v>http://4pda.ru/forum/index.php?showuser=1563442</v>
      </c>
      <c r="N20" t="s">
        <v>1141</v>
      </c>
      <c r="O20" t="s">
        <v>1142</v>
      </c>
      <c r="P20" s="2" t="str">
        <f t="shared" si="0"/>
        <v>http://4pda.ru/forum/index.php?showforum=316</v>
      </c>
      <c r="R20" t="s">
        <v>6066</v>
      </c>
      <c r="S20" t="s">
        <v>6072</v>
      </c>
    </row>
    <row r="21" spans="1:19" ht="14.25" customHeight="1" x14ac:dyDescent="0.3">
      <c r="A21" t="s">
        <v>4439</v>
      </c>
      <c r="B21" t="s">
        <v>252</v>
      </c>
      <c r="C21" t="s">
        <v>3538</v>
      </c>
      <c r="D21" t="s">
        <v>39</v>
      </c>
      <c r="E21" t="s">
        <v>4743</v>
      </c>
      <c r="F21" t="s">
        <v>6056</v>
      </c>
      <c r="G21" s="2" t="str">
        <f>HYPERLINK("http://4pda.ru/forum/index.php?showtopic=849632&amp;st=1140#entry71932919")</f>
        <v>http://4pda.ru/forum/index.php?showtopic=849632&amp;st=1140#entry71932919</v>
      </c>
      <c r="H21" t="s">
        <v>6062</v>
      </c>
      <c r="I21" t="s">
        <v>4744</v>
      </c>
      <c r="J21" s="2" t="str">
        <f>HYPERLINK("http://4pda.ru/forum/index.php?showuser=1563442")</f>
        <v>http://4pda.ru/forum/index.php?showuser=1563442</v>
      </c>
      <c r="N21" t="s">
        <v>1141</v>
      </c>
      <c r="O21" t="s">
        <v>1142</v>
      </c>
      <c r="P21" s="2" t="str">
        <f t="shared" si="0"/>
        <v>http://4pda.ru/forum/index.php?showforum=316</v>
      </c>
      <c r="R21" t="s">
        <v>6066</v>
      </c>
      <c r="S21" t="s">
        <v>6072</v>
      </c>
    </row>
    <row r="22" spans="1:19" ht="14.25" customHeight="1" x14ac:dyDescent="0.3">
      <c r="A22" t="s">
        <v>2225</v>
      </c>
      <c r="B22" t="s">
        <v>3290</v>
      </c>
      <c r="C22" t="s">
        <v>95</v>
      </c>
      <c r="D22" t="s">
        <v>3277</v>
      </c>
      <c r="E22" t="s">
        <v>3295</v>
      </c>
      <c r="F22" t="s">
        <v>6056</v>
      </c>
      <c r="G22" s="2" t="str">
        <f>HYPERLINK("http://4pda.ru/forum/index.php?showtopic=320910&amp;st=8980#entry72003848")</f>
        <v>http://4pda.ru/forum/index.php?showtopic=320910&amp;st=8980#entry72003848</v>
      </c>
      <c r="H22" t="s">
        <v>6062</v>
      </c>
      <c r="I22" t="s">
        <v>3296</v>
      </c>
      <c r="J22" s="2" t="str">
        <f>HYPERLINK("http://4pda.ru/forum/index.php?showuser=6384104")</f>
        <v>http://4pda.ru/forum/index.php?showuser=6384104</v>
      </c>
      <c r="N22" t="s">
        <v>1141</v>
      </c>
      <c r="O22" t="s">
        <v>3280</v>
      </c>
      <c r="P22" s="2" t="str">
        <f>HYPERLINK("http://4pda.ru/forum/index.php?showforum=317")</f>
        <v>http://4pda.ru/forum/index.php?showforum=317</v>
      </c>
      <c r="R22" t="s">
        <v>6066</v>
      </c>
      <c r="S22" t="s">
        <v>6072</v>
      </c>
    </row>
    <row r="23" spans="1:19" ht="14.25" customHeight="1" x14ac:dyDescent="0.3">
      <c r="A23" t="s">
        <v>2225</v>
      </c>
      <c r="B23" t="s">
        <v>3276</v>
      </c>
      <c r="C23" t="s">
        <v>95</v>
      </c>
      <c r="D23" t="s">
        <v>3277</v>
      </c>
      <c r="E23" t="s">
        <v>3278</v>
      </c>
      <c r="F23" t="s">
        <v>6056</v>
      </c>
      <c r="G23" s="2" t="str">
        <f>HYPERLINK("http://4pda.ru/forum/index.php?showtopic=320910&amp;st=8980#entry72004329")</f>
        <v>http://4pda.ru/forum/index.php?showtopic=320910&amp;st=8980#entry72004329</v>
      </c>
      <c r="H23" t="s">
        <v>6062</v>
      </c>
      <c r="I23" t="s">
        <v>3279</v>
      </c>
      <c r="J23" s="2" t="str">
        <f>HYPERLINK("http://4pda.ru/forum/index.php?showuser=911527")</f>
        <v>http://4pda.ru/forum/index.php?showuser=911527</v>
      </c>
      <c r="N23" t="s">
        <v>1141</v>
      </c>
      <c r="O23" t="s">
        <v>3280</v>
      </c>
      <c r="P23" s="2" t="str">
        <f>HYPERLINK("http://4pda.ru/forum/index.php?showforum=317")</f>
        <v>http://4pda.ru/forum/index.php?showforum=317</v>
      </c>
      <c r="R23" t="s">
        <v>6066</v>
      </c>
      <c r="S23" t="s">
        <v>6072</v>
      </c>
    </row>
    <row r="24" spans="1:19" ht="14.25" customHeight="1" x14ac:dyDescent="0.3">
      <c r="A24" t="s">
        <v>3527</v>
      </c>
      <c r="B24" t="s">
        <v>2144</v>
      </c>
      <c r="C24" t="s">
        <v>3538</v>
      </c>
      <c r="D24" t="s">
        <v>39</v>
      </c>
      <c r="E24" t="s">
        <v>4425</v>
      </c>
      <c r="F24" t="s">
        <v>6056</v>
      </c>
      <c r="G24" s="2" t="str">
        <f>HYPERLINK("http://4pda.ru/forum/index.php?showtopic=849632&amp;st=1140#entry71959350")</f>
        <v>http://4pda.ru/forum/index.php?showtopic=849632&amp;st=1140#entry71959350</v>
      </c>
      <c r="H24" t="s">
        <v>6062</v>
      </c>
      <c r="I24" t="s">
        <v>4426</v>
      </c>
      <c r="J24" s="2" t="str">
        <f>HYPERLINK("http://4pda.ru/forum/index.php?showuser=1505061")</f>
        <v>http://4pda.ru/forum/index.php?showuser=1505061</v>
      </c>
      <c r="N24" t="s">
        <v>1141</v>
      </c>
      <c r="O24" t="s">
        <v>1142</v>
      </c>
      <c r="P24" s="2" t="str">
        <f t="shared" ref="P24:P30" si="1">HYPERLINK("http://4pda.ru/forum/index.php?showforum=316")</f>
        <v>http://4pda.ru/forum/index.php?showforum=316</v>
      </c>
      <c r="R24" t="s">
        <v>6066</v>
      </c>
      <c r="S24" t="s">
        <v>6072</v>
      </c>
    </row>
    <row r="25" spans="1:19" ht="14.25" customHeight="1" x14ac:dyDescent="0.3">
      <c r="A25" t="s">
        <v>4439</v>
      </c>
      <c r="B25" t="s">
        <v>3320</v>
      </c>
      <c r="C25" t="s">
        <v>3538</v>
      </c>
      <c r="D25" t="s">
        <v>39</v>
      </c>
      <c r="E25" t="s">
        <v>4715</v>
      </c>
      <c r="F25" t="s">
        <v>6056</v>
      </c>
      <c r="G25" s="2" t="str">
        <f>HYPERLINK("http://4pda.ru/forum/index.php?showtopic=849632&amp;st=1140#entry71934152")</f>
        <v>http://4pda.ru/forum/index.php?showtopic=849632&amp;st=1140#entry71934152</v>
      </c>
      <c r="H25" t="s">
        <v>6062</v>
      </c>
      <c r="I25" t="s">
        <v>4426</v>
      </c>
      <c r="J25" s="2" t="str">
        <f>HYPERLINK("http://4pda.ru/forum/index.php?showuser=1505061")</f>
        <v>http://4pda.ru/forum/index.php?showuser=1505061</v>
      </c>
      <c r="N25" t="s">
        <v>1141</v>
      </c>
      <c r="O25" t="s">
        <v>1142</v>
      </c>
      <c r="P25" s="2" t="str">
        <f t="shared" si="1"/>
        <v>http://4pda.ru/forum/index.php?showforum=316</v>
      </c>
      <c r="R25" t="s">
        <v>6066</v>
      </c>
      <c r="S25" t="s">
        <v>6072</v>
      </c>
    </row>
    <row r="26" spans="1:19" ht="14.25" customHeight="1" x14ac:dyDescent="0.3">
      <c r="A26" t="s">
        <v>4439</v>
      </c>
      <c r="B26" t="s">
        <v>1564</v>
      </c>
      <c r="C26" t="s">
        <v>3538</v>
      </c>
      <c r="D26" t="s">
        <v>39</v>
      </c>
      <c r="E26" t="s">
        <v>4794</v>
      </c>
      <c r="F26" t="s">
        <v>6056</v>
      </c>
      <c r="G26" s="2" t="str">
        <f>HYPERLINK("http://4pda.ru/forum/index.php?showtopic=849632&amp;st=1120#entry71931124")</f>
        <v>http://4pda.ru/forum/index.php?showtopic=849632&amp;st=1120#entry71931124</v>
      </c>
      <c r="H26" t="s">
        <v>6062</v>
      </c>
      <c r="I26" t="s">
        <v>2250</v>
      </c>
      <c r="J26" s="2" t="str">
        <f>HYPERLINK("http://4pda.ru/forum/index.php?showuser=264120")</f>
        <v>http://4pda.ru/forum/index.php?showuser=264120</v>
      </c>
      <c r="N26" t="s">
        <v>1141</v>
      </c>
      <c r="O26" t="s">
        <v>1142</v>
      </c>
      <c r="P26" s="2" t="str">
        <f t="shared" si="1"/>
        <v>http://4pda.ru/forum/index.php?showforum=316</v>
      </c>
      <c r="R26" t="s">
        <v>6066</v>
      </c>
      <c r="S26" t="s">
        <v>6072</v>
      </c>
    </row>
    <row r="27" spans="1:19" ht="14.25" customHeight="1" x14ac:dyDescent="0.3">
      <c r="A27" t="s">
        <v>4439</v>
      </c>
      <c r="B27" t="s">
        <v>1582</v>
      </c>
      <c r="C27" t="s">
        <v>3538</v>
      </c>
      <c r="D27" t="s">
        <v>39</v>
      </c>
      <c r="E27" t="s">
        <v>4799</v>
      </c>
      <c r="F27" t="s">
        <v>6056</v>
      </c>
      <c r="G27" s="2" t="str">
        <f>HYPERLINK("http://4pda.ru/forum/index.php?showtopic=849632&amp;st=1120#entry71930877")</f>
        <v>http://4pda.ru/forum/index.php?showtopic=849632&amp;st=1120#entry71930877</v>
      </c>
      <c r="H27" t="s">
        <v>6062</v>
      </c>
      <c r="I27" t="s">
        <v>4800</v>
      </c>
      <c r="J27" s="2" t="str">
        <f>HYPERLINK("http://4pda.ru/forum/index.php?showuser=780979")</f>
        <v>http://4pda.ru/forum/index.php?showuser=780979</v>
      </c>
      <c r="N27" t="s">
        <v>1141</v>
      </c>
      <c r="O27" t="s">
        <v>1142</v>
      </c>
      <c r="P27" s="2" t="str">
        <f t="shared" si="1"/>
        <v>http://4pda.ru/forum/index.php?showforum=316</v>
      </c>
      <c r="R27" t="s">
        <v>6066</v>
      </c>
      <c r="S27" t="s">
        <v>6072</v>
      </c>
    </row>
    <row r="28" spans="1:19" ht="14.25" customHeight="1" x14ac:dyDescent="0.3">
      <c r="A28" t="s">
        <v>2225</v>
      </c>
      <c r="B28" t="s">
        <v>2251</v>
      </c>
      <c r="C28" t="s">
        <v>95</v>
      </c>
      <c r="D28" t="s">
        <v>39</v>
      </c>
      <c r="E28" t="s">
        <v>2252</v>
      </c>
      <c r="F28" t="s">
        <v>6056</v>
      </c>
      <c r="G28" s="2" t="str">
        <f>HYPERLINK("http://4pda.ru/forum/index.php?showtopic=849632&amp;st=1140#entry72025509")</f>
        <v>http://4pda.ru/forum/index.php?showtopic=849632&amp;st=1140#entry72025509</v>
      </c>
      <c r="H28" t="s">
        <v>6062</v>
      </c>
      <c r="I28" t="s">
        <v>2097</v>
      </c>
      <c r="J28" s="2" t="str">
        <f>HYPERLINK("http://4pda.ru/forum/index.php?showuser=2188024")</f>
        <v>http://4pda.ru/forum/index.php?showuser=2188024</v>
      </c>
      <c r="N28" t="s">
        <v>1141</v>
      </c>
      <c r="O28" t="s">
        <v>1142</v>
      </c>
      <c r="P28" s="2" t="str">
        <f t="shared" si="1"/>
        <v>http://4pda.ru/forum/index.php?showforum=316</v>
      </c>
      <c r="R28" t="s">
        <v>6066</v>
      </c>
      <c r="S28" t="s">
        <v>6072</v>
      </c>
    </row>
    <row r="29" spans="1:19" ht="14.25" customHeight="1" x14ac:dyDescent="0.3">
      <c r="A29" t="s">
        <v>2225</v>
      </c>
      <c r="B29" t="s">
        <v>3036</v>
      </c>
      <c r="C29" t="s">
        <v>95</v>
      </c>
      <c r="D29" t="s">
        <v>39</v>
      </c>
      <c r="E29" t="s">
        <v>3039</v>
      </c>
      <c r="F29" t="s">
        <v>6056</v>
      </c>
      <c r="G29" s="2" t="str">
        <f>HYPERLINK("http://4pda.ru/forum/index.php?showtopic=849632&amp;st=1140#entry72015207")</f>
        <v>http://4pda.ru/forum/index.php?showtopic=849632&amp;st=1140#entry72015207</v>
      </c>
      <c r="H29" t="s">
        <v>6062</v>
      </c>
      <c r="I29" t="s">
        <v>2097</v>
      </c>
      <c r="J29" s="2" t="str">
        <f>HYPERLINK("http://4pda.ru/forum/index.php?showuser=2188024")</f>
        <v>http://4pda.ru/forum/index.php?showuser=2188024</v>
      </c>
      <c r="N29" t="s">
        <v>1141</v>
      </c>
      <c r="O29" t="s">
        <v>1142</v>
      </c>
      <c r="P29" s="2" t="str">
        <f t="shared" si="1"/>
        <v>http://4pda.ru/forum/index.php?showforum=316</v>
      </c>
      <c r="R29" t="s">
        <v>6066</v>
      </c>
      <c r="S29" t="s">
        <v>6072</v>
      </c>
    </row>
    <row r="30" spans="1:19" ht="14.25" customHeight="1" x14ac:dyDescent="0.3">
      <c r="A30" t="s">
        <v>2225</v>
      </c>
      <c r="B30" t="s">
        <v>1043</v>
      </c>
      <c r="C30" t="s">
        <v>95</v>
      </c>
      <c r="D30" t="s">
        <v>39</v>
      </c>
      <c r="E30" t="s">
        <v>3121</v>
      </c>
      <c r="F30" t="s">
        <v>6056</v>
      </c>
      <c r="G30" s="2" t="str">
        <f>HYPERLINK("http://4pda.ru/forum/index.php?showtopic=849632&amp;st=1140#entry72011267")</f>
        <v>http://4pda.ru/forum/index.php?showtopic=849632&amp;st=1140#entry72011267</v>
      </c>
      <c r="H30" t="s">
        <v>6062</v>
      </c>
      <c r="I30" t="s">
        <v>3122</v>
      </c>
      <c r="J30" s="2" t="str">
        <f>HYPERLINK("http://4pda.ru/forum/index.php?showuser=1682537")</f>
        <v>http://4pda.ru/forum/index.php?showuser=1682537</v>
      </c>
      <c r="N30" t="s">
        <v>1141</v>
      </c>
      <c r="O30" t="s">
        <v>1142</v>
      </c>
      <c r="P30" s="2" t="str">
        <f t="shared" si="1"/>
        <v>http://4pda.ru/forum/index.php?showforum=316</v>
      </c>
      <c r="R30" t="s">
        <v>6066</v>
      </c>
      <c r="S30" t="s">
        <v>6072</v>
      </c>
    </row>
    <row r="31" spans="1:19" ht="14.25" customHeight="1" x14ac:dyDescent="0.3">
      <c r="A31" t="s">
        <v>2225</v>
      </c>
      <c r="B31" t="s">
        <v>1618</v>
      </c>
      <c r="C31" t="s">
        <v>95</v>
      </c>
      <c r="D31" t="s">
        <v>3401</v>
      </c>
      <c r="E31" t="s">
        <v>3402</v>
      </c>
      <c r="F31" t="s">
        <v>6056</v>
      </c>
      <c r="G31" s="2" t="str">
        <f>HYPERLINK("http://4pda.ru/forum/index.php?showtopic=537378&amp;st=6860#entry72033928")</f>
        <v>http://4pda.ru/forum/index.php?showtopic=537378&amp;st=6860#entry72033928</v>
      </c>
      <c r="H31" t="s">
        <v>6062</v>
      </c>
      <c r="I31" t="s">
        <v>3403</v>
      </c>
      <c r="J31" s="2" t="str">
        <f>HYPERLINK("http://4pda.ru/forum/index.php?showuser=378553")</f>
        <v>http://4pda.ru/forum/index.php?showuser=378553</v>
      </c>
      <c r="N31" t="s">
        <v>1141</v>
      </c>
      <c r="O31" t="s">
        <v>3404</v>
      </c>
      <c r="P31" s="2" t="str">
        <f>HYPERLINK("http://4pda.ru/forum/index.php?showforum=855")</f>
        <v>http://4pda.ru/forum/index.php?showforum=855</v>
      </c>
      <c r="R31" t="s">
        <v>6066</v>
      </c>
      <c r="S31" t="s">
        <v>6072</v>
      </c>
    </row>
    <row r="32" spans="1:19" ht="14.25" customHeight="1" x14ac:dyDescent="0.3">
      <c r="A32" t="s">
        <v>2225</v>
      </c>
      <c r="B32" t="s">
        <v>3491</v>
      </c>
      <c r="C32" t="s">
        <v>95</v>
      </c>
      <c r="D32" t="s">
        <v>39</v>
      </c>
      <c r="E32" t="s">
        <v>3492</v>
      </c>
      <c r="F32" t="s">
        <v>6056</v>
      </c>
      <c r="G32" s="2" t="str">
        <f>HYPERLINK("http://4pda.ru/forum/index.php?showtopic=849632&amp;st=1160#entry72028218")</f>
        <v>http://4pda.ru/forum/index.php?showtopic=849632&amp;st=1160#entry72028218</v>
      </c>
      <c r="H32" t="s">
        <v>6062</v>
      </c>
      <c r="I32" t="s">
        <v>3204</v>
      </c>
      <c r="J32" s="2" t="str">
        <f>HYPERLINK("http://4pda.ru/forum/index.php?showuser=1535519")</f>
        <v>http://4pda.ru/forum/index.php?showuser=1535519</v>
      </c>
      <c r="N32" t="s">
        <v>1141</v>
      </c>
      <c r="O32" t="s">
        <v>1142</v>
      </c>
      <c r="P32" s="2" t="str">
        <f t="shared" ref="P32:P42" si="2">HYPERLINK("http://4pda.ru/forum/index.php?showforum=316")</f>
        <v>http://4pda.ru/forum/index.php?showforum=316</v>
      </c>
      <c r="R32" t="s">
        <v>6066</v>
      </c>
      <c r="S32" t="s">
        <v>6072</v>
      </c>
    </row>
    <row r="33" spans="1:19" ht="14.25" customHeight="1" x14ac:dyDescent="0.3">
      <c r="A33" t="s">
        <v>2225</v>
      </c>
      <c r="B33" t="s">
        <v>15</v>
      </c>
      <c r="C33" t="s">
        <v>95</v>
      </c>
      <c r="D33" t="s">
        <v>39</v>
      </c>
      <c r="E33" t="s">
        <v>3203</v>
      </c>
      <c r="F33" t="s">
        <v>6056</v>
      </c>
      <c r="G33" s="2" t="str">
        <f>HYPERLINK("http://4pda.ru/forum/index.php?showtopic=849632&amp;st=1140#entry72007648")</f>
        <v>http://4pda.ru/forum/index.php?showtopic=849632&amp;st=1140#entry72007648</v>
      </c>
      <c r="H33" t="s">
        <v>6062</v>
      </c>
      <c r="I33" t="s">
        <v>3204</v>
      </c>
      <c r="J33" s="2" t="str">
        <f>HYPERLINK("http://4pda.ru/forum/index.php?showuser=1535519")</f>
        <v>http://4pda.ru/forum/index.php?showuser=1535519</v>
      </c>
      <c r="N33" t="s">
        <v>1141</v>
      </c>
      <c r="O33" t="s">
        <v>1142</v>
      </c>
      <c r="P33" s="2" t="str">
        <f t="shared" si="2"/>
        <v>http://4pda.ru/forum/index.php?showforum=316</v>
      </c>
      <c r="R33" t="s">
        <v>6066</v>
      </c>
      <c r="S33" t="s">
        <v>6072</v>
      </c>
    </row>
    <row r="34" spans="1:19" ht="14.25" customHeight="1" x14ac:dyDescent="0.3">
      <c r="A34" t="s">
        <v>4439</v>
      </c>
      <c r="B34" t="s">
        <v>1832</v>
      </c>
      <c r="C34" t="s">
        <v>3538</v>
      </c>
      <c r="D34" t="s">
        <v>39</v>
      </c>
      <c r="E34" t="s">
        <v>4843</v>
      </c>
      <c r="F34" t="s">
        <v>6056</v>
      </c>
      <c r="G34" s="2" t="str">
        <f>HYPERLINK("http://4pda.ru/forum/index.php?showtopic=849632&amp;st=1120#entry71929079")</f>
        <v>http://4pda.ru/forum/index.php?showtopic=849632&amp;st=1120#entry71929079</v>
      </c>
      <c r="H34" t="s">
        <v>6062</v>
      </c>
      <c r="I34" t="s">
        <v>4757</v>
      </c>
      <c r="J34" s="2" t="str">
        <f>HYPERLINK("http://4pda.ru/forum/index.php?showuser=1514699")</f>
        <v>http://4pda.ru/forum/index.php?showuser=1514699</v>
      </c>
      <c r="N34" t="s">
        <v>1141</v>
      </c>
      <c r="O34" t="s">
        <v>1142</v>
      </c>
      <c r="P34" s="2" t="str">
        <f t="shared" si="2"/>
        <v>http://4pda.ru/forum/index.php?showforum=316</v>
      </c>
      <c r="R34" t="s">
        <v>6066</v>
      </c>
      <c r="S34" t="s">
        <v>6072</v>
      </c>
    </row>
    <row r="35" spans="1:19" ht="14.25" customHeight="1" x14ac:dyDescent="0.3">
      <c r="A35" t="s">
        <v>4439</v>
      </c>
      <c r="B35" t="s">
        <v>1909</v>
      </c>
      <c r="C35" t="s">
        <v>3538</v>
      </c>
      <c r="D35" t="s">
        <v>39</v>
      </c>
      <c r="E35" t="s">
        <v>4849</v>
      </c>
      <c r="F35" t="s">
        <v>6056</v>
      </c>
      <c r="G35" s="2" t="str">
        <f>HYPERLINK("http://4pda.ru/forum/index.php?showtopic=849632&amp;st=1120#entry71928857")</f>
        <v>http://4pda.ru/forum/index.php?showtopic=849632&amp;st=1120#entry71928857</v>
      </c>
      <c r="H35" t="s">
        <v>6062</v>
      </c>
      <c r="I35" t="s">
        <v>4701</v>
      </c>
      <c r="J35" s="2" t="str">
        <f>HYPERLINK("http://4pda.ru/forum/index.php?showuser=326178")</f>
        <v>http://4pda.ru/forum/index.php?showuser=326178</v>
      </c>
      <c r="N35" t="s">
        <v>1141</v>
      </c>
      <c r="O35" t="s">
        <v>1142</v>
      </c>
      <c r="P35" s="2" t="str">
        <f t="shared" si="2"/>
        <v>http://4pda.ru/forum/index.php?showforum=316</v>
      </c>
      <c r="R35" t="s">
        <v>6066</v>
      </c>
      <c r="S35" t="s">
        <v>6072</v>
      </c>
    </row>
    <row r="36" spans="1:19" ht="14.25" customHeight="1" x14ac:dyDescent="0.3">
      <c r="A36" t="s">
        <v>4439</v>
      </c>
      <c r="B36" t="s">
        <v>1418</v>
      </c>
      <c r="C36" t="s">
        <v>3538</v>
      </c>
      <c r="D36" t="s">
        <v>39</v>
      </c>
      <c r="E36" t="s">
        <v>4716</v>
      </c>
      <c r="F36" t="s">
        <v>6056</v>
      </c>
      <c r="G36" s="2" t="str">
        <f>HYPERLINK("http://4pda.ru/forum/index.php?showtopic=849632&amp;st=1140#entry71934140")</f>
        <v>http://4pda.ru/forum/index.php?showtopic=849632&amp;st=1140#entry71934140</v>
      </c>
      <c r="H36" t="s">
        <v>6062</v>
      </c>
      <c r="I36" t="s">
        <v>4701</v>
      </c>
      <c r="J36" s="2" t="str">
        <f>HYPERLINK("http://4pda.ru/forum/index.php?showuser=326178")</f>
        <v>http://4pda.ru/forum/index.php?showuser=326178</v>
      </c>
      <c r="N36" t="s">
        <v>1141</v>
      </c>
      <c r="O36" t="s">
        <v>1142</v>
      </c>
      <c r="P36" s="2" t="str">
        <f t="shared" si="2"/>
        <v>http://4pda.ru/forum/index.php?showforum=316</v>
      </c>
      <c r="R36" t="s">
        <v>6066</v>
      </c>
      <c r="S36" t="s">
        <v>6072</v>
      </c>
    </row>
    <row r="37" spans="1:19" ht="14.25" customHeight="1" x14ac:dyDescent="0.3">
      <c r="A37" t="s">
        <v>2225</v>
      </c>
      <c r="B37" t="s">
        <v>638</v>
      </c>
      <c r="C37" t="s">
        <v>95</v>
      </c>
      <c r="D37" t="s">
        <v>39</v>
      </c>
      <c r="E37" t="s">
        <v>2237</v>
      </c>
      <c r="F37" t="s">
        <v>6056</v>
      </c>
      <c r="G37" s="2" t="str">
        <f>HYPERLINK("http://4pda.ru/forum/index.php?showtopic=849632&amp;st=1160#entry72026125")</f>
        <v>http://4pda.ru/forum/index.php?showtopic=849632&amp;st=1160#entry72026125</v>
      </c>
      <c r="H37" t="s">
        <v>6062</v>
      </c>
      <c r="I37" t="s">
        <v>2238</v>
      </c>
      <c r="J37" s="2" t="str">
        <f>HYPERLINK("http://4pda.ru/forum/index.php?showuser=2828737")</f>
        <v>http://4pda.ru/forum/index.php?showuser=2828737</v>
      </c>
      <c r="N37" t="s">
        <v>1141</v>
      </c>
      <c r="O37" t="s">
        <v>1142</v>
      </c>
      <c r="P37" s="2" t="str">
        <f t="shared" si="2"/>
        <v>http://4pda.ru/forum/index.php?showforum=316</v>
      </c>
      <c r="R37" t="s">
        <v>6066</v>
      </c>
      <c r="S37" t="s">
        <v>6072</v>
      </c>
    </row>
    <row r="38" spans="1:19" ht="14.25" customHeight="1" x14ac:dyDescent="0.3">
      <c r="A38" t="s">
        <v>4439</v>
      </c>
      <c r="B38" t="s">
        <v>4161</v>
      </c>
      <c r="C38" t="s">
        <v>3538</v>
      </c>
      <c r="D38" t="s">
        <v>39</v>
      </c>
      <c r="E38" t="s">
        <v>4670</v>
      </c>
      <c r="F38" t="s">
        <v>6056</v>
      </c>
      <c r="G38" s="2" t="str">
        <f>HYPERLINK("http://4pda.ru/forum/index.php?showtopic=849632&amp;st=1140#entry71937801")</f>
        <v>http://4pda.ru/forum/index.php?showtopic=849632&amp;st=1140#entry71937801</v>
      </c>
      <c r="H38" t="s">
        <v>6062</v>
      </c>
      <c r="I38" t="s">
        <v>2238</v>
      </c>
      <c r="J38" s="2" t="str">
        <f>HYPERLINK("http://4pda.ru/forum/index.php?showuser=2828737")</f>
        <v>http://4pda.ru/forum/index.php?showuser=2828737</v>
      </c>
      <c r="N38" t="s">
        <v>1141</v>
      </c>
      <c r="O38" t="s">
        <v>1142</v>
      </c>
      <c r="P38" s="2" t="str">
        <f t="shared" si="2"/>
        <v>http://4pda.ru/forum/index.php?showforum=316</v>
      </c>
      <c r="R38" t="s">
        <v>6066</v>
      </c>
      <c r="S38" t="s">
        <v>6072</v>
      </c>
    </row>
    <row r="39" spans="1:19" ht="14.25" customHeight="1" x14ac:dyDescent="0.3">
      <c r="A39" t="s">
        <v>2225</v>
      </c>
      <c r="B39" t="s">
        <v>2246</v>
      </c>
      <c r="C39" t="s">
        <v>95</v>
      </c>
      <c r="D39" t="s">
        <v>39</v>
      </c>
      <c r="E39" t="s">
        <v>2247</v>
      </c>
      <c r="F39" t="s">
        <v>6056</v>
      </c>
      <c r="G39" s="2" t="str">
        <f>HYPERLINK("http://4pda.ru/forum/index.php?showtopic=849632&amp;st=1160#entry72025715")</f>
        <v>http://4pda.ru/forum/index.php?showtopic=849632&amp;st=1160#entry72025715</v>
      </c>
      <c r="H39" t="s">
        <v>6061</v>
      </c>
      <c r="I39" t="s">
        <v>2097</v>
      </c>
      <c r="J39" s="2" t="str">
        <f>HYPERLINK("http://4pda.ru/forum/index.php?showuser=2188024")</f>
        <v>http://4pda.ru/forum/index.php?showuser=2188024</v>
      </c>
      <c r="N39" t="s">
        <v>1141</v>
      </c>
      <c r="O39" t="s">
        <v>1142</v>
      </c>
      <c r="P39" s="2" t="str">
        <f t="shared" si="2"/>
        <v>http://4pda.ru/forum/index.php?showforum=316</v>
      </c>
      <c r="R39" t="s">
        <v>6066</v>
      </c>
      <c r="S39" t="s">
        <v>6072</v>
      </c>
    </row>
    <row r="40" spans="1:19" ht="14.25" customHeight="1" x14ac:dyDescent="0.3">
      <c r="A40" t="s">
        <v>629</v>
      </c>
      <c r="B40" t="s">
        <v>2095</v>
      </c>
      <c r="C40" t="s">
        <v>95</v>
      </c>
      <c r="D40" t="s">
        <v>39</v>
      </c>
      <c r="E40" t="s">
        <v>2096</v>
      </c>
      <c r="F40" t="s">
        <v>6056</v>
      </c>
      <c r="G40" s="2" t="str">
        <f>HYPERLINK("http://4pda.ru/forum/index.php?showtopic=849632&amp;st=1160#entry72061768")</f>
        <v>http://4pda.ru/forum/index.php?showtopic=849632&amp;st=1160#entry72061768</v>
      </c>
      <c r="H40" t="s">
        <v>6061</v>
      </c>
      <c r="I40" t="s">
        <v>2097</v>
      </c>
      <c r="J40" s="2" t="str">
        <f>HYPERLINK("http://4pda.ru/forum/index.php?showuser=2188024")</f>
        <v>http://4pda.ru/forum/index.php?showuser=2188024</v>
      </c>
      <c r="N40" t="s">
        <v>1141</v>
      </c>
      <c r="O40" t="s">
        <v>1142</v>
      </c>
      <c r="P40" s="2" t="str">
        <f t="shared" si="2"/>
        <v>http://4pda.ru/forum/index.php?showforum=316</v>
      </c>
      <c r="R40" t="s">
        <v>6066</v>
      </c>
      <c r="S40" t="s">
        <v>6072</v>
      </c>
    </row>
    <row r="41" spans="1:19" ht="14.25" customHeight="1" x14ac:dyDescent="0.3">
      <c r="A41" t="s">
        <v>4439</v>
      </c>
      <c r="B41" t="s">
        <v>4755</v>
      </c>
      <c r="C41" t="s">
        <v>3538</v>
      </c>
      <c r="D41" t="s">
        <v>39</v>
      </c>
      <c r="E41" t="s">
        <v>4756</v>
      </c>
      <c r="F41" t="s">
        <v>6056</v>
      </c>
      <c r="G41" s="2" t="str">
        <f>HYPERLINK("http://4pda.ru/forum/index.php?showtopic=849632&amp;st=1120#entry71932689")</f>
        <v>http://4pda.ru/forum/index.php?showtopic=849632&amp;st=1120#entry71932689</v>
      </c>
      <c r="H41" t="s">
        <v>6061</v>
      </c>
      <c r="I41" t="s">
        <v>4757</v>
      </c>
      <c r="J41" s="2" t="str">
        <f>HYPERLINK("http://4pda.ru/forum/index.php?showuser=1514699")</f>
        <v>http://4pda.ru/forum/index.php?showuser=1514699</v>
      </c>
      <c r="N41" t="s">
        <v>1141</v>
      </c>
      <c r="O41" t="s">
        <v>1142</v>
      </c>
      <c r="P41" s="2" t="str">
        <f t="shared" si="2"/>
        <v>http://4pda.ru/forum/index.php?showforum=316</v>
      </c>
      <c r="R41" t="s">
        <v>6066</v>
      </c>
      <c r="S41" t="s">
        <v>6072</v>
      </c>
    </row>
    <row r="42" spans="1:19" ht="14.25" customHeight="1" x14ac:dyDescent="0.3">
      <c r="A42" t="s">
        <v>4439</v>
      </c>
      <c r="B42" t="s">
        <v>3290</v>
      </c>
      <c r="C42" t="s">
        <v>3538</v>
      </c>
      <c r="D42" t="s">
        <v>39</v>
      </c>
      <c r="E42" t="s">
        <v>4700</v>
      </c>
      <c r="F42" t="s">
        <v>6056</v>
      </c>
      <c r="G42" s="2" t="str">
        <f>HYPERLINK("http://4pda.ru/forum/index.php?showtopic=849632&amp;st=1140#entry71935159")</f>
        <v>http://4pda.ru/forum/index.php?showtopic=849632&amp;st=1140#entry71935159</v>
      </c>
      <c r="H42" t="s">
        <v>6061</v>
      </c>
      <c r="I42" t="s">
        <v>4701</v>
      </c>
      <c r="J42" s="2" t="str">
        <f>HYPERLINK("http://4pda.ru/forum/index.php?showuser=326178")</f>
        <v>http://4pda.ru/forum/index.php?showuser=326178</v>
      </c>
      <c r="N42" t="s">
        <v>1141</v>
      </c>
      <c r="O42" t="s">
        <v>1142</v>
      </c>
      <c r="P42" s="2" t="str">
        <f t="shared" si="2"/>
        <v>http://4pda.ru/forum/index.php?showforum=316</v>
      </c>
      <c r="R42" t="s">
        <v>6066</v>
      </c>
      <c r="S42" t="s">
        <v>6072</v>
      </c>
    </row>
    <row r="43" spans="1:19" ht="14.25" customHeight="1" x14ac:dyDescent="0.3">
      <c r="A43" t="s">
        <v>1</v>
      </c>
      <c r="B43" t="s">
        <v>479</v>
      </c>
      <c r="C43" t="s">
        <v>95</v>
      </c>
      <c r="D43" t="s">
        <v>480</v>
      </c>
      <c r="E43" t="s">
        <v>481</v>
      </c>
      <c r="F43" t="s">
        <v>6056</v>
      </c>
      <c r="G43" s="2" t="str">
        <f>HYPERLINK("https://bin.ua/top/218871-komu-dostanetsya-igov-intervyu-s-dmitriem.html")</f>
        <v>https://bin.ua/top/218871-komu-dostanetsya-igov-intervyu-s-dmitriem.html</v>
      </c>
      <c r="H43" t="s">
        <v>6062</v>
      </c>
      <c r="I43" t="s">
        <v>482</v>
      </c>
      <c r="J43" s="2" t="str">
        <f>HYPERLINK("http://bin.ua")</f>
        <v>http://bin.ua</v>
      </c>
      <c r="N43" t="s">
        <v>483</v>
      </c>
      <c r="R43" t="s">
        <v>6069</v>
      </c>
      <c r="S43" t="s">
        <v>6073</v>
      </c>
    </row>
    <row r="44" spans="1:19" ht="14.25" customHeight="1" x14ac:dyDescent="0.3">
      <c r="A44" t="s">
        <v>1</v>
      </c>
      <c r="B44" t="s">
        <v>393</v>
      </c>
      <c r="C44" t="s">
        <v>95</v>
      </c>
      <c r="D44" t="s">
        <v>39</v>
      </c>
      <c r="E44" t="s">
        <v>394</v>
      </c>
      <c r="F44" t="s">
        <v>6059</v>
      </c>
      <c r="G44" s="2" t="str">
        <f>HYPERLINK("https://dou.ua/forums/topic/22148/#1314799")</f>
        <v>https://dou.ua/forums/topic/22148/#1314799</v>
      </c>
      <c r="H44" t="s">
        <v>6062</v>
      </c>
      <c r="I44" t="s">
        <v>395</v>
      </c>
      <c r="J44" s="2" t="str">
        <f>HYPERLINK("https://dou.ua/forums/topic/22148/#1314799")</f>
        <v>https://dou.ua/forums/topic/22148/#1314799</v>
      </c>
      <c r="L44" t="s">
        <v>6063</v>
      </c>
      <c r="N44" t="s">
        <v>42</v>
      </c>
      <c r="R44" t="s">
        <v>6066</v>
      </c>
      <c r="S44" t="s">
        <v>6073</v>
      </c>
    </row>
    <row r="45" spans="1:19" ht="14.25" customHeight="1" x14ac:dyDescent="0.3">
      <c r="A45" t="s">
        <v>1</v>
      </c>
      <c r="B45" t="s">
        <v>488</v>
      </c>
      <c r="C45" t="s">
        <v>95</v>
      </c>
      <c r="D45" t="s">
        <v>39</v>
      </c>
      <c r="E45" t="s">
        <v>489</v>
      </c>
      <c r="F45" t="s">
        <v>6059</v>
      </c>
      <c r="G45" s="2" t="str">
        <f>HYPERLINK("https://dou.ua/forums/topic/22148/#1314766")</f>
        <v>https://dou.ua/forums/topic/22148/#1314766</v>
      </c>
      <c r="H45" t="s">
        <v>6062</v>
      </c>
      <c r="I45" t="s">
        <v>490</v>
      </c>
      <c r="J45" s="2" t="str">
        <f>HYPERLINK("https://dou.ua/forums/topic/22148/#1314766")</f>
        <v>https://dou.ua/forums/topic/22148/#1314766</v>
      </c>
      <c r="L45" t="s">
        <v>6063</v>
      </c>
      <c r="N45" t="s">
        <v>42</v>
      </c>
      <c r="R45" t="s">
        <v>6066</v>
      </c>
      <c r="S45" t="s">
        <v>6073</v>
      </c>
    </row>
    <row r="46" spans="1:19" ht="14.25" customHeight="1" x14ac:dyDescent="0.3">
      <c r="A46" t="s">
        <v>1</v>
      </c>
      <c r="B46" t="s">
        <v>140</v>
      </c>
      <c r="C46" t="s">
        <v>95</v>
      </c>
      <c r="D46" t="s">
        <v>39</v>
      </c>
      <c r="E46" t="s">
        <v>141</v>
      </c>
      <c r="F46" t="s">
        <v>6059</v>
      </c>
      <c r="G46" s="2" t="str">
        <f>HYPERLINK("https://dou.ua/forums/topic/22148/#1314889")</f>
        <v>https://dou.ua/forums/topic/22148/#1314889</v>
      </c>
      <c r="H46" t="s">
        <v>6062</v>
      </c>
      <c r="I46" t="s">
        <v>142</v>
      </c>
      <c r="J46" s="2" t="str">
        <f>HYPERLINK("https://dou.ua/forums/topic/22148/#1314889")</f>
        <v>https://dou.ua/forums/topic/22148/#1314889</v>
      </c>
      <c r="N46" t="s">
        <v>42</v>
      </c>
      <c r="R46" t="s">
        <v>6066</v>
      </c>
      <c r="S46" t="s">
        <v>6073</v>
      </c>
    </row>
    <row r="47" spans="1:19" ht="14.25" customHeight="1" x14ac:dyDescent="0.3">
      <c r="A47" t="s">
        <v>1</v>
      </c>
      <c r="B47" t="s">
        <v>461</v>
      </c>
      <c r="C47" t="s">
        <v>95</v>
      </c>
      <c r="D47" t="s">
        <v>39</v>
      </c>
      <c r="E47" t="s">
        <v>462</v>
      </c>
      <c r="F47" t="s">
        <v>6059</v>
      </c>
      <c r="G47" s="2" t="str">
        <f>HYPERLINK("https://dou.ua/forums/topic/22148/#1314771")</f>
        <v>https://dou.ua/forums/topic/22148/#1314771</v>
      </c>
      <c r="H47" t="s">
        <v>6062</v>
      </c>
      <c r="I47" t="s">
        <v>463</v>
      </c>
      <c r="J47" s="2" t="str">
        <f>HYPERLINK("https://dou.ua/forums/topic/22148/#1314771")</f>
        <v>https://dou.ua/forums/topic/22148/#1314771</v>
      </c>
      <c r="L47" t="s">
        <v>6063</v>
      </c>
      <c r="N47" t="s">
        <v>42</v>
      </c>
      <c r="R47" t="s">
        <v>6066</v>
      </c>
      <c r="S47" t="s">
        <v>6073</v>
      </c>
    </row>
    <row r="48" spans="1:19" ht="14.25" customHeight="1" x14ac:dyDescent="0.3">
      <c r="A48" t="s">
        <v>1</v>
      </c>
      <c r="B48" t="s">
        <v>37</v>
      </c>
      <c r="C48" t="s">
        <v>38</v>
      </c>
      <c r="D48" t="s">
        <v>39</v>
      </c>
      <c r="E48" t="s">
        <v>40</v>
      </c>
      <c r="F48" t="s">
        <v>6059</v>
      </c>
      <c r="G48" s="2" t="str">
        <f>HYPERLINK("https://dou.ua/forums/topic/22148/#1314962")</f>
        <v>https://dou.ua/forums/topic/22148/#1314962</v>
      </c>
      <c r="H48" t="s">
        <v>6061</v>
      </c>
      <c r="I48" t="s">
        <v>41</v>
      </c>
      <c r="J48" s="2" t="str">
        <f>HYPERLINK("https://dou.ua/forums/topic/22148/#1314962")</f>
        <v>https://dou.ua/forums/topic/22148/#1314962</v>
      </c>
      <c r="L48" t="s">
        <v>6063</v>
      </c>
      <c r="N48" t="s">
        <v>42</v>
      </c>
      <c r="O48" t="s">
        <v>4</v>
      </c>
      <c r="P48" t="s">
        <v>4</v>
      </c>
      <c r="R48" t="s">
        <v>6066</v>
      </c>
      <c r="S48" t="s">
        <v>6073</v>
      </c>
    </row>
    <row r="49" spans="1:19" ht="14.25" customHeight="1" x14ac:dyDescent="0.3">
      <c r="A49" t="s">
        <v>3527</v>
      </c>
      <c r="B49" t="s">
        <v>617</v>
      </c>
      <c r="C49" t="s">
        <v>3538</v>
      </c>
      <c r="D49" t="s">
        <v>4428</v>
      </c>
      <c r="E49" t="s">
        <v>4429</v>
      </c>
      <c r="F49" t="s">
        <v>6056</v>
      </c>
      <c r="G49" s="2" t="str">
        <f>HYPERLINK("https://durdom.in.ua/uk/main/article/article_id/32131.phtml")</f>
        <v>https://durdom.in.ua/uk/main/article/article_id/32131.phtml</v>
      </c>
      <c r="H49" t="s">
        <v>6062</v>
      </c>
      <c r="I49" t="s">
        <v>4430</v>
      </c>
      <c r="J49" s="2" t="str">
        <f>HYPERLINK("http://durdom.in.ua")</f>
        <v>http://durdom.in.ua</v>
      </c>
      <c r="N49" t="s">
        <v>4431</v>
      </c>
      <c r="R49" t="s">
        <v>6069</v>
      </c>
      <c r="S49" t="s">
        <v>6073</v>
      </c>
    </row>
    <row r="50" spans="1:19" ht="14.25" customHeight="1" x14ac:dyDescent="0.3">
      <c r="A50" t="s">
        <v>3527</v>
      </c>
      <c r="B50" t="s">
        <v>1845</v>
      </c>
      <c r="C50" t="s">
        <v>3538</v>
      </c>
      <c r="D50" t="s">
        <v>4330</v>
      </c>
      <c r="E50" t="s">
        <v>4331</v>
      </c>
      <c r="F50" t="s">
        <v>6059</v>
      </c>
      <c r="G50" s="2" t="str">
        <f>HYPERLINK("https://www.facebook.com/1817146211/posts/10209419085593550?comment_id=10209424452167711")</f>
        <v>https://www.facebook.com/1817146211/posts/10209419085593550?comment_id=10209424452167711</v>
      </c>
      <c r="H50" t="s">
        <v>6060</v>
      </c>
      <c r="I50" t="s">
        <v>4332</v>
      </c>
      <c r="J50" s="2" t="str">
        <f>HYPERLINK("https://www.facebook.com/100007480231108")</f>
        <v>https://www.facebook.com/100007480231108</v>
      </c>
      <c r="K50">
        <v>326</v>
      </c>
      <c r="L50" t="s">
        <v>6063</v>
      </c>
      <c r="N50" t="s">
        <v>13</v>
      </c>
      <c r="O50" t="s">
        <v>4333</v>
      </c>
      <c r="P50" s="2" t="str">
        <f>HYPERLINK("https://www.facebook.com/1817146211")</f>
        <v>https://www.facebook.com/1817146211</v>
      </c>
      <c r="Q50">
        <v>1727</v>
      </c>
      <c r="R50" t="s">
        <v>6067</v>
      </c>
      <c r="S50" t="s">
        <v>6073</v>
      </c>
    </row>
    <row r="51" spans="1:19" ht="14.25" customHeight="1" x14ac:dyDescent="0.3">
      <c r="A51" t="s">
        <v>2225</v>
      </c>
      <c r="B51" t="s">
        <v>2596</v>
      </c>
      <c r="C51" t="s">
        <v>95</v>
      </c>
      <c r="D51" t="s">
        <v>853</v>
      </c>
      <c r="E51" t="s">
        <v>2599</v>
      </c>
      <c r="F51" t="s">
        <v>6059</v>
      </c>
      <c r="G51" s="2" t="str">
        <f>HYPERLINK("https://www.facebook.com/100008934274771/posts/1810262525948206?comment_id=1810286292612496")</f>
        <v>https://www.facebook.com/100008934274771/posts/1810262525948206?comment_id=1810286292612496</v>
      </c>
      <c r="H51" t="s">
        <v>6060</v>
      </c>
      <c r="I51" t="s">
        <v>2600</v>
      </c>
      <c r="J51" s="2" t="str">
        <f>HYPERLINK("https://www.facebook.com/100007614786236")</f>
        <v>https://www.facebook.com/100007614786236</v>
      </c>
      <c r="K51">
        <v>4</v>
      </c>
      <c r="L51" t="s">
        <v>6063</v>
      </c>
      <c r="N51" t="s">
        <v>13</v>
      </c>
      <c r="O51" t="s">
        <v>856</v>
      </c>
      <c r="P51" s="2" t="str">
        <f>HYPERLINK("https://www.facebook.com/100008934274771")</f>
        <v>https://www.facebook.com/100008934274771</v>
      </c>
      <c r="Q51">
        <v>10395</v>
      </c>
      <c r="R51" t="s">
        <v>6067</v>
      </c>
      <c r="S51" t="s">
        <v>6073</v>
      </c>
    </row>
    <row r="52" spans="1:19" ht="14.25" customHeight="1" x14ac:dyDescent="0.3">
      <c r="A52" t="s">
        <v>5409</v>
      </c>
      <c r="B52" t="s">
        <v>296</v>
      </c>
      <c r="C52" t="s">
        <v>3538</v>
      </c>
      <c r="D52" t="s">
        <v>5425</v>
      </c>
      <c r="E52" t="s">
        <v>5828</v>
      </c>
      <c r="F52" t="s">
        <v>6059</v>
      </c>
      <c r="G52" s="2" t="str">
        <f>HYPERLINK("https://www.facebook.com/1717320447/posts/10204642291893366?comment_id=10204642568500281")</f>
        <v>https://www.facebook.com/1717320447/posts/10204642291893366?comment_id=10204642568500281</v>
      </c>
      <c r="H52" t="s">
        <v>6060</v>
      </c>
      <c r="I52" t="s">
        <v>5829</v>
      </c>
      <c r="J52" s="2" t="str">
        <f>HYPERLINK("https://www.facebook.com/100000222195316")</f>
        <v>https://www.facebook.com/100000222195316</v>
      </c>
      <c r="K52">
        <v>0</v>
      </c>
      <c r="L52" t="s">
        <v>6064</v>
      </c>
      <c r="N52" t="s">
        <v>13</v>
      </c>
      <c r="O52" t="s">
        <v>5427</v>
      </c>
      <c r="P52" s="2" t="str">
        <f>HYPERLINK("https://www.facebook.com/1717320447")</f>
        <v>https://www.facebook.com/1717320447</v>
      </c>
      <c r="Q52">
        <v>0</v>
      </c>
      <c r="R52" t="s">
        <v>6067</v>
      </c>
      <c r="S52" t="s">
        <v>6073</v>
      </c>
    </row>
    <row r="53" spans="1:19" ht="14.25" customHeight="1" x14ac:dyDescent="0.3">
      <c r="A53" t="s">
        <v>1</v>
      </c>
      <c r="B53" t="s">
        <v>553</v>
      </c>
      <c r="C53" t="s">
        <v>95</v>
      </c>
      <c r="D53" t="s">
        <v>10</v>
      </c>
      <c r="E53" t="s">
        <v>554</v>
      </c>
      <c r="F53" t="s">
        <v>6059</v>
      </c>
      <c r="G53" s="2" t="str">
        <f>HYPERLINK("https://www.facebook.com/1070092426/posts/10213398046920195?comment_id=10213399653800366")</f>
        <v>https://www.facebook.com/1070092426/posts/10213398046920195?comment_id=10213399653800366</v>
      </c>
      <c r="H53" t="s">
        <v>6060</v>
      </c>
      <c r="I53" t="s">
        <v>555</v>
      </c>
      <c r="J53" s="2" t="str">
        <f>HYPERLINK("https://www.facebook.com/1496739112")</f>
        <v>https://www.facebook.com/1496739112</v>
      </c>
      <c r="K53">
        <v>0</v>
      </c>
      <c r="L53" t="s">
        <v>6064</v>
      </c>
      <c r="N53" t="s">
        <v>13</v>
      </c>
      <c r="O53" t="s">
        <v>314</v>
      </c>
      <c r="P53" s="2" t="str">
        <f>HYPERLINK("https://www.facebook.com/1070092426")</f>
        <v>https://www.facebook.com/1070092426</v>
      </c>
      <c r="Q53">
        <v>5892</v>
      </c>
      <c r="R53" t="s">
        <v>6067</v>
      </c>
      <c r="S53" t="s">
        <v>6083</v>
      </c>
    </row>
    <row r="54" spans="1:19" ht="14.25" customHeight="1" x14ac:dyDescent="0.3">
      <c r="A54" t="s">
        <v>5409</v>
      </c>
      <c r="B54" t="s">
        <v>4460</v>
      </c>
      <c r="C54" t="s">
        <v>3538</v>
      </c>
      <c r="D54" t="s">
        <v>4468</v>
      </c>
      <c r="E54" t="s">
        <v>5448</v>
      </c>
      <c r="F54" t="s">
        <v>6059</v>
      </c>
      <c r="G54" s="2" t="str">
        <f>HYPERLINK("https://www.facebook.com/1529329267308888/posts/2058827921025684?comment_id=2058919504349859")</f>
        <v>https://www.facebook.com/1529329267308888/posts/2058827921025684?comment_id=2058919504349859</v>
      </c>
      <c r="H54" t="s">
        <v>6060</v>
      </c>
      <c r="I54" t="s">
        <v>5449</v>
      </c>
      <c r="J54" s="2" t="str">
        <f>HYPERLINK("https://www.facebook.com/100000832740717")</f>
        <v>https://www.facebook.com/100000832740717</v>
      </c>
      <c r="K54">
        <v>173</v>
      </c>
      <c r="L54" t="s">
        <v>6063</v>
      </c>
      <c r="N54" t="s">
        <v>13</v>
      </c>
      <c r="O54" t="s">
        <v>4471</v>
      </c>
      <c r="P54" s="2" t="str">
        <f>HYPERLINK("https://www.facebook.com/1529329267308888")</f>
        <v>https://www.facebook.com/1529329267308888</v>
      </c>
      <c r="R54" t="s">
        <v>6067</v>
      </c>
    </row>
    <row r="55" spans="1:19" ht="14.25" customHeight="1" x14ac:dyDescent="0.3">
      <c r="A55" t="s">
        <v>4995</v>
      </c>
      <c r="B55" t="s">
        <v>3071</v>
      </c>
      <c r="C55" t="s">
        <v>3538</v>
      </c>
      <c r="D55" t="s">
        <v>5149</v>
      </c>
      <c r="E55" t="s">
        <v>5150</v>
      </c>
      <c r="F55" t="s">
        <v>6056</v>
      </c>
      <c r="G55" s="2" t="str">
        <f>HYPERLINK("https://www.facebook.com/100001110963033/posts/1729577143755968")</f>
        <v>https://www.facebook.com/100001110963033/posts/1729577143755968</v>
      </c>
      <c r="H55" t="s">
        <v>6060</v>
      </c>
      <c r="I55" t="s">
        <v>5151</v>
      </c>
      <c r="J55" s="2" t="str">
        <f>HYPERLINK("https://www.facebook.com/100001110963033")</f>
        <v>https://www.facebook.com/100001110963033</v>
      </c>
      <c r="K55">
        <v>58</v>
      </c>
      <c r="L55" t="s">
        <v>6063</v>
      </c>
      <c r="N55" t="s">
        <v>13</v>
      </c>
      <c r="O55" t="s">
        <v>5151</v>
      </c>
      <c r="P55" s="2" t="str">
        <f>HYPERLINK("https://www.facebook.com/100001110963033")</f>
        <v>https://www.facebook.com/100001110963033</v>
      </c>
      <c r="Q55">
        <v>58</v>
      </c>
      <c r="R55" t="s">
        <v>6067</v>
      </c>
      <c r="S55" t="s">
        <v>6073</v>
      </c>
    </row>
    <row r="56" spans="1:19" ht="14.25" customHeight="1" x14ac:dyDescent="0.3">
      <c r="A56" t="s">
        <v>629</v>
      </c>
      <c r="B56" t="s">
        <v>19</v>
      </c>
      <c r="C56" t="s">
        <v>95</v>
      </c>
      <c r="D56" t="s">
        <v>10</v>
      </c>
      <c r="E56" t="s">
        <v>517</v>
      </c>
      <c r="F56" t="s">
        <v>6058</v>
      </c>
      <c r="G56" s="2" t="str">
        <f>HYPERLINK("https://www.facebook.com/100001846690682/posts/1910804105657794")</f>
        <v>https://www.facebook.com/100001846690682/posts/1910804105657794</v>
      </c>
      <c r="H56" t="s">
        <v>6060</v>
      </c>
      <c r="I56" t="s">
        <v>1274</v>
      </c>
      <c r="J56" s="2" t="str">
        <f>HYPERLINK("https://www.facebook.com/100001846690682")</f>
        <v>https://www.facebook.com/100001846690682</v>
      </c>
      <c r="K56">
        <v>0</v>
      </c>
      <c r="L56" t="s">
        <v>6063</v>
      </c>
      <c r="N56" t="s">
        <v>13</v>
      </c>
      <c r="O56" t="s">
        <v>1274</v>
      </c>
      <c r="P56" s="2" t="str">
        <f>HYPERLINK("https://www.facebook.com/100001846690682")</f>
        <v>https://www.facebook.com/100001846690682</v>
      </c>
      <c r="Q56">
        <v>0</v>
      </c>
      <c r="R56" t="s">
        <v>6067</v>
      </c>
      <c r="S56" t="s">
        <v>6073</v>
      </c>
    </row>
    <row r="57" spans="1:19" ht="14.25" customHeight="1" x14ac:dyDescent="0.3">
      <c r="A57" t="s">
        <v>5409</v>
      </c>
      <c r="B57" t="s">
        <v>5415</v>
      </c>
      <c r="C57" t="s">
        <v>3538</v>
      </c>
      <c r="D57" t="s">
        <v>5416</v>
      </c>
      <c r="E57" t="s">
        <v>5417</v>
      </c>
      <c r="F57" t="s">
        <v>6059</v>
      </c>
      <c r="G57" s="2" t="str">
        <f>HYPERLINK("https://www.facebook.com/100001269247572/posts/1766562900062668?comment_id=1766907876694837")</f>
        <v>https://www.facebook.com/100001269247572/posts/1766562900062668?comment_id=1766907876694837</v>
      </c>
      <c r="H57" t="s">
        <v>6060</v>
      </c>
      <c r="I57" t="s">
        <v>5418</v>
      </c>
      <c r="J57" s="2" t="str">
        <f>HYPERLINK("https://www.facebook.com/100000806281428")</f>
        <v>https://www.facebook.com/100000806281428</v>
      </c>
      <c r="K57">
        <v>0</v>
      </c>
      <c r="L57" t="s">
        <v>6063</v>
      </c>
      <c r="N57" t="s">
        <v>13</v>
      </c>
      <c r="O57" t="s">
        <v>5419</v>
      </c>
      <c r="P57" s="2" t="str">
        <f>HYPERLINK("https://www.facebook.com/100001269247572")</f>
        <v>https://www.facebook.com/100001269247572</v>
      </c>
      <c r="Q57">
        <v>191</v>
      </c>
      <c r="R57" t="s">
        <v>6067</v>
      </c>
      <c r="S57" t="s">
        <v>6103</v>
      </c>
    </row>
    <row r="58" spans="1:19" ht="14.25" customHeight="1" x14ac:dyDescent="0.3">
      <c r="A58" t="s">
        <v>4995</v>
      </c>
      <c r="B58" t="s">
        <v>5225</v>
      </c>
      <c r="C58" t="s">
        <v>3538</v>
      </c>
      <c r="D58" t="s">
        <v>5226</v>
      </c>
      <c r="E58" t="s">
        <v>5227</v>
      </c>
      <c r="F58" t="s">
        <v>6058</v>
      </c>
      <c r="G58" s="2" t="str">
        <f>HYPERLINK("https://www.facebook.com/100008984733425/posts/1787439371565537")</f>
        <v>https://www.facebook.com/100008984733425/posts/1787439371565537</v>
      </c>
      <c r="H58" t="s">
        <v>6060</v>
      </c>
      <c r="I58" t="s">
        <v>5228</v>
      </c>
      <c r="J58" s="2" t="str">
        <f>HYPERLINK("https://www.facebook.com/100008984733425")</f>
        <v>https://www.facebook.com/100008984733425</v>
      </c>
      <c r="K58">
        <v>14</v>
      </c>
      <c r="L58" t="s">
        <v>6064</v>
      </c>
      <c r="N58" t="s">
        <v>13</v>
      </c>
      <c r="O58" t="s">
        <v>5228</v>
      </c>
      <c r="P58" s="2" t="str">
        <f>HYPERLINK("https://www.facebook.com/100008984733425")</f>
        <v>https://www.facebook.com/100008984733425</v>
      </c>
      <c r="Q58">
        <v>14</v>
      </c>
      <c r="R58" t="s">
        <v>6067</v>
      </c>
    </row>
    <row r="59" spans="1:19" ht="14.25" customHeight="1" x14ac:dyDescent="0.3">
      <c r="A59" t="s">
        <v>5409</v>
      </c>
      <c r="B59" t="s">
        <v>621</v>
      </c>
      <c r="C59" t="s">
        <v>3538</v>
      </c>
      <c r="D59" t="s">
        <v>4675</v>
      </c>
      <c r="E59" t="s">
        <v>6032</v>
      </c>
      <c r="F59" t="s">
        <v>6059</v>
      </c>
      <c r="G59" s="2" t="str">
        <f>HYPERLINK("https://www.facebook.com/1439247584/posts/10217349741762401?comment_id=10217350892591171")</f>
        <v>https://www.facebook.com/1439247584/posts/10217349741762401?comment_id=10217350892591171</v>
      </c>
      <c r="H59" t="s">
        <v>6060</v>
      </c>
      <c r="I59" t="s">
        <v>5707</v>
      </c>
      <c r="J59" s="2" t="str">
        <f>HYPERLINK("https://www.facebook.com/100001162941030")</f>
        <v>https://www.facebook.com/100001162941030</v>
      </c>
      <c r="K59">
        <v>0</v>
      </c>
      <c r="L59" t="s">
        <v>6063</v>
      </c>
      <c r="N59" t="s">
        <v>13</v>
      </c>
      <c r="O59" t="s">
        <v>4678</v>
      </c>
      <c r="P59" s="2" t="str">
        <f>HYPERLINK("https://www.facebook.com/1439247584")</f>
        <v>https://www.facebook.com/1439247584</v>
      </c>
      <c r="Q59">
        <v>54</v>
      </c>
      <c r="R59" t="s">
        <v>6067</v>
      </c>
      <c r="S59" t="s">
        <v>6073</v>
      </c>
    </row>
    <row r="60" spans="1:19" ht="14.25" customHeight="1" x14ac:dyDescent="0.3">
      <c r="A60" t="s">
        <v>5409</v>
      </c>
      <c r="B60" t="s">
        <v>1322</v>
      </c>
      <c r="C60" t="s">
        <v>3538</v>
      </c>
      <c r="D60" t="s">
        <v>4675</v>
      </c>
      <c r="E60" t="s">
        <v>5706</v>
      </c>
      <c r="F60" t="s">
        <v>6059</v>
      </c>
      <c r="G60" s="2" t="str">
        <f>HYPERLINK("https://www.facebook.com/1439247584/posts/10217349741762401?comment_id=10217356451130131")</f>
        <v>https://www.facebook.com/1439247584/posts/10217349741762401?comment_id=10217356451130131</v>
      </c>
      <c r="H60" t="s">
        <v>6060</v>
      </c>
      <c r="I60" t="s">
        <v>5707</v>
      </c>
      <c r="J60" s="2" t="str">
        <f>HYPERLINK("https://www.facebook.com/100001162941030")</f>
        <v>https://www.facebook.com/100001162941030</v>
      </c>
      <c r="K60">
        <v>0</v>
      </c>
      <c r="L60" t="s">
        <v>6063</v>
      </c>
      <c r="N60" t="s">
        <v>13</v>
      </c>
      <c r="O60" t="s">
        <v>4678</v>
      </c>
      <c r="P60" s="2" t="str">
        <f>HYPERLINK("https://www.facebook.com/1439247584")</f>
        <v>https://www.facebook.com/1439247584</v>
      </c>
      <c r="Q60">
        <v>54</v>
      </c>
      <c r="R60" t="s">
        <v>6067</v>
      </c>
      <c r="S60" t="s">
        <v>6073</v>
      </c>
    </row>
    <row r="61" spans="1:19" ht="14.25" customHeight="1" x14ac:dyDescent="0.3">
      <c r="A61" t="s">
        <v>2225</v>
      </c>
      <c r="B61" t="s">
        <v>2941</v>
      </c>
      <c r="C61" t="s">
        <v>95</v>
      </c>
      <c r="D61" t="s">
        <v>2945</v>
      </c>
      <c r="E61" t="s">
        <v>2946</v>
      </c>
      <c r="F61" t="s">
        <v>6059</v>
      </c>
      <c r="G61" s="2" t="str">
        <f>HYPERLINK("https://www.facebook.com/100001990639756/posts/1716354405107564?comment_id=1716461845096820")</f>
        <v>https://www.facebook.com/100001990639756/posts/1716354405107564?comment_id=1716461845096820</v>
      </c>
      <c r="H61" t="s">
        <v>6060</v>
      </c>
      <c r="I61" t="s">
        <v>2947</v>
      </c>
      <c r="J61" s="2" t="str">
        <f>HYPERLINK("https://www.facebook.com/1350289863")</f>
        <v>https://www.facebook.com/1350289863</v>
      </c>
      <c r="K61">
        <v>0</v>
      </c>
      <c r="L61" t="s">
        <v>6063</v>
      </c>
      <c r="N61" t="s">
        <v>13</v>
      </c>
      <c r="O61" t="s">
        <v>2948</v>
      </c>
      <c r="P61" s="2" t="str">
        <f>HYPERLINK("https://www.facebook.com/100001990639756")</f>
        <v>https://www.facebook.com/100001990639756</v>
      </c>
      <c r="Q61">
        <v>13881</v>
      </c>
      <c r="R61" t="s">
        <v>6067</v>
      </c>
      <c r="S61" t="s">
        <v>6073</v>
      </c>
    </row>
    <row r="62" spans="1:19" ht="14.25" customHeight="1" x14ac:dyDescent="0.3">
      <c r="A62" t="s">
        <v>5409</v>
      </c>
      <c r="B62" t="s">
        <v>1377</v>
      </c>
      <c r="C62" t="s">
        <v>3538</v>
      </c>
      <c r="D62" t="s">
        <v>3757</v>
      </c>
      <c r="E62" t="s">
        <v>5741</v>
      </c>
      <c r="F62" t="s">
        <v>6059</v>
      </c>
      <c r="G62" s="2" t="str">
        <f>HYPERLINK("https://www.facebook.com/1676376791/posts/10209685538090004?comment_id=10209686737439987")</f>
        <v>https://www.facebook.com/1676376791/posts/10209685538090004?comment_id=10209686737439987</v>
      </c>
      <c r="H62" t="s">
        <v>6060</v>
      </c>
      <c r="I62" t="s">
        <v>5742</v>
      </c>
      <c r="J62" s="2" t="str">
        <f>HYPERLINK("https://www.facebook.com/100000267656355")</f>
        <v>https://www.facebook.com/100000267656355</v>
      </c>
      <c r="K62">
        <v>497</v>
      </c>
      <c r="L62" t="s">
        <v>6063</v>
      </c>
      <c r="N62" t="s">
        <v>13</v>
      </c>
      <c r="O62" t="s">
        <v>3760</v>
      </c>
      <c r="P62" s="2" t="str">
        <f>HYPERLINK("https://www.facebook.com/1676376791")</f>
        <v>https://www.facebook.com/1676376791</v>
      </c>
      <c r="Q62">
        <v>4013</v>
      </c>
      <c r="R62" t="s">
        <v>6067</v>
      </c>
      <c r="S62" t="s">
        <v>6073</v>
      </c>
    </row>
    <row r="63" spans="1:19" ht="14.25" customHeight="1" x14ac:dyDescent="0.3">
      <c r="A63" t="s">
        <v>1</v>
      </c>
      <c r="B63" t="s">
        <v>537</v>
      </c>
      <c r="C63" t="s">
        <v>95</v>
      </c>
      <c r="D63" t="s">
        <v>10</v>
      </c>
      <c r="E63" t="s">
        <v>538</v>
      </c>
      <c r="F63" t="s">
        <v>6059</v>
      </c>
      <c r="G63" s="2" t="str">
        <f>HYPERLINK("https://www.facebook.com/762053551/posts/10156366210158552?comment_id=10156367839288552")</f>
        <v>https://www.facebook.com/762053551/posts/10156366210158552?comment_id=10156367839288552</v>
      </c>
      <c r="H63" t="s">
        <v>6060</v>
      </c>
      <c r="I63" t="s">
        <v>539</v>
      </c>
      <c r="J63" s="2" t="str">
        <f>HYPERLINK("https://www.facebook.com/100013456803382")</f>
        <v>https://www.facebook.com/100013456803382</v>
      </c>
      <c r="K63">
        <v>0</v>
      </c>
      <c r="L63" t="s">
        <v>6063</v>
      </c>
      <c r="N63" t="s">
        <v>13</v>
      </c>
      <c r="O63" t="s">
        <v>14</v>
      </c>
      <c r="P63" s="2" t="str">
        <f>HYPERLINK("https://www.facebook.com/762053551")</f>
        <v>https://www.facebook.com/762053551</v>
      </c>
      <c r="Q63">
        <v>102347</v>
      </c>
      <c r="R63" t="s">
        <v>6067</v>
      </c>
      <c r="S63" t="s">
        <v>6073</v>
      </c>
    </row>
    <row r="64" spans="1:19" ht="14.25" customHeight="1" x14ac:dyDescent="0.3">
      <c r="A64" t="s">
        <v>629</v>
      </c>
      <c r="B64" t="s">
        <v>1124</v>
      </c>
      <c r="C64" t="s">
        <v>95</v>
      </c>
      <c r="D64" t="s">
        <v>10</v>
      </c>
      <c r="E64" t="s">
        <v>1127</v>
      </c>
      <c r="F64" t="s">
        <v>6059</v>
      </c>
      <c r="G64" s="2" t="str">
        <f>HYPERLINK("https://www.facebook.com/762053551/posts/10156366210158552?comment_id=10156366295763552")</f>
        <v>https://www.facebook.com/762053551/posts/10156366210158552?comment_id=10156366295763552</v>
      </c>
      <c r="H64" t="s">
        <v>6060</v>
      </c>
      <c r="I64" t="s">
        <v>1013</v>
      </c>
      <c r="J64" s="2" t="str">
        <f>HYPERLINK("https://www.facebook.com/100008211015523")</f>
        <v>https://www.facebook.com/100008211015523</v>
      </c>
      <c r="K64">
        <v>0</v>
      </c>
      <c r="L64" t="s">
        <v>6063</v>
      </c>
      <c r="N64" t="s">
        <v>13</v>
      </c>
      <c r="O64" t="s">
        <v>14</v>
      </c>
      <c r="P64" s="2" t="str">
        <f>HYPERLINK("https://www.facebook.com/762053551")</f>
        <v>https://www.facebook.com/762053551</v>
      </c>
      <c r="Q64">
        <v>102347</v>
      </c>
      <c r="R64" t="s">
        <v>6067</v>
      </c>
      <c r="S64" t="s">
        <v>6073</v>
      </c>
    </row>
    <row r="65" spans="1:19" ht="14.25" customHeight="1" x14ac:dyDescent="0.3">
      <c r="A65" t="s">
        <v>629</v>
      </c>
      <c r="B65" t="s">
        <v>1103</v>
      </c>
      <c r="C65" t="s">
        <v>95</v>
      </c>
      <c r="D65" t="s">
        <v>10</v>
      </c>
      <c r="E65" t="s">
        <v>1104</v>
      </c>
      <c r="F65" t="s">
        <v>6059</v>
      </c>
      <c r="G65" s="2" t="str">
        <f>HYPERLINK("https://www.facebook.com/762053551/posts/10156366210158552?comment_id=10156366323233552")</f>
        <v>https://www.facebook.com/762053551/posts/10156366210158552?comment_id=10156366323233552</v>
      </c>
      <c r="H65" t="s">
        <v>6060</v>
      </c>
      <c r="I65" t="s">
        <v>1013</v>
      </c>
      <c r="J65" s="2" t="str">
        <f>HYPERLINK("https://www.facebook.com/100008211015523")</f>
        <v>https://www.facebook.com/100008211015523</v>
      </c>
      <c r="K65">
        <v>0</v>
      </c>
      <c r="L65" t="s">
        <v>6063</v>
      </c>
      <c r="N65" t="s">
        <v>13</v>
      </c>
      <c r="O65" t="s">
        <v>14</v>
      </c>
      <c r="P65" s="2" t="str">
        <f>HYPERLINK("https://www.facebook.com/762053551")</f>
        <v>https://www.facebook.com/762053551</v>
      </c>
      <c r="Q65">
        <v>102347</v>
      </c>
      <c r="R65" t="s">
        <v>6067</v>
      </c>
      <c r="S65" t="s">
        <v>6073</v>
      </c>
    </row>
    <row r="66" spans="1:19" ht="14.25" customHeight="1" x14ac:dyDescent="0.3">
      <c r="A66" t="s">
        <v>4995</v>
      </c>
      <c r="B66" t="s">
        <v>1520</v>
      </c>
      <c r="C66" t="s">
        <v>3538</v>
      </c>
      <c r="D66" t="s">
        <v>5194</v>
      </c>
      <c r="E66" t="s">
        <v>5287</v>
      </c>
      <c r="F66" t="s">
        <v>6059</v>
      </c>
      <c r="G66" s="2" t="str">
        <f>HYPERLINK("https://www.facebook.com/1821931048038638/posts/2132070070358066?comment_id=2132086710356402")</f>
        <v>https://www.facebook.com/1821931048038638/posts/2132070070358066?comment_id=2132086710356402</v>
      </c>
      <c r="H66" t="s">
        <v>6060</v>
      </c>
      <c r="I66" t="s">
        <v>5197</v>
      </c>
      <c r="J66" s="2" t="str">
        <f>HYPERLINK("https://www.facebook.com/1821931048038638")</f>
        <v>https://www.facebook.com/1821931048038638</v>
      </c>
      <c r="K66">
        <v>722</v>
      </c>
      <c r="L66" t="s">
        <v>6065</v>
      </c>
      <c r="N66" t="s">
        <v>13</v>
      </c>
      <c r="O66" t="s">
        <v>5197</v>
      </c>
      <c r="P66" s="2" t="str">
        <f>HYPERLINK("https://www.facebook.com/1821931048038638")</f>
        <v>https://www.facebook.com/1821931048038638</v>
      </c>
      <c r="Q66">
        <v>722</v>
      </c>
      <c r="R66" t="s">
        <v>6067</v>
      </c>
      <c r="S66" t="s">
        <v>6073</v>
      </c>
    </row>
    <row r="67" spans="1:19" ht="14.25" customHeight="1" x14ac:dyDescent="0.3">
      <c r="A67" t="s">
        <v>4995</v>
      </c>
      <c r="B67" t="s">
        <v>1672</v>
      </c>
      <c r="C67" t="s">
        <v>3538</v>
      </c>
      <c r="D67" t="s">
        <v>5194</v>
      </c>
      <c r="E67" t="s">
        <v>5309</v>
      </c>
      <c r="F67" t="s">
        <v>6056</v>
      </c>
      <c r="G67" s="2" t="str">
        <f>HYPERLINK("https://www.facebook.com/1821931048038638/posts/2132070070358066")</f>
        <v>https://www.facebook.com/1821931048038638/posts/2132070070358066</v>
      </c>
      <c r="H67" t="s">
        <v>6060</v>
      </c>
      <c r="I67" t="s">
        <v>5197</v>
      </c>
      <c r="J67" s="2" t="str">
        <f>HYPERLINK("https://www.facebook.com/1821931048038638")</f>
        <v>https://www.facebook.com/1821931048038638</v>
      </c>
      <c r="K67">
        <v>722</v>
      </c>
      <c r="L67" t="s">
        <v>6065</v>
      </c>
      <c r="N67" t="s">
        <v>13</v>
      </c>
      <c r="O67" t="s">
        <v>5197</v>
      </c>
      <c r="P67" s="2" t="str">
        <f>HYPERLINK("https://www.facebook.com/1821931048038638")</f>
        <v>https://www.facebook.com/1821931048038638</v>
      </c>
      <c r="Q67">
        <v>722</v>
      </c>
      <c r="R67" t="s">
        <v>6067</v>
      </c>
      <c r="S67" t="s">
        <v>6073</v>
      </c>
    </row>
    <row r="68" spans="1:19" ht="14.25" customHeight="1" x14ac:dyDescent="0.3">
      <c r="A68" t="s">
        <v>629</v>
      </c>
      <c r="B68" t="s">
        <v>2080</v>
      </c>
      <c r="C68" t="s">
        <v>95</v>
      </c>
      <c r="D68" t="s">
        <v>853</v>
      </c>
      <c r="E68" t="s">
        <v>2081</v>
      </c>
      <c r="F68" t="s">
        <v>6059</v>
      </c>
      <c r="G68" s="2" t="str">
        <f>HYPERLINK("https://www.facebook.com/100008934274771/posts/1810262525948206?comment_id=1810404642600661")</f>
        <v>https://www.facebook.com/100008934274771/posts/1810262525948206?comment_id=1810404642600661</v>
      </c>
      <c r="H68" t="s">
        <v>6060</v>
      </c>
      <c r="I68" t="s">
        <v>2082</v>
      </c>
      <c r="J68" s="2" t="str">
        <f>HYPERLINK("https://www.facebook.com/100024578302185")</f>
        <v>https://www.facebook.com/100024578302185</v>
      </c>
      <c r="K68">
        <v>41</v>
      </c>
      <c r="L68" t="s">
        <v>6064</v>
      </c>
      <c r="N68" t="s">
        <v>13</v>
      </c>
      <c r="O68" t="s">
        <v>856</v>
      </c>
      <c r="P68" s="2" t="str">
        <f>HYPERLINK("https://www.facebook.com/100008934274771")</f>
        <v>https://www.facebook.com/100008934274771</v>
      </c>
      <c r="Q68">
        <v>10395</v>
      </c>
      <c r="R68" t="s">
        <v>6067</v>
      </c>
      <c r="S68" t="s">
        <v>6073</v>
      </c>
    </row>
    <row r="69" spans="1:19" ht="14.25" customHeight="1" x14ac:dyDescent="0.3">
      <c r="A69" t="s">
        <v>629</v>
      </c>
      <c r="B69" t="s">
        <v>2161</v>
      </c>
      <c r="C69" t="s">
        <v>95</v>
      </c>
      <c r="D69" t="s">
        <v>544</v>
      </c>
      <c r="E69" t="s">
        <v>2162</v>
      </c>
      <c r="F69" t="s">
        <v>6059</v>
      </c>
      <c r="G69" s="2" t="str">
        <f>HYPERLINK("https://www.facebook.com/1730218240/posts/10204571727609732?comment_id=10204572541350075")</f>
        <v>https://www.facebook.com/1730218240/posts/10204571727609732?comment_id=10204572541350075</v>
      </c>
      <c r="H69" t="s">
        <v>6060</v>
      </c>
      <c r="I69" t="s">
        <v>2082</v>
      </c>
      <c r="J69" s="2" t="str">
        <f>HYPERLINK("https://www.facebook.com/100024578302185")</f>
        <v>https://www.facebook.com/100024578302185</v>
      </c>
      <c r="K69">
        <v>41</v>
      </c>
      <c r="L69" t="s">
        <v>6064</v>
      </c>
      <c r="N69" t="s">
        <v>13</v>
      </c>
      <c r="O69" t="s">
        <v>2163</v>
      </c>
      <c r="P69" s="2" t="str">
        <f>HYPERLINK("https://www.facebook.com/1730218240")</f>
        <v>https://www.facebook.com/1730218240</v>
      </c>
      <c r="Q69">
        <v>2397</v>
      </c>
      <c r="R69" t="s">
        <v>6067</v>
      </c>
      <c r="S69" t="s">
        <v>6073</v>
      </c>
    </row>
    <row r="70" spans="1:19" ht="14.25" customHeight="1" x14ac:dyDescent="0.3">
      <c r="A70" t="s">
        <v>629</v>
      </c>
      <c r="B70" t="s">
        <v>2136</v>
      </c>
      <c r="C70" t="s">
        <v>95</v>
      </c>
      <c r="D70" t="s">
        <v>853</v>
      </c>
      <c r="E70" t="s">
        <v>2138</v>
      </c>
      <c r="F70" t="s">
        <v>6059</v>
      </c>
      <c r="G70" s="2" t="str">
        <f>HYPERLINK("https://www.facebook.com/100008934274771/posts/1810262525948206?comment_id=1810343349273457")</f>
        <v>https://www.facebook.com/100008934274771/posts/1810262525948206?comment_id=1810343349273457</v>
      </c>
      <c r="H70" t="s">
        <v>6060</v>
      </c>
      <c r="I70" t="s">
        <v>2082</v>
      </c>
      <c r="J70" s="2" t="str">
        <f>HYPERLINK("https://www.facebook.com/100024578302185")</f>
        <v>https://www.facebook.com/100024578302185</v>
      </c>
      <c r="K70">
        <v>41</v>
      </c>
      <c r="L70" t="s">
        <v>6064</v>
      </c>
      <c r="N70" t="s">
        <v>13</v>
      </c>
      <c r="O70" t="s">
        <v>856</v>
      </c>
      <c r="P70" s="2" t="str">
        <f>HYPERLINK("https://www.facebook.com/100008934274771")</f>
        <v>https://www.facebook.com/100008934274771</v>
      </c>
      <c r="Q70">
        <v>10395</v>
      </c>
      <c r="R70" t="s">
        <v>6067</v>
      </c>
      <c r="S70" t="s">
        <v>6073</v>
      </c>
    </row>
    <row r="71" spans="1:19" ht="14.25" customHeight="1" x14ac:dyDescent="0.3">
      <c r="A71" t="s">
        <v>4439</v>
      </c>
      <c r="B71" t="s">
        <v>507</v>
      </c>
      <c r="C71" t="s">
        <v>3538</v>
      </c>
      <c r="D71" t="s">
        <v>4801</v>
      </c>
      <c r="E71" t="s">
        <v>4872</v>
      </c>
      <c r="F71" t="s">
        <v>6059</v>
      </c>
      <c r="G71" s="2" t="str">
        <f>HYPERLINK("https://www.facebook.com/100000817437246/posts/1646973195339912?comment_id=1647249858645579")</f>
        <v>https://www.facebook.com/100000817437246/posts/1646973195339912?comment_id=1647249858645579</v>
      </c>
      <c r="H71" t="s">
        <v>6060</v>
      </c>
      <c r="I71" t="s">
        <v>4873</v>
      </c>
      <c r="J71" s="2" t="str">
        <f>HYPERLINK("https://www.facebook.com/100007696241616")</f>
        <v>https://www.facebook.com/100007696241616</v>
      </c>
      <c r="K71">
        <v>844</v>
      </c>
      <c r="L71" t="s">
        <v>6063</v>
      </c>
      <c r="N71" t="s">
        <v>13</v>
      </c>
      <c r="O71" t="s">
        <v>4804</v>
      </c>
      <c r="P71" s="2" t="str">
        <f>HYPERLINK("https://www.facebook.com/100000817437246")</f>
        <v>https://www.facebook.com/100000817437246</v>
      </c>
      <c r="Q71">
        <v>1821</v>
      </c>
      <c r="R71" t="s">
        <v>6067</v>
      </c>
      <c r="S71" t="s">
        <v>6073</v>
      </c>
    </row>
    <row r="72" spans="1:19" ht="14.25" customHeight="1" x14ac:dyDescent="0.3">
      <c r="A72" t="s">
        <v>2225</v>
      </c>
      <c r="B72" t="s">
        <v>2672</v>
      </c>
      <c r="C72" t="s">
        <v>95</v>
      </c>
      <c r="D72" t="s">
        <v>853</v>
      </c>
      <c r="E72" t="s">
        <v>2673</v>
      </c>
      <c r="F72" t="s">
        <v>6059</v>
      </c>
      <c r="G72" s="2" t="str">
        <f>HYPERLINK("https://www.facebook.com/100008934274771/posts/1810262525948206?comment_id=1810280925946366")</f>
        <v>https://www.facebook.com/100008934274771/posts/1810262525948206?comment_id=1810280925946366</v>
      </c>
      <c r="H72" t="s">
        <v>6060</v>
      </c>
      <c r="I72" t="s">
        <v>2674</v>
      </c>
      <c r="J72" s="2" t="str">
        <f>HYPERLINK("https://www.facebook.com/100002276575478")</f>
        <v>https://www.facebook.com/100002276575478</v>
      </c>
      <c r="K72">
        <v>451</v>
      </c>
      <c r="L72" t="s">
        <v>6063</v>
      </c>
      <c r="N72" t="s">
        <v>13</v>
      </c>
      <c r="O72" t="s">
        <v>856</v>
      </c>
      <c r="P72" s="2" t="str">
        <f>HYPERLINK("https://www.facebook.com/100008934274771")</f>
        <v>https://www.facebook.com/100008934274771</v>
      </c>
      <c r="Q72">
        <v>10395</v>
      </c>
      <c r="R72" t="s">
        <v>6067</v>
      </c>
      <c r="S72" t="s">
        <v>6073</v>
      </c>
    </row>
    <row r="73" spans="1:19" ht="14.25" customHeight="1" x14ac:dyDescent="0.3">
      <c r="A73" t="s">
        <v>629</v>
      </c>
      <c r="B73" t="s">
        <v>2184</v>
      </c>
      <c r="C73" t="s">
        <v>95</v>
      </c>
      <c r="D73" t="s">
        <v>1310</v>
      </c>
      <c r="E73" t="s">
        <v>2185</v>
      </c>
      <c r="F73" t="s">
        <v>6059</v>
      </c>
      <c r="G73" s="2" t="str">
        <f>HYPERLINK("https://www.facebook.com/100002596202440/posts/1614339498662575?comment_id=1614368381993020")</f>
        <v>https://www.facebook.com/100002596202440/posts/1614339498662575?comment_id=1614368381993020</v>
      </c>
      <c r="H73" t="s">
        <v>6060</v>
      </c>
      <c r="I73" t="s">
        <v>1312</v>
      </c>
      <c r="J73" s="2" t="str">
        <f>HYPERLINK("https://www.facebook.com/100002596202440")</f>
        <v>https://www.facebook.com/100002596202440</v>
      </c>
      <c r="K73">
        <v>531</v>
      </c>
      <c r="L73" t="s">
        <v>6063</v>
      </c>
      <c r="N73" t="s">
        <v>13</v>
      </c>
      <c r="O73" t="s">
        <v>1312</v>
      </c>
      <c r="P73" s="2" t="str">
        <f>HYPERLINK("https://www.facebook.com/100002596202440")</f>
        <v>https://www.facebook.com/100002596202440</v>
      </c>
      <c r="Q73">
        <v>531</v>
      </c>
      <c r="R73" t="s">
        <v>6067</v>
      </c>
      <c r="S73" t="s">
        <v>6073</v>
      </c>
    </row>
    <row r="74" spans="1:19" ht="14.25" customHeight="1" x14ac:dyDescent="0.3">
      <c r="A74" t="s">
        <v>1</v>
      </c>
      <c r="B74" t="s">
        <v>158</v>
      </c>
      <c r="C74" t="s">
        <v>95</v>
      </c>
      <c r="D74" t="s">
        <v>10</v>
      </c>
      <c r="E74" t="s">
        <v>159</v>
      </c>
      <c r="F74" t="s">
        <v>6059</v>
      </c>
      <c r="G74" s="2" t="str">
        <f>HYPERLINK("https://www.facebook.com/762053551/posts/10156366210158552?comment_id=10156368401873552")</f>
        <v>https://www.facebook.com/762053551/posts/10156366210158552?comment_id=10156368401873552</v>
      </c>
      <c r="H74" t="s">
        <v>6060</v>
      </c>
      <c r="I74" t="s">
        <v>160</v>
      </c>
      <c r="J74" s="2" t="str">
        <f>HYPERLINK("https://www.facebook.com/100001241341184")</f>
        <v>https://www.facebook.com/100001241341184</v>
      </c>
      <c r="K74">
        <v>306</v>
      </c>
      <c r="L74" t="s">
        <v>6063</v>
      </c>
      <c r="N74" t="s">
        <v>13</v>
      </c>
      <c r="O74" t="s">
        <v>14</v>
      </c>
      <c r="P74" s="2" t="str">
        <f>HYPERLINK("https://www.facebook.com/762053551")</f>
        <v>https://www.facebook.com/762053551</v>
      </c>
      <c r="Q74">
        <v>102347</v>
      </c>
      <c r="R74" t="s">
        <v>6067</v>
      </c>
      <c r="S74" t="s">
        <v>6073</v>
      </c>
    </row>
    <row r="75" spans="1:19" ht="14.25" customHeight="1" x14ac:dyDescent="0.3">
      <c r="A75" t="s">
        <v>4995</v>
      </c>
      <c r="B75" t="s">
        <v>2207</v>
      </c>
      <c r="C75" t="s">
        <v>3538</v>
      </c>
      <c r="D75" t="s">
        <v>4468</v>
      </c>
      <c r="E75" t="s">
        <v>5402</v>
      </c>
      <c r="F75" t="s">
        <v>6059</v>
      </c>
      <c r="G75" s="2" t="str">
        <f>HYPERLINK("https://www.facebook.com/1529329267308888/posts/2058827921025684?comment_id=2058941494347660")</f>
        <v>https://www.facebook.com/1529329267308888/posts/2058827921025684?comment_id=2058941494347660</v>
      </c>
      <c r="H75" t="s">
        <v>6060</v>
      </c>
      <c r="I75" t="s">
        <v>5403</v>
      </c>
      <c r="J75" s="2" t="str">
        <f>HYPERLINK("https://www.facebook.com/100005026214564")</f>
        <v>https://www.facebook.com/100005026214564</v>
      </c>
      <c r="K75">
        <v>537</v>
      </c>
      <c r="L75" t="s">
        <v>6063</v>
      </c>
      <c r="N75" t="s">
        <v>13</v>
      </c>
      <c r="O75" t="s">
        <v>4471</v>
      </c>
      <c r="P75" s="2" t="str">
        <f>HYPERLINK("https://www.facebook.com/1529329267308888")</f>
        <v>https://www.facebook.com/1529329267308888</v>
      </c>
      <c r="R75" t="s">
        <v>6067</v>
      </c>
      <c r="S75" t="s">
        <v>6073</v>
      </c>
    </row>
    <row r="76" spans="1:19" ht="14.25" customHeight="1" x14ac:dyDescent="0.3">
      <c r="A76" t="s">
        <v>1</v>
      </c>
      <c r="B76" t="s">
        <v>218</v>
      </c>
      <c r="C76" t="s">
        <v>95</v>
      </c>
      <c r="D76" t="s">
        <v>223</v>
      </c>
      <c r="E76" t="s">
        <v>224</v>
      </c>
      <c r="F76" t="s">
        <v>6057</v>
      </c>
      <c r="G76" s="2" t="str">
        <f>HYPERLINK("https://www.facebook.com/100011460845923/posts/643202539405102")</f>
        <v>https://www.facebook.com/100011460845923/posts/643202539405102</v>
      </c>
      <c r="H76" t="s">
        <v>6060</v>
      </c>
      <c r="I76" t="s">
        <v>225</v>
      </c>
      <c r="J76" s="2" t="str">
        <f>HYPERLINK("https://www.facebook.com/100011460845923")</f>
        <v>https://www.facebook.com/100011460845923</v>
      </c>
      <c r="K76">
        <v>77</v>
      </c>
      <c r="L76" t="s">
        <v>6063</v>
      </c>
      <c r="N76" t="s">
        <v>13</v>
      </c>
      <c r="O76" t="s">
        <v>225</v>
      </c>
      <c r="P76" s="2" t="str">
        <f>HYPERLINK("https://www.facebook.com/100011460845923")</f>
        <v>https://www.facebook.com/100011460845923</v>
      </c>
      <c r="Q76">
        <v>77</v>
      </c>
      <c r="R76" t="s">
        <v>6067</v>
      </c>
    </row>
    <row r="77" spans="1:19" ht="14.25" customHeight="1" x14ac:dyDescent="0.3">
      <c r="A77" t="s">
        <v>1</v>
      </c>
      <c r="B77" t="s">
        <v>627</v>
      </c>
      <c r="C77" t="s">
        <v>95</v>
      </c>
      <c r="D77" t="s">
        <v>10</v>
      </c>
      <c r="E77" t="s">
        <v>628</v>
      </c>
      <c r="F77" t="s">
        <v>6059</v>
      </c>
      <c r="G77" s="2" t="str">
        <f>HYPERLINK("https://www.facebook.com/1070092426/posts/10213398046920195?comment_id=10213399180468533")</f>
        <v>https://www.facebook.com/1070092426/posts/10213398046920195?comment_id=10213399180468533</v>
      </c>
      <c r="H77" t="s">
        <v>6060</v>
      </c>
      <c r="I77" t="s">
        <v>443</v>
      </c>
      <c r="J77" s="2" t="str">
        <f>HYPERLINK("https://www.facebook.com/100001242196915")</f>
        <v>https://www.facebook.com/100001242196915</v>
      </c>
      <c r="K77">
        <v>411</v>
      </c>
      <c r="L77" t="s">
        <v>6063</v>
      </c>
      <c r="N77" t="s">
        <v>13</v>
      </c>
      <c r="O77" t="s">
        <v>314</v>
      </c>
      <c r="P77" s="2" t="str">
        <f>HYPERLINK("https://www.facebook.com/1070092426")</f>
        <v>https://www.facebook.com/1070092426</v>
      </c>
      <c r="Q77">
        <v>5892</v>
      </c>
      <c r="R77" t="s">
        <v>6067</v>
      </c>
      <c r="S77" t="s">
        <v>6073</v>
      </c>
    </row>
    <row r="78" spans="1:19" ht="14.25" customHeight="1" x14ac:dyDescent="0.3">
      <c r="A78" t="s">
        <v>2225</v>
      </c>
      <c r="B78" t="s">
        <v>1264</v>
      </c>
      <c r="C78" t="s">
        <v>95</v>
      </c>
      <c r="D78" t="s">
        <v>1409</v>
      </c>
      <c r="E78" t="s">
        <v>3196</v>
      </c>
      <c r="F78" t="s">
        <v>6059</v>
      </c>
      <c r="G78" s="2" t="str">
        <f>HYPERLINK("https://www.facebook.com/1188505182/posts/10214974858303441?comment_id=10214974959145962")</f>
        <v>https://www.facebook.com/1188505182/posts/10214974858303441?comment_id=10214974959145962</v>
      </c>
      <c r="H78" t="s">
        <v>6060</v>
      </c>
      <c r="I78" t="s">
        <v>1411</v>
      </c>
      <c r="J78" s="2" t="str">
        <f>HYPERLINK("https://www.facebook.com/1188505182")</f>
        <v>https://www.facebook.com/1188505182</v>
      </c>
      <c r="K78">
        <v>542</v>
      </c>
      <c r="L78" t="s">
        <v>6063</v>
      </c>
      <c r="N78" t="s">
        <v>13</v>
      </c>
      <c r="O78" t="s">
        <v>1411</v>
      </c>
      <c r="P78" s="2" t="str">
        <f>HYPERLINK("https://www.facebook.com/1188505182")</f>
        <v>https://www.facebook.com/1188505182</v>
      </c>
      <c r="Q78">
        <v>542</v>
      </c>
      <c r="R78" t="s">
        <v>6067</v>
      </c>
      <c r="S78" t="s">
        <v>6073</v>
      </c>
    </row>
    <row r="79" spans="1:19" ht="14.25" customHeight="1" x14ac:dyDescent="0.3">
      <c r="A79" t="s">
        <v>629</v>
      </c>
      <c r="B79" t="s">
        <v>8</v>
      </c>
      <c r="C79" t="s">
        <v>95</v>
      </c>
      <c r="D79" t="s">
        <v>10</v>
      </c>
      <c r="E79" t="s">
        <v>1237</v>
      </c>
      <c r="F79" t="s">
        <v>6059</v>
      </c>
      <c r="G79" s="2" t="str">
        <f>HYPERLINK("https://www.facebook.com/762053551/posts/10156366210158552?comment_id=10156366239033552")</f>
        <v>https://www.facebook.com/762053551/posts/10156366210158552?comment_id=10156366239033552</v>
      </c>
      <c r="H79" t="s">
        <v>6060</v>
      </c>
      <c r="I79" t="s">
        <v>1218</v>
      </c>
      <c r="J79" s="2" t="str">
        <f>HYPERLINK("https://www.facebook.com/100019405564266")</f>
        <v>https://www.facebook.com/100019405564266</v>
      </c>
      <c r="K79">
        <v>336</v>
      </c>
      <c r="L79" t="s">
        <v>6063</v>
      </c>
      <c r="N79" t="s">
        <v>13</v>
      </c>
      <c r="O79" t="s">
        <v>14</v>
      </c>
      <c r="P79" s="2" t="str">
        <f>HYPERLINK("https://www.facebook.com/762053551")</f>
        <v>https://www.facebook.com/762053551</v>
      </c>
      <c r="Q79">
        <v>102347</v>
      </c>
      <c r="R79" t="s">
        <v>6067</v>
      </c>
      <c r="S79" t="s">
        <v>6073</v>
      </c>
    </row>
    <row r="80" spans="1:19" ht="14.25" customHeight="1" x14ac:dyDescent="0.3">
      <c r="A80" t="s">
        <v>629</v>
      </c>
      <c r="B80" t="s">
        <v>619</v>
      </c>
      <c r="C80" t="s">
        <v>95</v>
      </c>
      <c r="D80" t="s">
        <v>2196</v>
      </c>
      <c r="E80" t="s">
        <v>2197</v>
      </c>
      <c r="F80" t="s">
        <v>6059</v>
      </c>
      <c r="G80" s="2" t="str">
        <f>HYPERLINK("https://www.facebook.com/100001415260849/posts/1744734525583706?comment_id=1746597202064105")</f>
        <v>https://www.facebook.com/100001415260849/posts/1744734525583706?comment_id=1746597202064105</v>
      </c>
      <c r="H80" t="s">
        <v>6060</v>
      </c>
      <c r="I80" t="s">
        <v>2198</v>
      </c>
      <c r="J80" s="2" t="str">
        <f>HYPERLINK("https://www.facebook.com/100021704199874")</f>
        <v>https://www.facebook.com/100021704199874</v>
      </c>
      <c r="K80">
        <v>0</v>
      </c>
      <c r="L80" t="s">
        <v>6063</v>
      </c>
      <c r="N80" t="s">
        <v>13</v>
      </c>
      <c r="O80" t="s">
        <v>2199</v>
      </c>
      <c r="P80" s="2" t="str">
        <f>HYPERLINK("https://www.facebook.com/100001415260849")</f>
        <v>https://www.facebook.com/100001415260849</v>
      </c>
      <c r="Q80">
        <v>0</v>
      </c>
      <c r="R80" t="s">
        <v>6067</v>
      </c>
      <c r="S80" t="s">
        <v>6073</v>
      </c>
    </row>
    <row r="81" spans="1:19" ht="14.25" customHeight="1" x14ac:dyDescent="0.3">
      <c r="A81" t="s">
        <v>1</v>
      </c>
      <c r="B81" t="s">
        <v>572</v>
      </c>
      <c r="C81" t="s">
        <v>95</v>
      </c>
      <c r="D81" t="s">
        <v>568</v>
      </c>
      <c r="E81" t="s">
        <v>574</v>
      </c>
      <c r="F81" t="s">
        <v>6059</v>
      </c>
      <c r="G81" s="2" t="str">
        <f>HYPERLINK("https://www.facebook.com/100010421106042/posts/579987695691929?comment_id=580375125653186")</f>
        <v>https://www.facebook.com/100010421106042/posts/579987695691929?comment_id=580375125653186</v>
      </c>
      <c r="H81" t="s">
        <v>6060</v>
      </c>
      <c r="I81" t="s">
        <v>575</v>
      </c>
      <c r="J81" s="2" t="str">
        <f>HYPERLINK("https://www.facebook.com/100014703151585")</f>
        <v>https://www.facebook.com/100014703151585</v>
      </c>
      <c r="K81">
        <v>215</v>
      </c>
      <c r="L81" t="s">
        <v>6063</v>
      </c>
      <c r="N81" t="s">
        <v>13</v>
      </c>
      <c r="O81" t="s">
        <v>571</v>
      </c>
      <c r="P81" s="2" t="str">
        <f>HYPERLINK("https://www.facebook.com/100010421106042")</f>
        <v>https://www.facebook.com/100010421106042</v>
      </c>
      <c r="Q81">
        <v>2614</v>
      </c>
      <c r="R81" t="s">
        <v>6067</v>
      </c>
      <c r="S81" t="s">
        <v>6101</v>
      </c>
    </row>
    <row r="82" spans="1:19" ht="14.25" customHeight="1" x14ac:dyDescent="0.3">
      <c r="A82" t="s">
        <v>629</v>
      </c>
      <c r="B82" t="s">
        <v>792</v>
      </c>
      <c r="C82" t="s">
        <v>95</v>
      </c>
      <c r="D82" t="s">
        <v>10</v>
      </c>
      <c r="E82" t="s">
        <v>517</v>
      </c>
      <c r="F82" t="s">
        <v>6058</v>
      </c>
      <c r="G82" s="2" t="str">
        <f>HYPERLINK("https://www.facebook.com/1070092426/posts/10213398046920195")</f>
        <v>https://www.facebook.com/1070092426/posts/10213398046920195</v>
      </c>
      <c r="H82" t="s">
        <v>6060</v>
      </c>
      <c r="I82" t="s">
        <v>314</v>
      </c>
      <c r="J82" s="2" t="str">
        <f>HYPERLINK("https://www.facebook.com/1070092426")</f>
        <v>https://www.facebook.com/1070092426</v>
      </c>
      <c r="K82">
        <v>5892</v>
      </c>
      <c r="L82" t="s">
        <v>6063</v>
      </c>
      <c r="N82" t="s">
        <v>13</v>
      </c>
      <c r="O82" t="s">
        <v>314</v>
      </c>
      <c r="P82" s="2" t="str">
        <f>HYPERLINK("https://www.facebook.com/1070092426")</f>
        <v>https://www.facebook.com/1070092426</v>
      </c>
      <c r="Q82">
        <v>5892</v>
      </c>
      <c r="R82" t="s">
        <v>6067</v>
      </c>
      <c r="S82" t="s">
        <v>6073</v>
      </c>
    </row>
    <row r="83" spans="1:19" ht="14.25" customHeight="1" x14ac:dyDescent="0.3">
      <c r="A83" t="s">
        <v>2225</v>
      </c>
      <c r="B83" t="s">
        <v>2413</v>
      </c>
      <c r="C83" t="s">
        <v>95</v>
      </c>
      <c r="D83" t="s">
        <v>853</v>
      </c>
      <c r="E83" t="s">
        <v>2414</v>
      </c>
      <c r="F83" t="s">
        <v>6059</v>
      </c>
      <c r="G83" s="2" t="str">
        <f>HYPERLINK("https://www.facebook.com/100008934274771/posts/1810262525948206?comment_id=1810296495944809")</f>
        <v>https://www.facebook.com/100008934274771/posts/1810262525948206?comment_id=1810296495944809</v>
      </c>
      <c r="H83" t="s">
        <v>6060</v>
      </c>
      <c r="I83" t="s">
        <v>2415</v>
      </c>
      <c r="J83" s="2" t="str">
        <f>HYPERLINK("https://www.facebook.com/100004079973019")</f>
        <v>https://www.facebook.com/100004079973019</v>
      </c>
      <c r="K83">
        <v>61</v>
      </c>
      <c r="L83" t="s">
        <v>6063</v>
      </c>
      <c r="N83" t="s">
        <v>13</v>
      </c>
      <c r="O83" t="s">
        <v>856</v>
      </c>
      <c r="P83" s="2" t="str">
        <f>HYPERLINK("https://www.facebook.com/100008934274771")</f>
        <v>https://www.facebook.com/100008934274771</v>
      </c>
      <c r="Q83">
        <v>10395</v>
      </c>
      <c r="R83" t="s">
        <v>6067</v>
      </c>
      <c r="S83" t="s">
        <v>6073</v>
      </c>
    </row>
    <row r="84" spans="1:19" ht="14.25" customHeight="1" x14ac:dyDescent="0.3">
      <c r="A84" t="s">
        <v>629</v>
      </c>
      <c r="B84" t="s">
        <v>1115</v>
      </c>
      <c r="C84" t="s">
        <v>95</v>
      </c>
      <c r="D84" t="s">
        <v>10</v>
      </c>
      <c r="E84" t="s">
        <v>1116</v>
      </c>
      <c r="F84" t="s">
        <v>6059</v>
      </c>
      <c r="G84" s="2" t="str">
        <f>HYPERLINK("https://www.facebook.com/762053551/posts/10156366210158552?comment_id=10156366313388552")</f>
        <v>https://www.facebook.com/762053551/posts/10156366210158552?comment_id=10156366313388552</v>
      </c>
      <c r="H84" t="s">
        <v>6060</v>
      </c>
      <c r="I84" t="s">
        <v>1114</v>
      </c>
      <c r="J84" s="2" t="str">
        <f>HYPERLINK("https://www.facebook.com/1273743388")</f>
        <v>https://www.facebook.com/1273743388</v>
      </c>
      <c r="K84">
        <v>1311</v>
      </c>
      <c r="L84" t="s">
        <v>6063</v>
      </c>
      <c r="N84" t="s">
        <v>13</v>
      </c>
      <c r="O84" t="s">
        <v>14</v>
      </c>
      <c r="P84" s="2" t="str">
        <f>HYPERLINK("https://www.facebook.com/762053551")</f>
        <v>https://www.facebook.com/762053551</v>
      </c>
      <c r="Q84">
        <v>102347</v>
      </c>
      <c r="R84" t="s">
        <v>6067</v>
      </c>
      <c r="S84" t="s">
        <v>6083</v>
      </c>
    </row>
    <row r="85" spans="1:19" ht="14.25" customHeight="1" x14ac:dyDescent="0.3">
      <c r="A85" t="s">
        <v>629</v>
      </c>
      <c r="B85" t="s">
        <v>1172</v>
      </c>
      <c r="C85" t="s">
        <v>95</v>
      </c>
      <c r="D85" t="s">
        <v>987</v>
      </c>
      <c r="E85" t="s">
        <v>1174</v>
      </c>
      <c r="F85" t="s">
        <v>6059</v>
      </c>
      <c r="G85" s="2" t="str">
        <f>HYPERLINK("https://www.facebook.com/100002938219448/posts/1587245274716731?comment_id=1587683341339591")</f>
        <v>https://www.facebook.com/100002938219448/posts/1587245274716731?comment_id=1587683341339591</v>
      </c>
      <c r="H85" t="s">
        <v>6060</v>
      </c>
      <c r="I85" t="s">
        <v>1175</v>
      </c>
      <c r="J85" s="2" t="str">
        <f>HYPERLINK("https://www.facebook.com/1783956933")</f>
        <v>https://www.facebook.com/1783956933</v>
      </c>
      <c r="K85">
        <v>1522</v>
      </c>
      <c r="L85" t="s">
        <v>6063</v>
      </c>
      <c r="N85" t="s">
        <v>13</v>
      </c>
      <c r="O85" t="s">
        <v>990</v>
      </c>
      <c r="P85" s="2" t="str">
        <f>HYPERLINK("https://www.facebook.com/100002938219448")</f>
        <v>https://www.facebook.com/100002938219448</v>
      </c>
      <c r="Q85">
        <v>1445</v>
      </c>
      <c r="R85" t="s">
        <v>6067</v>
      </c>
      <c r="S85" t="s">
        <v>6073</v>
      </c>
    </row>
    <row r="86" spans="1:19" ht="14.25" customHeight="1" x14ac:dyDescent="0.3">
      <c r="A86" t="s">
        <v>2225</v>
      </c>
      <c r="B86" t="s">
        <v>2422</v>
      </c>
      <c r="C86" t="s">
        <v>95</v>
      </c>
      <c r="D86" t="s">
        <v>853</v>
      </c>
      <c r="E86" t="s">
        <v>2426</v>
      </c>
      <c r="F86" t="s">
        <v>6059</v>
      </c>
      <c r="G86" s="2" t="str">
        <f>HYPERLINK("https://www.facebook.com/100008934274771/posts/1810262525948206?comment_id=1810295892611536")</f>
        <v>https://www.facebook.com/100008934274771/posts/1810262525948206?comment_id=1810295892611536</v>
      </c>
      <c r="H86" t="s">
        <v>6060</v>
      </c>
      <c r="I86" t="s">
        <v>2427</v>
      </c>
      <c r="J86" s="2" t="str">
        <f>HYPERLINK("https://www.facebook.com/100023832695706")</f>
        <v>https://www.facebook.com/100023832695706</v>
      </c>
      <c r="K86">
        <v>64</v>
      </c>
      <c r="L86" t="s">
        <v>6063</v>
      </c>
      <c r="N86" t="s">
        <v>13</v>
      </c>
      <c r="O86" t="s">
        <v>856</v>
      </c>
      <c r="P86" s="2" t="str">
        <f>HYPERLINK("https://www.facebook.com/100008934274771")</f>
        <v>https://www.facebook.com/100008934274771</v>
      </c>
      <c r="Q86">
        <v>10395</v>
      </c>
      <c r="R86" t="s">
        <v>6067</v>
      </c>
      <c r="S86" t="s">
        <v>6073</v>
      </c>
    </row>
    <row r="87" spans="1:19" ht="14.25" customHeight="1" x14ac:dyDescent="0.3">
      <c r="A87" t="s">
        <v>2225</v>
      </c>
      <c r="B87" t="s">
        <v>2471</v>
      </c>
      <c r="C87" t="s">
        <v>95</v>
      </c>
      <c r="D87" t="s">
        <v>853</v>
      </c>
      <c r="E87" t="s">
        <v>2472</v>
      </c>
      <c r="F87" t="s">
        <v>6059</v>
      </c>
      <c r="G87" s="2" t="str">
        <f>HYPERLINK("https://www.facebook.com/100008934274771/posts/1810262525948206?comment_id=1810293135945145")</f>
        <v>https://www.facebook.com/100008934274771/posts/1810262525948206?comment_id=1810293135945145</v>
      </c>
      <c r="H87" t="s">
        <v>6060</v>
      </c>
      <c r="I87" t="s">
        <v>2427</v>
      </c>
      <c r="J87" s="2" t="str">
        <f>HYPERLINK("https://www.facebook.com/100023832695706")</f>
        <v>https://www.facebook.com/100023832695706</v>
      </c>
      <c r="K87">
        <v>64</v>
      </c>
      <c r="L87" t="s">
        <v>6063</v>
      </c>
      <c r="N87" t="s">
        <v>13</v>
      </c>
      <c r="O87" t="s">
        <v>856</v>
      </c>
      <c r="P87" s="2" t="str">
        <f>HYPERLINK("https://www.facebook.com/100008934274771")</f>
        <v>https://www.facebook.com/100008934274771</v>
      </c>
      <c r="Q87">
        <v>10395</v>
      </c>
      <c r="R87" t="s">
        <v>6067</v>
      </c>
      <c r="S87" t="s">
        <v>6073</v>
      </c>
    </row>
    <row r="88" spans="1:19" ht="14.25" customHeight="1" x14ac:dyDescent="0.3">
      <c r="A88" t="s">
        <v>629</v>
      </c>
      <c r="B88" t="s">
        <v>2134</v>
      </c>
      <c r="C88" t="s">
        <v>95</v>
      </c>
      <c r="D88" t="s">
        <v>853</v>
      </c>
      <c r="E88" t="s">
        <v>2135</v>
      </c>
      <c r="F88" t="s">
        <v>6059</v>
      </c>
      <c r="G88" s="2" t="str">
        <f>HYPERLINK("https://www.facebook.com/100008934274771/posts/1810262525948206?comment_id=1810343489273443")</f>
        <v>https://www.facebook.com/100008934274771/posts/1810262525948206?comment_id=1810343489273443</v>
      </c>
      <c r="H88" t="s">
        <v>6060</v>
      </c>
      <c r="I88" t="s">
        <v>2127</v>
      </c>
      <c r="J88" s="2" t="str">
        <f>HYPERLINK("https://www.facebook.com/100004688678996")</f>
        <v>https://www.facebook.com/100004688678996</v>
      </c>
      <c r="K88">
        <v>35</v>
      </c>
      <c r="L88" t="s">
        <v>6063</v>
      </c>
      <c r="N88" t="s">
        <v>13</v>
      </c>
      <c r="O88" t="s">
        <v>856</v>
      </c>
      <c r="P88" s="2" t="str">
        <f>HYPERLINK("https://www.facebook.com/100008934274771")</f>
        <v>https://www.facebook.com/100008934274771</v>
      </c>
      <c r="Q88">
        <v>10395</v>
      </c>
      <c r="R88" t="s">
        <v>6067</v>
      </c>
      <c r="S88" t="s">
        <v>6073</v>
      </c>
    </row>
    <row r="89" spans="1:19" ht="14.25" customHeight="1" x14ac:dyDescent="0.3">
      <c r="A89" t="s">
        <v>2225</v>
      </c>
      <c r="B89" t="s">
        <v>2771</v>
      </c>
      <c r="C89" t="s">
        <v>95</v>
      </c>
      <c r="D89" t="s">
        <v>853</v>
      </c>
      <c r="E89" t="s">
        <v>2773</v>
      </c>
      <c r="F89" t="s">
        <v>6059</v>
      </c>
      <c r="G89" s="2" t="str">
        <f>HYPERLINK("https://www.facebook.com/100008934274771/posts/1810262525948206?comment_id=1810271072614018")</f>
        <v>https://www.facebook.com/100008934274771/posts/1810262525948206?comment_id=1810271072614018</v>
      </c>
      <c r="H89" t="s">
        <v>6060</v>
      </c>
      <c r="I89" t="s">
        <v>2774</v>
      </c>
      <c r="J89" s="2" t="str">
        <f>HYPERLINK("https://www.facebook.com/100003247700075")</f>
        <v>https://www.facebook.com/100003247700075</v>
      </c>
      <c r="K89">
        <v>3376</v>
      </c>
      <c r="L89" t="s">
        <v>6063</v>
      </c>
      <c r="N89" t="s">
        <v>13</v>
      </c>
      <c r="O89" t="s">
        <v>856</v>
      </c>
      <c r="P89" s="2" t="str">
        <f>HYPERLINK("https://www.facebook.com/100008934274771")</f>
        <v>https://www.facebook.com/100008934274771</v>
      </c>
      <c r="Q89">
        <v>10395</v>
      </c>
      <c r="R89" t="s">
        <v>6067</v>
      </c>
      <c r="S89" t="s">
        <v>6073</v>
      </c>
    </row>
    <row r="90" spans="1:19" ht="14.25" customHeight="1" x14ac:dyDescent="0.3">
      <c r="A90" t="s">
        <v>629</v>
      </c>
      <c r="B90" t="s">
        <v>1052</v>
      </c>
      <c r="C90" t="s">
        <v>95</v>
      </c>
      <c r="D90" t="s">
        <v>10</v>
      </c>
      <c r="E90" t="s">
        <v>517</v>
      </c>
      <c r="F90" t="s">
        <v>6058</v>
      </c>
      <c r="G90" s="2" t="str">
        <f>HYPERLINK("https://www.facebook.com/100003183284135/posts/1579771708805590")</f>
        <v>https://www.facebook.com/100003183284135/posts/1579771708805590</v>
      </c>
      <c r="H90" t="s">
        <v>6060</v>
      </c>
      <c r="I90" t="s">
        <v>1053</v>
      </c>
      <c r="J90" s="2" t="str">
        <f>HYPERLINK("https://www.facebook.com/100003183284135")</f>
        <v>https://www.facebook.com/100003183284135</v>
      </c>
      <c r="K90">
        <v>366</v>
      </c>
      <c r="L90" t="s">
        <v>6063</v>
      </c>
      <c r="N90" t="s">
        <v>13</v>
      </c>
      <c r="O90" t="s">
        <v>1053</v>
      </c>
      <c r="P90" s="2" t="str">
        <f>HYPERLINK("https://www.facebook.com/100003183284135")</f>
        <v>https://www.facebook.com/100003183284135</v>
      </c>
      <c r="Q90">
        <v>366</v>
      </c>
      <c r="R90" t="s">
        <v>6067</v>
      </c>
      <c r="S90" t="s">
        <v>6073</v>
      </c>
    </row>
    <row r="91" spans="1:19" ht="14.25" customHeight="1" x14ac:dyDescent="0.3">
      <c r="A91" t="s">
        <v>2225</v>
      </c>
      <c r="B91" t="s">
        <v>1513</v>
      </c>
      <c r="C91" t="s">
        <v>95</v>
      </c>
      <c r="D91" t="s">
        <v>3206</v>
      </c>
      <c r="E91" t="s">
        <v>3361</v>
      </c>
      <c r="F91" t="s">
        <v>6059</v>
      </c>
      <c r="G91" s="2" t="str">
        <f>HYPERLINK("https://www.facebook.com/100008934274771/posts/1810029789304813?comment_id=1810044335970025")</f>
        <v>https://www.facebook.com/100008934274771/posts/1810029789304813?comment_id=1810044335970025</v>
      </c>
      <c r="H91" t="s">
        <v>6060</v>
      </c>
      <c r="I91" t="s">
        <v>3362</v>
      </c>
      <c r="J91" s="2" t="str">
        <f>HYPERLINK("https://www.facebook.com/100006666121352")</f>
        <v>https://www.facebook.com/100006666121352</v>
      </c>
      <c r="K91">
        <v>113</v>
      </c>
      <c r="L91" t="s">
        <v>6063</v>
      </c>
      <c r="N91" t="s">
        <v>13</v>
      </c>
      <c r="O91" t="s">
        <v>856</v>
      </c>
      <c r="P91" s="2" t="str">
        <f>HYPERLINK("https://www.facebook.com/100008934274771")</f>
        <v>https://www.facebook.com/100008934274771</v>
      </c>
      <c r="Q91">
        <v>10395</v>
      </c>
      <c r="R91" t="s">
        <v>6067</v>
      </c>
      <c r="S91" t="s">
        <v>6073</v>
      </c>
    </row>
    <row r="92" spans="1:19" ht="14.25" customHeight="1" x14ac:dyDescent="0.3">
      <c r="A92" t="s">
        <v>629</v>
      </c>
      <c r="B92" t="s">
        <v>2069</v>
      </c>
      <c r="C92" t="s">
        <v>95</v>
      </c>
      <c r="D92" t="s">
        <v>568</v>
      </c>
      <c r="E92" t="s">
        <v>2070</v>
      </c>
      <c r="F92" t="s">
        <v>6059</v>
      </c>
      <c r="G92" s="2" t="str">
        <f>HYPERLINK("https://www.facebook.com/100010421106042/posts/579987695691929?comment_id=580051049018927")</f>
        <v>https://www.facebook.com/100010421106042/posts/579987695691929?comment_id=580051049018927</v>
      </c>
      <c r="H92" t="s">
        <v>6060</v>
      </c>
      <c r="I92" t="s">
        <v>2071</v>
      </c>
      <c r="J92" s="2" t="str">
        <f>HYPERLINK("https://www.facebook.com/100003120245468")</f>
        <v>https://www.facebook.com/100003120245468</v>
      </c>
      <c r="K92">
        <v>509</v>
      </c>
      <c r="L92" t="s">
        <v>6063</v>
      </c>
      <c r="N92" t="s">
        <v>13</v>
      </c>
      <c r="O92" t="s">
        <v>571</v>
      </c>
      <c r="P92" s="2" t="str">
        <f>HYPERLINK("https://www.facebook.com/100010421106042")</f>
        <v>https://www.facebook.com/100010421106042</v>
      </c>
      <c r="Q92">
        <v>2614</v>
      </c>
      <c r="R92" t="s">
        <v>6067</v>
      </c>
      <c r="S92" t="s">
        <v>6073</v>
      </c>
    </row>
    <row r="93" spans="1:19" ht="14.25" customHeight="1" x14ac:dyDescent="0.3">
      <c r="A93" t="s">
        <v>5409</v>
      </c>
      <c r="B93" t="s">
        <v>6016</v>
      </c>
      <c r="C93" t="s">
        <v>3538</v>
      </c>
      <c r="D93" t="s">
        <v>5791</v>
      </c>
      <c r="E93" t="s">
        <v>6017</v>
      </c>
      <c r="F93" t="s">
        <v>6059</v>
      </c>
      <c r="G93" s="2" t="str">
        <f>HYPERLINK("https://www.facebook.com/100000198309538/posts/2151468578203065?comment_id=2152802064736383")</f>
        <v>https://www.facebook.com/100000198309538/posts/2151468578203065?comment_id=2152802064736383</v>
      </c>
      <c r="H93" t="s">
        <v>6060</v>
      </c>
      <c r="I93" t="s">
        <v>498</v>
      </c>
      <c r="J93" s="2" t="str">
        <f>HYPERLINK("https://www.facebook.com/100000198309538")</f>
        <v>https://www.facebook.com/100000198309538</v>
      </c>
      <c r="K93">
        <v>329</v>
      </c>
      <c r="L93" t="s">
        <v>6063</v>
      </c>
      <c r="N93" t="s">
        <v>13</v>
      </c>
      <c r="O93" t="s">
        <v>498</v>
      </c>
      <c r="P93" s="2" t="str">
        <f>HYPERLINK("https://www.facebook.com/100000198309538")</f>
        <v>https://www.facebook.com/100000198309538</v>
      </c>
      <c r="Q93">
        <v>329</v>
      </c>
      <c r="R93" t="s">
        <v>6067</v>
      </c>
      <c r="S93" t="s">
        <v>6073</v>
      </c>
    </row>
    <row r="94" spans="1:19" ht="14.25" customHeight="1" x14ac:dyDescent="0.3">
      <c r="A94" t="s">
        <v>629</v>
      </c>
      <c r="B94" t="s">
        <v>959</v>
      </c>
      <c r="C94" t="s">
        <v>95</v>
      </c>
      <c r="D94" t="s">
        <v>10</v>
      </c>
      <c r="E94" t="s">
        <v>517</v>
      </c>
      <c r="F94" t="s">
        <v>6058</v>
      </c>
      <c r="G94" s="2" t="str">
        <f>HYPERLINK("https://www.facebook.com/100001105978992/posts/1720422221337960")</f>
        <v>https://www.facebook.com/100001105978992/posts/1720422221337960</v>
      </c>
      <c r="H94" t="s">
        <v>6060</v>
      </c>
      <c r="I94" t="s">
        <v>960</v>
      </c>
      <c r="J94" s="2" t="str">
        <f>HYPERLINK("https://www.facebook.com/100001105978992")</f>
        <v>https://www.facebook.com/100001105978992</v>
      </c>
      <c r="K94">
        <v>301</v>
      </c>
      <c r="L94" t="s">
        <v>6064</v>
      </c>
      <c r="N94" t="s">
        <v>13</v>
      </c>
      <c r="O94" t="s">
        <v>960</v>
      </c>
      <c r="P94" s="2" t="str">
        <f>HYPERLINK("https://www.facebook.com/100001105978992")</f>
        <v>https://www.facebook.com/100001105978992</v>
      </c>
      <c r="Q94">
        <v>301</v>
      </c>
      <c r="R94" t="s">
        <v>6067</v>
      </c>
      <c r="S94" t="s">
        <v>6073</v>
      </c>
    </row>
    <row r="95" spans="1:19" ht="14.25" customHeight="1" x14ac:dyDescent="0.3">
      <c r="A95" t="s">
        <v>5409</v>
      </c>
      <c r="B95" t="s">
        <v>1456</v>
      </c>
      <c r="C95" t="s">
        <v>3538</v>
      </c>
      <c r="D95" t="s">
        <v>5795</v>
      </c>
      <c r="E95" t="s">
        <v>5796</v>
      </c>
      <c r="F95" t="s">
        <v>6059</v>
      </c>
      <c r="G95" s="2" t="str">
        <f>HYPERLINK("https://www.facebook.com/100000471862424/posts/2479785835380454?comment_id=2479882788704092")</f>
        <v>https://www.facebook.com/100000471862424/posts/2479785835380454?comment_id=2479882788704092</v>
      </c>
      <c r="H95" t="s">
        <v>6060</v>
      </c>
      <c r="I95" t="s">
        <v>5797</v>
      </c>
      <c r="J95" s="2" t="str">
        <f>HYPERLINK("https://www.facebook.com/100001761166003")</f>
        <v>https://www.facebook.com/100001761166003</v>
      </c>
      <c r="K95">
        <v>0</v>
      </c>
      <c r="L95" t="s">
        <v>6063</v>
      </c>
      <c r="N95" t="s">
        <v>13</v>
      </c>
      <c r="O95" t="s">
        <v>5798</v>
      </c>
      <c r="P95" s="2" t="str">
        <f>HYPERLINK("https://www.facebook.com/100000471862424")</f>
        <v>https://www.facebook.com/100000471862424</v>
      </c>
      <c r="Q95">
        <v>1510</v>
      </c>
      <c r="R95" t="s">
        <v>6067</v>
      </c>
      <c r="S95" t="s">
        <v>6073</v>
      </c>
    </row>
    <row r="96" spans="1:19" ht="14.25" customHeight="1" x14ac:dyDescent="0.3">
      <c r="A96" t="s">
        <v>629</v>
      </c>
      <c r="B96" t="s">
        <v>730</v>
      </c>
      <c r="C96" t="s">
        <v>95</v>
      </c>
      <c r="D96" t="s">
        <v>10</v>
      </c>
      <c r="E96" t="s">
        <v>731</v>
      </c>
      <c r="F96" t="s">
        <v>6059</v>
      </c>
      <c r="G96" s="2" t="str">
        <f>HYPERLINK("https://www.facebook.com/762053551/posts/10156366210158552?comment_id=10156367035213552")</f>
        <v>https://www.facebook.com/762053551/posts/10156366210158552?comment_id=10156367035213552</v>
      </c>
      <c r="H96" t="s">
        <v>6060</v>
      </c>
      <c r="I96" t="s">
        <v>492</v>
      </c>
      <c r="J96" s="2" t="str">
        <f>HYPERLINK("https://www.facebook.com/1466087364")</f>
        <v>https://www.facebook.com/1466087364</v>
      </c>
      <c r="K96">
        <v>1371</v>
      </c>
      <c r="L96" t="s">
        <v>6063</v>
      </c>
      <c r="M96">
        <v>24</v>
      </c>
      <c r="N96" t="s">
        <v>13</v>
      </c>
      <c r="O96" t="s">
        <v>14</v>
      </c>
      <c r="P96" s="2" t="str">
        <f>HYPERLINK("https://www.facebook.com/762053551")</f>
        <v>https://www.facebook.com/762053551</v>
      </c>
      <c r="Q96">
        <v>102347</v>
      </c>
      <c r="R96" t="s">
        <v>6067</v>
      </c>
      <c r="S96" t="s">
        <v>6101</v>
      </c>
    </row>
    <row r="97" spans="1:19" ht="14.25" customHeight="1" x14ac:dyDescent="0.3">
      <c r="A97" t="s">
        <v>4995</v>
      </c>
      <c r="B97" t="s">
        <v>5215</v>
      </c>
      <c r="C97" t="s">
        <v>3538</v>
      </c>
      <c r="D97" t="s">
        <v>5216</v>
      </c>
      <c r="E97" t="s">
        <v>5217</v>
      </c>
      <c r="F97" t="s">
        <v>6058</v>
      </c>
      <c r="G97" s="2" t="str">
        <f>HYPERLINK("https://www.facebook.com/1420456961602909/posts/1957052114610055")</f>
        <v>https://www.facebook.com/1420456961602909/posts/1957052114610055</v>
      </c>
      <c r="H97" t="s">
        <v>6060</v>
      </c>
      <c r="I97" t="s">
        <v>5213</v>
      </c>
      <c r="J97" s="2" t="str">
        <f>HYPERLINK("https://www.facebook.com/100001684532043")</f>
        <v>https://www.facebook.com/100001684532043</v>
      </c>
      <c r="K97">
        <v>536</v>
      </c>
      <c r="L97" t="s">
        <v>6063</v>
      </c>
      <c r="N97" t="s">
        <v>13</v>
      </c>
      <c r="O97" t="s">
        <v>5214</v>
      </c>
      <c r="P97" s="2" t="str">
        <f>HYPERLINK("https://www.facebook.com/1420456961602909")</f>
        <v>https://www.facebook.com/1420456961602909</v>
      </c>
      <c r="R97" t="s">
        <v>6067</v>
      </c>
      <c r="S97" t="s">
        <v>6073</v>
      </c>
    </row>
    <row r="98" spans="1:19" ht="14.25" customHeight="1" x14ac:dyDescent="0.3">
      <c r="A98" t="s">
        <v>4995</v>
      </c>
      <c r="B98" t="s">
        <v>60</v>
      </c>
      <c r="C98" t="s">
        <v>3538</v>
      </c>
      <c r="D98" t="s">
        <v>5211</v>
      </c>
      <c r="E98" t="s">
        <v>5212</v>
      </c>
      <c r="F98" t="s">
        <v>6059</v>
      </c>
      <c r="G98" s="2" t="str">
        <f>HYPERLINK("https://www.facebook.com/1420456961602909/posts/1736991279949474?comment_id=1957053801276553")</f>
        <v>https://www.facebook.com/1420456961602909/posts/1736991279949474?comment_id=1957053801276553</v>
      </c>
      <c r="H98" t="s">
        <v>6060</v>
      </c>
      <c r="I98" t="s">
        <v>5213</v>
      </c>
      <c r="J98" s="2" t="str">
        <f>HYPERLINK("https://www.facebook.com/100001684532043")</f>
        <v>https://www.facebook.com/100001684532043</v>
      </c>
      <c r="K98">
        <v>536</v>
      </c>
      <c r="L98" t="s">
        <v>6063</v>
      </c>
      <c r="N98" t="s">
        <v>13</v>
      </c>
      <c r="O98" t="s">
        <v>5214</v>
      </c>
      <c r="P98" s="2" t="str">
        <f>HYPERLINK("https://www.facebook.com/1420456961602909")</f>
        <v>https://www.facebook.com/1420456961602909</v>
      </c>
      <c r="R98" t="s">
        <v>6067</v>
      </c>
      <c r="S98" t="s">
        <v>6073</v>
      </c>
    </row>
    <row r="99" spans="1:19" ht="14.25" customHeight="1" x14ac:dyDescent="0.3">
      <c r="A99" t="s">
        <v>629</v>
      </c>
      <c r="B99" t="s">
        <v>915</v>
      </c>
      <c r="C99" t="s">
        <v>95</v>
      </c>
      <c r="D99" t="s">
        <v>10</v>
      </c>
      <c r="E99" t="s">
        <v>916</v>
      </c>
      <c r="F99" t="s">
        <v>6059</v>
      </c>
      <c r="G99" s="2" t="str">
        <f>HYPERLINK("https://www.facebook.com/762053551/posts/10156366210158552?comment_id=10156366580653552")</f>
        <v>https://www.facebook.com/762053551/posts/10156366210158552?comment_id=10156366580653552</v>
      </c>
      <c r="H99" t="s">
        <v>6060</v>
      </c>
      <c r="I99" t="s">
        <v>917</v>
      </c>
      <c r="J99" s="2" t="str">
        <f>HYPERLINK("https://www.facebook.com/100000246948542")</f>
        <v>https://www.facebook.com/100000246948542</v>
      </c>
      <c r="K99">
        <v>0</v>
      </c>
      <c r="L99" t="s">
        <v>6063</v>
      </c>
      <c r="N99" t="s">
        <v>13</v>
      </c>
      <c r="O99" t="s">
        <v>14</v>
      </c>
      <c r="P99" s="2" t="str">
        <f>HYPERLINK("https://www.facebook.com/762053551")</f>
        <v>https://www.facebook.com/762053551</v>
      </c>
      <c r="Q99">
        <v>102347</v>
      </c>
      <c r="R99" t="s">
        <v>6067</v>
      </c>
      <c r="S99" t="s">
        <v>6073</v>
      </c>
    </row>
    <row r="100" spans="1:19" ht="14.25" customHeight="1" x14ac:dyDescent="0.3">
      <c r="A100" t="s">
        <v>1</v>
      </c>
      <c r="B100" t="s">
        <v>519</v>
      </c>
      <c r="C100" t="s">
        <v>95</v>
      </c>
      <c r="D100" t="s">
        <v>10</v>
      </c>
      <c r="E100" t="s">
        <v>517</v>
      </c>
      <c r="F100" t="s">
        <v>6058</v>
      </c>
      <c r="G100" s="2" t="str">
        <f>HYPERLINK("https://www.facebook.com/100000773255625/posts/1659917537377339")</f>
        <v>https://www.facebook.com/100000773255625/posts/1659917537377339</v>
      </c>
      <c r="H100" t="s">
        <v>6060</v>
      </c>
      <c r="I100" t="s">
        <v>520</v>
      </c>
      <c r="J100" s="2" t="str">
        <f>HYPERLINK("https://www.facebook.com/100000773255625")</f>
        <v>https://www.facebook.com/100000773255625</v>
      </c>
      <c r="K100">
        <v>285</v>
      </c>
      <c r="L100" t="s">
        <v>6063</v>
      </c>
      <c r="N100" t="s">
        <v>13</v>
      </c>
      <c r="O100" t="s">
        <v>520</v>
      </c>
      <c r="P100" s="2" t="str">
        <f>HYPERLINK("https://www.facebook.com/100000773255625")</f>
        <v>https://www.facebook.com/100000773255625</v>
      </c>
      <c r="Q100">
        <v>285</v>
      </c>
      <c r="R100" t="s">
        <v>6067</v>
      </c>
      <c r="S100" t="s">
        <v>6073</v>
      </c>
    </row>
    <row r="101" spans="1:19" ht="14.25" customHeight="1" x14ac:dyDescent="0.3">
      <c r="A101" t="s">
        <v>1</v>
      </c>
      <c r="B101" t="s">
        <v>311</v>
      </c>
      <c r="C101" t="s">
        <v>95</v>
      </c>
      <c r="D101" t="s">
        <v>10</v>
      </c>
      <c r="E101" t="s">
        <v>312</v>
      </c>
      <c r="F101" t="s">
        <v>6059</v>
      </c>
      <c r="G101" s="2" t="str">
        <f>HYPERLINK("https://www.facebook.com/1070092426/posts/10213398046920195?comment_id=10213402370668286")</f>
        <v>https://www.facebook.com/1070092426/posts/10213398046920195?comment_id=10213402370668286</v>
      </c>
      <c r="H101" t="s">
        <v>6060</v>
      </c>
      <c r="I101" t="s">
        <v>313</v>
      </c>
      <c r="J101" s="2" t="str">
        <f>HYPERLINK("https://www.facebook.com/100011154577190")</f>
        <v>https://www.facebook.com/100011154577190</v>
      </c>
      <c r="K101">
        <v>241</v>
      </c>
      <c r="L101" t="s">
        <v>6063</v>
      </c>
      <c r="N101" t="s">
        <v>13</v>
      </c>
      <c r="O101" t="s">
        <v>314</v>
      </c>
      <c r="P101" s="2" t="str">
        <f>HYPERLINK("https://www.facebook.com/1070092426")</f>
        <v>https://www.facebook.com/1070092426</v>
      </c>
      <c r="Q101">
        <v>5892</v>
      </c>
      <c r="R101" t="s">
        <v>6067</v>
      </c>
      <c r="S101" t="s">
        <v>6083</v>
      </c>
    </row>
    <row r="102" spans="1:19" ht="14.25" customHeight="1" x14ac:dyDescent="0.3">
      <c r="A102" t="s">
        <v>629</v>
      </c>
      <c r="B102" t="s">
        <v>2012</v>
      </c>
      <c r="C102" t="s">
        <v>95</v>
      </c>
      <c r="D102" t="s">
        <v>2014</v>
      </c>
      <c r="E102" t="s">
        <v>2015</v>
      </c>
      <c r="F102" t="s">
        <v>6059</v>
      </c>
      <c r="G102" s="2" t="str">
        <f>HYPERLINK("https://www.facebook.com/170089376357131/posts/1925489974150387?comment_id=1926498764049508")</f>
        <v>https://www.facebook.com/170089376357131/posts/1925489974150387?comment_id=1926498764049508</v>
      </c>
      <c r="H102" t="s">
        <v>6060</v>
      </c>
      <c r="I102" t="s">
        <v>2016</v>
      </c>
      <c r="J102" s="2" t="str">
        <f>HYPERLINK("https://www.facebook.com/1491800566")</f>
        <v>https://www.facebook.com/1491800566</v>
      </c>
      <c r="K102">
        <v>91</v>
      </c>
      <c r="L102" t="s">
        <v>6063</v>
      </c>
      <c r="N102" t="s">
        <v>13</v>
      </c>
      <c r="O102" t="s">
        <v>2017</v>
      </c>
      <c r="P102" s="2" t="str">
        <f>HYPERLINK("https://www.facebook.com/170089376357131")</f>
        <v>https://www.facebook.com/170089376357131</v>
      </c>
      <c r="R102" t="s">
        <v>6067</v>
      </c>
      <c r="S102" t="s">
        <v>6073</v>
      </c>
    </row>
    <row r="103" spans="1:19" ht="14.25" customHeight="1" x14ac:dyDescent="0.3">
      <c r="A103" t="s">
        <v>4995</v>
      </c>
      <c r="B103" t="s">
        <v>345</v>
      </c>
      <c r="C103" t="s">
        <v>3538</v>
      </c>
      <c r="D103" t="s">
        <v>4468</v>
      </c>
      <c r="E103" t="s">
        <v>5295</v>
      </c>
      <c r="F103" t="s">
        <v>6059</v>
      </c>
      <c r="G103" s="2" t="str">
        <f>HYPERLINK("https://www.facebook.com/1529329267308888/posts/2058827921025684?comment_id=2059154547659688")</f>
        <v>https://www.facebook.com/1529329267308888/posts/2058827921025684?comment_id=2059154547659688</v>
      </c>
      <c r="H103" t="s">
        <v>6060</v>
      </c>
      <c r="I103" t="s">
        <v>5240</v>
      </c>
      <c r="J103" s="2" t="str">
        <f>HYPERLINK("https://www.facebook.com/100003746395467")</f>
        <v>https://www.facebook.com/100003746395467</v>
      </c>
      <c r="K103">
        <v>7</v>
      </c>
      <c r="L103" t="s">
        <v>6063</v>
      </c>
      <c r="N103" t="s">
        <v>13</v>
      </c>
      <c r="O103" t="s">
        <v>4471</v>
      </c>
      <c r="P103" s="2" t="str">
        <f>HYPERLINK("https://www.facebook.com/1529329267308888")</f>
        <v>https://www.facebook.com/1529329267308888</v>
      </c>
      <c r="R103" t="s">
        <v>6067</v>
      </c>
      <c r="S103" t="s">
        <v>6073</v>
      </c>
    </row>
    <row r="104" spans="1:19" ht="14.25" customHeight="1" x14ac:dyDescent="0.3">
      <c r="A104" t="s">
        <v>1</v>
      </c>
      <c r="B104" t="s">
        <v>419</v>
      </c>
      <c r="C104" t="s">
        <v>95</v>
      </c>
      <c r="D104" t="s">
        <v>10</v>
      </c>
      <c r="E104" t="s">
        <v>420</v>
      </c>
      <c r="F104" t="s">
        <v>6059</v>
      </c>
      <c r="G104" s="2" t="str">
        <f>HYPERLINK("https://www.facebook.com/1070092426/posts/10213398046920195?comment_id=10213402122062071")</f>
        <v>https://www.facebook.com/1070092426/posts/10213398046920195?comment_id=10213402122062071</v>
      </c>
      <c r="H104" t="s">
        <v>6060</v>
      </c>
      <c r="I104" t="s">
        <v>421</v>
      </c>
      <c r="J104" s="2" t="str">
        <f>HYPERLINK("https://www.facebook.com/100002488136288")</f>
        <v>https://www.facebook.com/100002488136288</v>
      </c>
      <c r="K104">
        <v>383</v>
      </c>
      <c r="L104" t="s">
        <v>6063</v>
      </c>
      <c r="N104" t="s">
        <v>13</v>
      </c>
      <c r="O104" t="s">
        <v>314</v>
      </c>
      <c r="P104" s="2" t="str">
        <f>HYPERLINK("https://www.facebook.com/1070092426")</f>
        <v>https://www.facebook.com/1070092426</v>
      </c>
      <c r="Q104">
        <v>5892</v>
      </c>
      <c r="R104" t="s">
        <v>6067</v>
      </c>
      <c r="S104" t="s">
        <v>6073</v>
      </c>
    </row>
    <row r="105" spans="1:19" ht="14.25" customHeight="1" x14ac:dyDescent="0.3">
      <c r="A105" t="s">
        <v>629</v>
      </c>
      <c r="B105" t="s">
        <v>838</v>
      </c>
      <c r="C105" t="s">
        <v>95</v>
      </c>
      <c r="D105" t="s">
        <v>10</v>
      </c>
      <c r="E105" t="s">
        <v>517</v>
      </c>
      <c r="F105" t="s">
        <v>6058</v>
      </c>
      <c r="G105" s="2" t="str">
        <f>HYPERLINK("https://www.facebook.com/100000424013003/posts/1841780032512779")</f>
        <v>https://www.facebook.com/100000424013003/posts/1841780032512779</v>
      </c>
      <c r="H105" t="s">
        <v>6060</v>
      </c>
      <c r="I105" t="s">
        <v>839</v>
      </c>
      <c r="J105" s="2" t="str">
        <f>HYPERLINK("https://www.facebook.com/100000424013003")</f>
        <v>https://www.facebook.com/100000424013003</v>
      </c>
      <c r="K105">
        <v>0</v>
      </c>
      <c r="L105" t="s">
        <v>6063</v>
      </c>
      <c r="M105">
        <v>34</v>
      </c>
      <c r="N105" t="s">
        <v>13</v>
      </c>
      <c r="O105" t="s">
        <v>839</v>
      </c>
      <c r="P105" s="2" t="str">
        <f>HYPERLINK("https://www.facebook.com/100000424013003")</f>
        <v>https://www.facebook.com/100000424013003</v>
      </c>
      <c r="Q105">
        <v>0</v>
      </c>
      <c r="R105" t="s">
        <v>6067</v>
      </c>
      <c r="S105" t="s">
        <v>6073</v>
      </c>
    </row>
    <row r="106" spans="1:19" ht="14.25" customHeight="1" x14ac:dyDescent="0.3">
      <c r="A106" t="s">
        <v>629</v>
      </c>
      <c r="B106" t="s">
        <v>1046</v>
      </c>
      <c r="C106" t="s">
        <v>95</v>
      </c>
      <c r="D106" t="s">
        <v>10</v>
      </c>
      <c r="E106" t="s">
        <v>517</v>
      </c>
      <c r="F106" t="s">
        <v>6058</v>
      </c>
      <c r="G106" s="2" t="str">
        <f>HYPERLINK("https://www.facebook.com/100003547362243/posts/1462099407251624")</f>
        <v>https://www.facebook.com/100003547362243/posts/1462099407251624</v>
      </c>
      <c r="H106" t="s">
        <v>6060</v>
      </c>
      <c r="I106" t="s">
        <v>1051</v>
      </c>
      <c r="J106" s="2" t="str">
        <f>HYPERLINK("https://www.facebook.com/100003547362243")</f>
        <v>https://www.facebook.com/100003547362243</v>
      </c>
      <c r="K106">
        <v>14</v>
      </c>
      <c r="L106" t="s">
        <v>6063</v>
      </c>
      <c r="N106" t="s">
        <v>13</v>
      </c>
      <c r="O106" t="s">
        <v>1051</v>
      </c>
      <c r="P106" s="2" t="str">
        <f>HYPERLINK("https://www.facebook.com/100003547362243")</f>
        <v>https://www.facebook.com/100003547362243</v>
      </c>
      <c r="Q106">
        <v>14</v>
      </c>
      <c r="R106" t="s">
        <v>6067</v>
      </c>
      <c r="S106" t="s">
        <v>6073</v>
      </c>
    </row>
    <row r="107" spans="1:19" ht="14.25" customHeight="1" x14ac:dyDescent="0.3">
      <c r="A107" t="s">
        <v>629</v>
      </c>
      <c r="B107" t="s">
        <v>736</v>
      </c>
      <c r="C107" t="s">
        <v>95</v>
      </c>
      <c r="D107" t="s">
        <v>10</v>
      </c>
      <c r="E107" t="s">
        <v>737</v>
      </c>
      <c r="F107" t="s">
        <v>6059</v>
      </c>
      <c r="G107" s="2" t="str">
        <f>HYPERLINK("https://www.facebook.com/762053551/posts/10156366210158552?comment_id=10156367009138552")</f>
        <v>https://www.facebook.com/762053551/posts/10156366210158552?comment_id=10156367009138552</v>
      </c>
      <c r="H107" t="s">
        <v>6060</v>
      </c>
      <c r="I107" t="s">
        <v>735</v>
      </c>
      <c r="J107" s="2" t="str">
        <f>HYPERLINK("https://www.facebook.com/100001743432152")</f>
        <v>https://www.facebook.com/100001743432152</v>
      </c>
      <c r="K107">
        <v>89</v>
      </c>
      <c r="L107" t="s">
        <v>6063</v>
      </c>
      <c r="N107" t="s">
        <v>13</v>
      </c>
      <c r="O107" t="s">
        <v>14</v>
      </c>
      <c r="P107" s="2" t="str">
        <f>HYPERLINK("https://www.facebook.com/762053551")</f>
        <v>https://www.facebook.com/762053551</v>
      </c>
      <c r="Q107">
        <v>102347</v>
      </c>
      <c r="R107" t="s">
        <v>6067</v>
      </c>
      <c r="S107" t="s">
        <v>6073</v>
      </c>
    </row>
    <row r="108" spans="1:19" ht="14.25" customHeight="1" x14ac:dyDescent="0.3">
      <c r="A108" t="s">
        <v>2225</v>
      </c>
      <c r="B108" t="s">
        <v>2605</v>
      </c>
      <c r="C108" t="s">
        <v>95</v>
      </c>
      <c r="D108" t="s">
        <v>853</v>
      </c>
      <c r="E108" t="s">
        <v>2610</v>
      </c>
      <c r="F108" t="s">
        <v>6059</v>
      </c>
      <c r="G108" s="2" t="str">
        <f>HYPERLINK("https://www.facebook.com/100008934274771/posts/1810262525948206?comment_id=1810285289279263")</f>
        <v>https://www.facebook.com/100008934274771/posts/1810262525948206?comment_id=1810285289279263</v>
      </c>
      <c r="H108" t="s">
        <v>6060</v>
      </c>
      <c r="I108" t="s">
        <v>2611</v>
      </c>
      <c r="J108" s="2" t="str">
        <f>HYPERLINK("https://www.facebook.com/100001895170093")</f>
        <v>https://www.facebook.com/100001895170093</v>
      </c>
      <c r="K108">
        <v>0</v>
      </c>
      <c r="L108" t="s">
        <v>6063</v>
      </c>
      <c r="N108" t="s">
        <v>13</v>
      </c>
      <c r="O108" t="s">
        <v>856</v>
      </c>
      <c r="P108" s="2" t="str">
        <f>HYPERLINK("https://www.facebook.com/100008934274771")</f>
        <v>https://www.facebook.com/100008934274771</v>
      </c>
      <c r="Q108">
        <v>10395</v>
      </c>
      <c r="R108" t="s">
        <v>6067</v>
      </c>
      <c r="S108" t="s">
        <v>6073</v>
      </c>
    </row>
    <row r="109" spans="1:19" ht="14.25" customHeight="1" x14ac:dyDescent="0.3">
      <c r="A109" t="s">
        <v>2225</v>
      </c>
      <c r="B109" t="s">
        <v>2928</v>
      </c>
      <c r="C109" t="s">
        <v>95</v>
      </c>
      <c r="D109" t="s">
        <v>2929</v>
      </c>
      <c r="E109" t="s">
        <v>2930</v>
      </c>
      <c r="F109" t="s">
        <v>6059</v>
      </c>
      <c r="G109" s="2" t="str">
        <f>HYPERLINK("https://www.facebook.com/100000560024798/posts/2021110571250924?comment_id=2027514457277202")</f>
        <v>https://www.facebook.com/100000560024798/posts/2021110571250924?comment_id=2027514457277202</v>
      </c>
      <c r="H109" t="s">
        <v>6060</v>
      </c>
      <c r="I109" t="s">
        <v>2931</v>
      </c>
      <c r="J109" s="2" t="str">
        <f>HYPERLINK("https://www.facebook.com/100001909677639")</f>
        <v>https://www.facebook.com/100001909677639</v>
      </c>
      <c r="K109">
        <v>1253</v>
      </c>
      <c r="L109" t="s">
        <v>6063</v>
      </c>
      <c r="N109" t="s">
        <v>13</v>
      </c>
      <c r="O109" t="s">
        <v>2932</v>
      </c>
      <c r="P109" s="2" t="str">
        <f>HYPERLINK("https://www.facebook.com/100000560024798")</f>
        <v>https://www.facebook.com/100000560024798</v>
      </c>
      <c r="Q109">
        <v>31456</v>
      </c>
      <c r="R109" t="s">
        <v>6067</v>
      </c>
      <c r="S109" t="s">
        <v>6073</v>
      </c>
    </row>
    <row r="110" spans="1:19" ht="14.25" customHeight="1" x14ac:dyDescent="0.3">
      <c r="A110" t="s">
        <v>2225</v>
      </c>
      <c r="B110" t="s">
        <v>2766</v>
      </c>
      <c r="C110" t="s">
        <v>95</v>
      </c>
      <c r="D110" t="s">
        <v>853</v>
      </c>
      <c r="E110" t="s">
        <v>2767</v>
      </c>
      <c r="F110" t="s">
        <v>6059</v>
      </c>
      <c r="G110" s="2" t="str">
        <f>HYPERLINK("https://www.facebook.com/100008934274771/posts/1810262525948206?comment_id=1810271499280642")</f>
        <v>https://www.facebook.com/100008934274771/posts/1810262525948206?comment_id=1810271499280642</v>
      </c>
      <c r="H110" t="s">
        <v>6060</v>
      </c>
      <c r="I110" t="s">
        <v>1940</v>
      </c>
      <c r="J110" s="2" t="str">
        <f>HYPERLINK("https://www.facebook.com/100005595403322")</f>
        <v>https://www.facebook.com/100005595403322</v>
      </c>
      <c r="K110">
        <v>96</v>
      </c>
      <c r="L110" t="s">
        <v>6064</v>
      </c>
      <c r="N110" t="s">
        <v>13</v>
      </c>
      <c r="O110" t="s">
        <v>856</v>
      </c>
      <c r="P110" s="2" t="str">
        <f>HYPERLINK("https://www.facebook.com/100008934274771")</f>
        <v>https://www.facebook.com/100008934274771</v>
      </c>
      <c r="Q110">
        <v>10395</v>
      </c>
      <c r="R110" t="s">
        <v>6067</v>
      </c>
      <c r="S110" t="s">
        <v>6073</v>
      </c>
    </row>
    <row r="111" spans="1:19" ht="14.25" customHeight="1" x14ac:dyDescent="0.3">
      <c r="A111" t="s">
        <v>2225</v>
      </c>
      <c r="B111" t="s">
        <v>756</v>
      </c>
      <c r="C111" t="s">
        <v>95</v>
      </c>
      <c r="D111" t="s">
        <v>853</v>
      </c>
      <c r="E111" t="s">
        <v>2731</v>
      </c>
      <c r="F111" t="s">
        <v>6059</v>
      </c>
      <c r="G111" s="2" t="str">
        <f>HYPERLINK("https://www.facebook.com/100008934274771/posts/1810262525948206?comment_id=1810274445947014")</f>
        <v>https://www.facebook.com/100008934274771/posts/1810262525948206?comment_id=1810274445947014</v>
      </c>
      <c r="H111" t="s">
        <v>6060</v>
      </c>
      <c r="I111" t="s">
        <v>1940</v>
      </c>
      <c r="J111" s="2" t="str">
        <f>HYPERLINK("https://www.facebook.com/100005595403322")</f>
        <v>https://www.facebook.com/100005595403322</v>
      </c>
      <c r="K111">
        <v>96</v>
      </c>
      <c r="L111" t="s">
        <v>6064</v>
      </c>
      <c r="N111" t="s">
        <v>13</v>
      </c>
      <c r="O111" t="s">
        <v>856</v>
      </c>
      <c r="P111" s="2" t="str">
        <f>HYPERLINK("https://www.facebook.com/100008934274771")</f>
        <v>https://www.facebook.com/100008934274771</v>
      </c>
      <c r="Q111">
        <v>10395</v>
      </c>
      <c r="R111" t="s">
        <v>6067</v>
      </c>
      <c r="S111" t="s">
        <v>6073</v>
      </c>
    </row>
    <row r="112" spans="1:19" ht="14.25" customHeight="1" x14ac:dyDescent="0.3">
      <c r="A112" t="s">
        <v>5409</v>
      </c>
      <c r="B112" t="s">
        <v>2766</v>
      </c>
      <c r="C112" t="s">
        <v>3538</v>
      </c>
      <c r="D112" t="s">
        <v>4434</v>
      </c>
      <c r="E112" t="s">
        <v>5479</v>
      </c>
      <c r="F112" t="s">
        <v>6059</v>
      </c>
      <c r="G112" s="2" t="str">
        <f>HYPERLINK("https://www.facebook.com/762053551/posts/10156304176878552?comment_id=10156354071238552")</f>
        <v>https://www.facebook.com/762053551/posts/10156304176878552?comment_id=10156354071238552</v>
      </c>
      <c r="H112" t="s">
        <v>6060</v>
      </c>
      <c r="I112" t="s">
        <v>5480</v>
      </c>
      <c r="J112" s="2" t="str">
        <f>HYPERLINK("https://www.facebook.com/100001743414198")</f>
        <v>https://www.facebook.com/100001743414198</v>
      </c>
      <c r="K112">
        <v>811</v>
      </c>
      <c r="L112" t="s">
        <v>6063</v>
      </c>
      <c r="N112" t="s">
        <v>13</v>
      </c>
      <c r="O112" t="s">
        <v>14</v>
      </c>
      <c r="P112" s="2" t="str">
        <f>HYPERLINK("https://www.facebook.com/762053551")</f>
        <v>https://www.facebook.com/762053551</v>
      </c>
      <c r="Q112">
        <v>102347</v>
      </c>
      <c r="R112" t="s">
        <v>6067</v>
      </c>
      <c r="S112" t="s">
        <v>6073</v>
      </c>
    </row>
    <row r="113" spans="1:19" ht="14.25" customHeight="1" x14ac:dyDescent="0.3">
      <c r="A113" t="s">
        <v>2225</v>
      </c>
      <c r="B113" t="s">
        <v>730</v>
      </c>
      <c r="C113" t="s">
        <v>95</v>
      </c>
      <c r="D113" t="s">
        <v>853</v>
      </c>
      <c r="E113" t="s">
        <v>2469</v>
      </c>
      <c r="F113" t="s">
        <v>6059</v>
      </c>
      <c r="G113" s="2" t="str">
        <f>HYPERLINK("https://www.facebook.com/100008934274771/posts/1810262525948206?comment_id=1810293219278470")</f>
        <v>https://www.facebook.com/100008934274771/posts/1810262525948206?comment_id=1810293219278470</v>
      </c>
      <c r="H113" t="s">
        <v>6060</v>
      </c>
      <c r="I113" t="s">
        <v>2435</v>
      </c>
      <c r="J113" s="2" t="str">
        <f>HYPERLINK("https://www.facebook.com/100015929071657")</f>
        <v>https://www.facebook.com/100015929071657</v>
      </c>
      <c r="K113">
        <v>0</v>
      </c>
      <c r="L113" t="s">
        <v>6063</v>
      </c>
      <c r="N113" t="s">
        <v>13</v>
      </c>
      <c r="O113" t="s">
        <v>856</v>
      </c>
      <c r="P113" s="2" t="str">
        <f>HYPERLINK("https://www.facebook.com/100008934274771")</f>
        <v>https://www.facebook.com/100008934274771</v>
      </c>
      <c r="Q113">
        <v>10395</v>
      </c>
      <c r="R113" t="s">
        <v>6067</v>
      </c>
      <c r="S113" t="s">
        <v>6073</v>
      </c>
    </row>
    <row r="114" spans="1:19" ht="14.25" customHeight="1" x14ac:dyDescent="0.3">
      <c r="A114" t="s">
        <v>629</v>
      </c>
      <c r="B114" t="s">
        <v>695</v>
      </c>
      <c r="C114" t="s">
        <v>95</v>
      </c>
      <c r="D114" t="s">
        <v>696</v>
      </c>
      <c r="E114" t="s">
        <v>697</v>
      </c>
      <c r="F114" t="s">
        <v>6059</v>
      </c>
      <c r="G114" s="2" t="str">
        <f>HYPERLINK("https://www.facebook.com/1317328045/posts/10215843806670901?comment_id=10215845040901756")</f>
        <v>https://www.facebook.com/1317328045/posts/10215843806670901?comment_id=10215845040901756</v>
      </c>
      <c r="H114" t="s">
        <v>6060</v>
      </c>
      <c r="I114" t="s">
        <v>698</v>
      </c>
      <c r="J114" s="2" t="str">
        <f>HYPERLINK("https://www.facebook.com/100001516336993")</f>
        <v>https://www.facebook.com/100001516336993</v>
      </c>
      <c r="K114">
        <v>878</v>
      </c>
      <c r="L114" t="s">
        <v>6063</v>
      </c>
      <c r="N114" t="s">
        <v>13</v>
      </c>
      <c r="O114" t="s">
        <v>699</v>
      </c>
      <c r="P114" s="2" t="str">
        <f>HYPERLINK("https://www.facebook.com/1317328045")</f>
        <v>https://www.facebook.com/1317328045</v>
      </c>
      <c r="Q114">
        <v>7075</v>
      </c>
      <c r="R114" t="s">
        <v>6067</v>
      </c>
      <c r="S114" t="s">
        <v>6073</v>
      </c>
    </row>
    <row r="115" spans="1:19" ht="14.25" customHeight="1" x14ac:dyDescent="0.3">
      <c r="A115" t="s">
        <v>629</v>
      </c>
      <c r="B115" t="s">
        <v>785</v>
      </c>
      <c r="C115" t="s">
        <v>95</v>
      </c>
      <c r="D115" t="s">
        <v>696</v>
      </c>
      <c r="E115" t="s">
        <v>786</v>
      </c>
      <c r="F115" t="s">
        <v>6059</v>
      </c>
      <c r="G115" s="2" t="str">
        <f>HYPERLINK("https://www.facebook.com/1317328045/posts/10215843806670901?comment_id=10215844351644525")</f>
        <v>https://www.facebook.com/1317328045/posts/10215843806670901?comment_id=10215844351644525</v>
      </c>
      <c r="H115" t="s">
        <v>6060</v>
      </c>
      <c r="I115" t="s">
        <v>698</v>
      </c>
      <c r="J115" s="2" t="str">
        <f>HYPERLINK("https://www.facebook.com/100001516336993")</f>
        <v>https://www.facebook.com/100001516336993</v>
      </c>
      <c r="K115">
        <v>878</v>
      </c>
      <c r="L115" t="s">
        <v>6063</v>
      </c>
      <c r="N115" t="s">
        <v>13</v>
      </c>
      <c r="O115" t="s">
        <v>699</v>
      </c>
      <c r="P115" s="2" t="str">
        <f>HYPERLINK("https://www.facebook.com/1317328045")</f>
        <v>https://www.facebook.com/1317328045</v>
      </c>
      <c r="Q115">
        <v>7075</v>
      </c>
      <c r="R115" t="s">
        <v>6067</v>
      </c>
      <c r="S115" t="s">
        <v>6073</v>
      </c>
    </row>
    <row r="116" spans="1:19" ht="14.25" customHeight="1" x14ac:dyDescent="0.3">
      <c r="A116" t="s">
        <v>5409</v>
      </c>
      <c r="B116" t="s">
        <v>812</v>
      </c>
      <c r="C116" t="s">
        <v>3538</v>
      </c>
      <c r="D116" t="s">
        <v>5504</v>
      </c>
      <c r="E116" t="s">
        <v>5505</v>
      </c>
      <c r="F116" t="s">
        <v>6057</v>
      </c>
      <c r="G116" s="2" t="str">
        <f>HYPERLINK("https://www.facebook.com/100002521576769/posts/1624606454300058")</f>
        <v>https://www.facebook.com/100002521576769/posts/1624606454300058</v>
      </c>
      <c r="H116" t="s">
        <v>6060</v>
      </c>
      <c r="I116" t="s">
        <v>5506</v>
      </c>
      <c r="J116" s="2" t="str">
        <f>HYPERLINK("https://www.facebook.com/100002521576769")</f>
        <v>https://www.facebook.com/100002521576769</v>
      </c>
      <c r="K116">
        <v>670</v>
      </c>
      <c r="L116" t="s">
        <v>6063</v>
      </c>
      <c r="M116">
        <v>54</v>
      </c>
      <c r="N116" t="s">
        <v>13</v>
      </c>
      <c r="O116" t="s">
        <v>5506</v>
      </c>
      <c r="P116" s="2" t="str">
        <f>HYPERLINK("https://www.facebook.com/100002521576769")</f>
        <v>https://www.facebook.com/100002521576769</v>
      </c>
      <c r="Q116">
        <v>670</v>
      </c>
      <c r="R116" t="s">
        <v>6067</v>
      </c>
      <c r="S116" t="s">
        <v>6073</v>
      </c>
    </row>
    <row r="117" spans="1:19" ht="14.25" customHeight="1" x14ac:dyDescent="0.3">
      <c r="A117" t="s">
        <v>2225</v>
      </c>
      <c r="B117" t="s">
        <v>2471</v>
      </c>
      <c r="C117" t="s">
        <v>95</v>
      </c>
      <c r="D117" t="s">
        <v>853</v>
      </c>
      <c r="E117" t="s">
        <v>2481</v>
      </c>
      <c r="F117" t="s">
        <v>6059</v>
      </c>
      <c r="G117" s="2" t="str">
        <f>HYPERLINK("https://www.facebook.com/100008934274771/posts/1810262525948206?comment_id=1810292822611843")</f>
        <v>https://www.facebook.com/100008934274771/posts/1810262525948206?comment_id=1810292822611843</v>
      </c>
      <c r="H117" t="s">
        <v>6060</v>
      </c>
      <c r="I117" t="s">
        <v>2308</v>
      </c>
      <c r="J117" s="2" t="str">
        <f>HYPERLINK("https://www.facebook.com/100001953214806")</f>
        <v>https://www.facebook.com/100001953214806</v>
      </c>
      <c r="K117">
        <v>489</v>
      </c>
      <c r="L117" t="s">
        <v>6063</v>
      </c>
      <c r="N117" t="s">
        <v>13</v>
      </c>
      <c r="O117" t="s">
        <v>856</v>
      </c>
      <c r="P117" s="2" t="str">
        <f>HYPERLINK("https://www.facebook.com/100008934274771")</f>
        <v>https://www.facebook.com/100008934274771</v>
      </c>
      <c r="Q117">
        <v>10395</v>
      </c>
      <c r="R117" t="s">
        <v>6067</v>
      </c>
      <c r="S117" t="s">
        <v>6073</v>
      </c>
    </row>
    <row r="118" spans="1:19" ht="14.25" customHeight="1" x14ac:dyDescent="0.3">
      <c r="A118" t="s">
        <v>2225</v>
      </c>
      <c r="B118" t="s">
        <v>2536</v>
      </c>
      <c r="C118" t="s">
        <v>95</v>
      </c>
      <c r="D118" t="s">
        <v>853</v>
      </c>
      <c r="E118" t="s">
        <v>2542</v>
      </c>
      <c r="F118" t="s">
        <v>6059</v>
      </c>
      <c r="G118" s="2" t="str">
        <f>HYPERLINK("https://www.facebook.com/100008934274771/posts/1810262525948206?comment_id=1810290479278744")</f>
        <v>https://www.facebook.com/100008934274771/posts/1810262525948206?comment_id=1810290479278744</v>
      </c>
      <c r="H118" t="s">
        <v>6060</v>
      </c>
      <c r="I118" t="s">
        <v>2308</v>
      </c>
      <c r="J118" s="2" t="str">
        <f>HYPERLINK("https://www.facebook.com/100001953214806")</f>
        <v>https://www.facebook.com/100001953214806</v>
      </c>
      <c r="K118">
        <v>489</v>
      </c>
      <c r="L118" t="s">
        <v>6063</v>
      </c>
      <c r="N118" t="s">
        <v>13</v>
      </c>
      <c r="O118" t="s">
        <v>856</v>
      </c>
      <c r="P118" s="2" t="str">
        <f>HYPERLINK("https://www.facebook.com/100008934274771")</f>
        <v>https://www.facebook.com/100008934274771</v>
      </c>
      <c r="Q118">
        <v>10395</v>
      </c>
      <c r="R118" t="s">
        <v>6067</v>
      </c>
      <c r="S118" t="s">
        <v>6073</v>
      </c>
    </row>
    <row r="119" spans="1:19" ht="14.25" customHeight="1" x14ac:dyDescent="0.3">
      <c r="A119" t="s">
        <v>2225</v>
      </c>
      <c r="B119" t="s">
        <v>2482</v>
      </c>
      <c r="C119" t="s">
        <v>95</v>
      </c>
      <c r="D119" t="s">
        <v>853</v>
      </c>
      <c r="E119" t="s">
        <v>2487</v>
      </c>
      <c r="F119" t="s">
        <v>6059</v>
      </c>
      <c r="G119" s="2" t="str">
        <f>HYPERLINK("https://www.facebook.com/100008934274771/posts/1810262525948206?comment_id=1810292599278532")</f>
        <v>https://www.facebook.com/100008934274771/posts/1810262525948206?comment_id=1810292599278532</v>
      </c>
      <c r="H119" t="s">
        <v>6060</v>
      </c>
      <c r="I119" t="s">
        <v>2308</v>
      </c>
      <c r="J119" s="2" t="str">
        <f>HYPERLINK("https://www.facebook.com/100001953214806")</f>
        <v>https://www.facebook.com/100001953214806</v>
      </c>
      <c r="K119">
        <v>489</v>
      </c>
      <c r="L119" t="s">
        <v>6063</v>
      </c>
      <c r="N119" t="s">
        <v>13</v>
      </c>
      <c r="O119" t="s">
        <v>856</v>
      </c>
      <c r="P119" s="2" t="str">
        <f>HYPERLINK("https://www.facebook.com/100008934274771")</f>
        <v>https://www.facebook.com/100008934274771</v>
      </c>
      <c r="Q119">
        <v>10395</v>
      </c>
      <c r="R119" t="s">
        <v>6067</v>
      </c>
      <c r="S119" t="s">
        <v>6073</v>
      </c>
    </row>
    <row r="120" spans="1:19" ht="14.25" customHeight="1" x14ac:dyDescent="0.3">
      <c r="A120" t="s">
        <v>2225</v>
      </c>
      <c r="B120" t="s">
        <v>728</v>
      </c>
      <c r="C120" t="s">
        <v>95</v>
      </c>
      <c r="D120" t="s">
        <v>853</v>
      </c>
      <c r="E120" t="s">
        <v>2461</v>
      </c>
      <c r="F120" t="s">
        <v>6059</v>
      </c>
      <c r="G120" s="2" t="str">
        <f>HYPERLINK("https://www.facebook.com/100008934274771/posts/1810262525948206?comment_id=1810293759278416")</f>
        <v>https://www.facebook.com/100008934274771/posts/1810262525948206?comment_id=1810293759278416</v>
      </c>
      <c r="H120" t="s">
        <v>6060</v>
      </c>
      <c r="I120" t="s">
        <v>2308</v>
      </c>
      <c r="J120" s="2" t="str">
        <f>HYPERLINK("https://www.facebook.com/100001953214806")</f>
        <v>https://www.facebook.com/100001953214806</v>
      </c>
      <c r="K120">
        <v>489</v>
      </c>
      <c r="L120" t="s">
        <v>6063</v>
      </c>
      <c r="N120" t="s">
        <v>13</v>
      </c>
      <c r="O120" t="s">
        <v>856</v>
      </c>
      <c r="P120" s="2" t="str">
        <f>HYPERLINK("https://www.facebook.com/100008934274771")</f>
        <v>https://www.facebook.com/100008934274771</v>
      </c>
      <c r="Q120">
        <v>10395</v>
      </c>
      <c r="R120" t="s">
        <v>6067</v>
      </c>
      <c r="S120" t="s">
        <v>6073</v>
      </c>
    </row>
    <row r="121" spans="1:19" ht="14.25" customHeight="1" x14ac:dyDescent="0.3">
      <c r="A121" t="s">
        <v>2225</v>
      </c>
      <c r="B121" t="s">
        <v>2488</v>
      </c>
      <c r="C121" t="s">
        <v>95</v>
      </c>
      <c r="D121" t="s">
        <v>853</v>
      </c>
      <c r="E121" t="s">
        <v>2491</v>
      </c>
      <c r="F121" t="s">
        <v>6059</v>
      </c>
      <c r="G121" s="2" t="str">
        <f>HYPERLINK("https://www.facebook.com/100008934274771/posts/1810262525948206?comment_id=1810292319278560")</f>
        <v>https://www.facebook.com/100008934274771/posts/1810262525948206?comment_id=1810292319278560</v>
      </c>
      <c r="H121" t="s">
        <v>6060</v>
      </c>
      <c r="I121" t="s">
        <v>2308</v>
      </c>
      <c r="J121" s="2" t="str">
        <f>HYPERLINK("https://www.facebook.com/100001953214806")</f>
        <v>https://www.facebook.com/100001953214806</v>
      </c>
      <c r="K121">
        <v>489</v>
      </c>
      <c r="L121" t="s">
        <v>6063</v>
      </c>
      <c r="N121" t="s">
        <v>13</v>
      </c>
      <c r="O121" t="s">
        <v>856</v>
      </c>
      <c r="P121" s="2" t="str">
        <f>HYPERLINK("https://www.facebook.com/100008934274771")</f>
        <v>https://www.facebook.com/100008934274771</v>
      </c>
      <c r="Q121">
        <v>10395</v>
      </c>
      <c r="R121" t="s">
        <v>6067</v>
      </c>
      <c r="S121" t="s">
        <v>6073</v>
      </c>
    </row>
    <row r="122" spans="1:19" ht="14.25" customHeight="1" x14ac:dyDescent="0.3">
      <c r="A122" t="s">
        <v>629</v>
      </c>
      <c r="B122" t="s">
        <v>1224</v>
      </c>
      <c r="C122" t="s">
        <v>95</v>
      </c>
      <c r="D122" t="s">
        <v>10</v>
      </c>
      <c r="E122" t="s">
        <v>1229</v>
      </c>
      <c r="F122" t="s">
        <v>6059</v>
      </c>
      <c r="G122" s="2" t="str">
        <f>HYPERLINK("https://www.facebook.com/762053551/posts/10156366210158552?comment_id=10156366246398552")</f>
        <v>https://www.facebook.com/762053551/posts/10156366210158552?comment_id=10156366246398552</v>
      </c>
      <c r="H122" t="s">
        <v>6060</v>
      </c>
      <c r="I122" t="s">
        <v>1230</v>
      </c>
      <c r="J122" s="2" t="str">
        <f>HYPERLINK("https://www.facebook.com/100000727370939")</f>
        <v>https://www.facebook.com/100000727370939</v>
      </c>
      <c r="K122">
        <v>442</v>
      </c>
      <c r="L122" t="s">
        <v>6063</v>
      </c>
      <c r="N122" t="s">
        <v>13</v>
      </c>
      <c r="O122" t="s">
        <v>14</v>
      </c>
      <c r="P122" s="2" t="str">
        <f>HYPERLINK("https://www.facebook.com/762053551")</f>
        <v>https://www.facebook.com/762053551</v>
      </c>
      <c r="Q122">
        <v>102347</v>
      </c>
      <c r="R122" t="s">
        <v>6067</v>
      </c>
      <c r="S122" t="s">
        <v>6073</v>
      </c>
    </row>
    <row r="123" spans="1:19" ht="14.25" customHeight="1" x14ac:dyDescent="0.3">
      <c r="A123" t="s">
        <v>2225</v>
      </c>
      <c r="B123" t="s">
        <v>2771</v>
      </c>
      <c r="C123" t="s">
        <v>95</v>
      </c>
      <c r="D123" t="s">
        <v>853</v>
      </c>
      <c r="E123" t="s">
        <v>2780</v>
      </c>
      <c r="F123" t="s">
        <v>6059</v>
      </c>
      <c r="G123" s="2" t="str">
        <f>HYPERLINK("https://www.facebook.com/100008934274771/posts/1810262525948206?comment_id=1810270752614050")</f>
        <v>https://www.facebook.com/100008934274771/posts/1810262525948206?comment_id=1810270752614050</v>
      </c>
      <c r="H123" t="s">
        <v>6060</v>
      </c>
      <c r="I123" t="s">
        <v>2738</v>
      </c>
      <c r="J123" s="2" t="str">
        <f>HYPERLINK("https://www.facebook.com/100015285247619")</f>
        <v>https://www.facebook.com/100015285247619</v>
      </c>
      <c r="K123">
        <v>168</v>
      </c>
      <c r="L123" t="s">
        <v>6063</v>
      </c>
      <c r="N123" t="s">
        <v>13</v>
      </c>
      <c r="O123" t="s">
        <v>856</v>
      </c>
      <c r="P123" s="2" t="str">
        <f>HYPERLINK("https://www.facebook.com/100008934274771")</f>
        <v>https://www.facebook.com/100008934274771</v>
      </c>
      <c r="Q123">
        <v>10395</v>
      </c>
      <c r="R123" t="s">
        <v>6067</v>
      </c>
      <c r="S123" t="s">
        <v>6073</v>
      </c>
    </row>
    <row r="124" spans="1:19" ht="14.25" customHeight="1" x14ac:dyDescent="0.3">
      <c r="A124" t="s">
        <v>629</v>
      </c>
      <c r="B124" t="s">
        <v>1307</v>
      </c>
      <c r="C124" t="s">
        <v>95</v>
      </c>
      <c r="D124" t="s">
        <v>10</v>
      </c>
      <c r="E124" t="s">
        <v>517</v>
      </c>
      <c r="F124" t="s">
        <v>6056</v>
      </c>
      <c r="G124" s="2" t="str">
        <f>HYPERLINK("https://www.facebook.com/762053551/posts/10156366210158552")</f>
        <v>https://www.facebook.com/762053551/posts/10156366210158552</v>
      </c>
      <c r="H124" t="s">
        <v>6060</v>
      </c>
      <c r="I124" t="s">
        <v>14</v>
      </c>
      <c r="J124" s="2" t="str">
        <f>HYPERLINK("https://www.facebook.com/762053551")</f>
        <v>https://www.facebook.com/762053551</v>
      </c>
      <c r="K124">
        <v>102347</v>
      </c>
      <c r="L124" t="s">
        <v>6063</v>
      </c>
      <c r="N124" t="s">
        <v>13</v>
      </c>
      <c r="O124" t="s">
        <v>14</v>
      </c>
      <c r="P124" s="2" t="str">
        <f>HYPERLINK("https://www.facebook.com/762053551")</f>
        <v>https://www.facebook.com/762053551</v>
      </c>
      <c r="Q124">
        <v>102347</v>
      </c>
      <c r="R124" t="s">
        <v>6067</v>
      </c>
      <c r="S124" t="s">
        <v>6073</v>
      </c>
    </row>
    <row r="125" spans="1:19" ht="14.25" customHeight="1" x14ac:dyDescent="0.3">
      <c r="A125" t="s">
        <v>2225</v>
      </c>
      <c r="B125" t="s">
        <v>2785</v>
      </c>
      <c r="C125" t="s">
        <v>95</v>
      </c>
      <c r="D125" t="s">
        <v>853</v>
      </c>
      <c r="E125" t="s">
        <v>2787</v>
      </c>
      <c r="F125" t="s">
        <v>6059</v>
      </c>
      <c r="G125" s="2" t="str">
        <f>HYPERLINK("https://www.facebook.com/100008934274771/posts/1810262525948206?comment_id=1810270079280784")</f>
        <v>https://www.facebook.com/100008934274771/posts/1810262525948206?comment_id=1810270079280784</v>
      </c>
      <c r="H125" t="s">
        <v>6060</v>
      </c>
      <c r="I125" t="s">
        <v>2788</v>
      </c>
      <c r="J125" s="2" t="str">
        <f>HYPERLINK("https://www.facebook.com/100008757603136")</f>
        <v>https://www.facebook.com/100008757603136</v>
      </c>
      <c r="K125">
        <v>55</v>
      </c>
      <c r="L125" t="s">
        <v>6063</v>
      </c>
      <c r="N125" t="s">
        <v>13</v>
      </c>
      <c r="O125" t="s">
        <v>856</v>
      </c>
      <c r="P125" s="2" t="str">
        <f>HYPERLINK("https://www.facebook.com/100008934274771")</f>
        <v>https://www.facebook.com/100008934274771</v>
      </c>
      <c r="Q125">
        <v>10395</v>
      </c>
      <c r="R125" t="s">
        <v>6067</v>
      </c>
      <c r="S125" t="s">
        <v>6073</v>
      </c>
    </row>
    <row r="126" spans="1:19" ht="14.25" customHeight="1" x14ac:dyDescent="0.3">
      <c r="A126" t="s">
        <v>629</v>
      </c>
      <c r="B126" t="s">
        <v>603</v>
      </c>
      <c r="C126" t="s">
        <v>95</v>
      </c>
      <c r="D126" t="s">
        <v>1310</v>
      </c>
      <c r="E126" t="s">
        <v>2178</v>
      </c>
      <c r="F126" t="s">
        <v>6059</v>
      </c>
      <c r="G126" s="2" t="str">
        <f>HYPERLINK("https://www.facebook.com/100002596202440/posts/1614339498662575?comment_id=1614369385326253")</f>
        <v>https://www.facebook.com/100002596202440/posts/1614339498662575?comment_id=1614369385326253</v>
      </c>
      <c r="H126" t="s">
        <v>6060</v>
      </c>
      <c r="I126" t="s">
        <v>2179</v>
      </c>
      <c r="J126" s="2" t="str">
        <f>HYPERLINK("https://www.facebook.com/100001811007450")</f>
        <v>https://www.facebook.com/100001811007450</v>
      </c>
      <c r="K126">
        <v>5093</v>
      </c>
      <c r="L126" t="s">
        <v>6063</v>
      </c>
      <c r="N126" t="s">
        <v>13</v>
      </c>
      <c r="O126" t="s">
        <v>1312</v>
      </c>
      <c r="P126" s="2" t="str">
        <f>HYPERLINK("https://www.facebook.com/100002596202440")</f>
        <v>https://www.facebook.com/100002596202440</v>
      </c>
      <c r="Q126">
        <v>531</v>
      </c>
      <c r="R126" t="s">
        <v>6067</v>
      </c>
      <c r="S126" t="s">
        <v>6073</v>
      </c>
    </row>
    <row r="127" spans="1:19" ht="14.25" customHeight="1" x14ac:dyDescent="0.3">
      <c r="A127" t="s">
        <v>629</v>
      </c>
      <c r="B127" t="s">
        <v>675</v>
      </c>
      <c r="C127" t="s">
        <v>95</v>
      </c>
      <c r="D127" t="s">
        <v>10</v>
      </c>
      <c r="E127" t="s">
        <v>517</v>
      </c>
      <c r="F127" t="s">
        <v>6058</v>
      </c>
      <c r="G127" s="2" t="str">
        <f>HYPERLINK("https://www.facebook.com/1677606913/posts/10209621094879005")</f>
        <v>https://www.facebook.com/1677606913/posts/10209621094879005</v>
      </c>
      <c r="H127" t="s">
        <v>6060</v>
      </c>
      <c r="I127" t="s">
        <v>680</v>
      </c>
      <c r="J127" s="2" t="str">
        <f>HYPERLINK("https://www.facebook.com/1677606913")</f>
        <v>https://www.facebook.com/1677606913</v>
      </c>
      <c r="K127">
        <v>4671</v>
      </c>
      <c r="L127" t="s">
        <v>6063</v>
      </c>
      <c r="N127" t="s">
        <v>13</v>
      </c>
      <c r="O127" t="s">
        <v>680</v>
      </c>
      <c r="P127" s="2" t="str">
        <f>HYPERLINK("https://www.facebook.com/1677606913")</f>
        <v>https://www.facebook.com/1677606913</v>
      </c>
      <c r="Q127">
        <v>4671</v>
      </c>
      <c r="R127" t="s">
        <v>6067</v>
      </c>
      <c r="S127" t="s">
        <v>6073</v>
      </c>
    </row>
    <row r="128" spans="1:19" ht="14.25" customHeight="1" x14ac:dyDescent="0.3">
      <c r="A128" t="s">
        <v>1</v>
      </c>
      <c r="B128" t="s">
        <v>556</v>
      </c>
      <c r="C128" t="s">
        <v>95</v>
      </c>
      <c r="D128" t="s">
        <v>10</v>
      </c>
      <c r="E128" t="s">
        <v>557</v>
      </c>
      <c r="F128" t="s">
        <v>6059</v>
      </c>
      <c r="G128" s="2" t="str">
        <f>HYPERLINK("https://www.facebook.com/1070092426/posts/10213398046920195?comment_id=10213399621919569")</f>
        <v>https://www.facebook.com/1070092426/posts/10213398046920195?comment_id=10213399621919569</v>
      </c>
      <c r="H128" t="s">
        <v>6060</v>
      </c>
      <c r="I128" t="s">
        <v>558</v>
      </c>
      <c r="J128" s="2" t="str">
        <f>HYPERLINK("https://www.facebook.com/100001261485820")</f>
        <v>https://www.facebook.com/100001261485820</v>
      </c>
      <c r="K128">
        <v>0</v>
      </c>
      <c r="L128" t="s">
        <v>6063</v>
      </c>
      <c r="N128" t="s">
        <v>13</v>
      </c>
      <c r="O128" t="s">
        <v>314</v>
      </c>
      <c r="P128" s="2" t="str">
        <f>HYPERLINK("https://www.facebook.com/1070092426")</f>
        <v>https://www.facebook.com/1070092426</v>
      </c>
      <c r="Q128">
        <v>5892</v>
      </c>
      <c r="R128" t="s">
        <v>6067</v>
      </c>
      <c r="S128" t="s">
        <v>6073</v>
      </c>
    </row>
    <row r="129" spans="1:19" ht="14.25" customHeight="1" x14ac:dyDescent="0.3">
      <c r="A129" t="s">
        <v>1</v>
      </c>
      <c r="B129" t="s">
        <v>565</v>
      </c>
      <c r="C129" t="s">
        <v>95</v>
      </c>
      <c r="D129" t="s">
        <v>10</v>
      </c>
      <c r="E129" t="s">
        <v>566</v>
      </c>
      <c r="F129" t="s">
        <v>6059</v>
      </c>
      <c r="G129" s="2" t="str">
        <f>HYPERLINK("https://www.facebook.com/1070092426/posts/10213398046920195?comment_id=10213399473515859")</f>
        <v>https://www.facebook.com/1070092426/posts/10213398046920195?comment_id=10213399473515859</v>
      </c>
      <c r="H129" t="s">
        <v>6060</v>
      </c>
      <c r="I129" t="s">
        <v>558</v>
      </c>
      <c r="J129" s="2" t="str">
        <f>HYPERLINK("https://www.facebook.com/100001261485820")</f>
        <v>https://www.facebook.com/100001261485820</v>
      </c>
      <c r="K129">
        <v>0</v>
      </c>
      <c r="L129" t="s">
        <v>6063</v>
      </c>
      <c r="N129" t="s">
        <v>13</v>
      </c>
      <c r="O129" t="s">
        <v>314</v>
      </c>
      <c r="P129" s="2" t="str">
        <f>HYPERLINK("https://www.facebook.com/1070092426")</f>
        <v>https://www.facebook.com/1070092426</v>
      </c>
      <c r="Q129">
        <v>5892</v>
      </c>
      <c r="R129" t="s">
        <v>6067</v>
      </c>
      <c r="S129" t="s">
        <v>6073</v>
      </c>
    </row>
    <row r="130" spans="1:19" ht="14.25" customHeight="1" x14ac:dyDescent="0.3">
      <c r="A130" t="s">
        <v>5409</v>
      </c>
      <c r="B130" t="s">
        <v>476</v>
      </c>
      <c r="C130" t="s">
        <v>3538</v>
      </c>
      <c r="D130" t="s">
        <v>5442</v>
      </c>
      <c r="E130" t="s">
        <v>5928</v>
      </c>
      <c r="F130" t="s">
        <v>6059</v>
      </c>
      <c r="G130" s="2" t="str">
        <f>HYPERLINK("https://www.facebook.com/100000480086400/posts/2357605387598774?comment_id=2358288127530500")</f>
        <v>https://www.facebook.com/100000480086400/posts/2357605387598774?comment_id=2358288127530500</v>
      </c>
      <c r="H130" t="s">
        <v>6060</v>
      </c>
      <c r="I130" t="s">
        <v>5929</v>
      </c>
      <c r="J130" s="2" t="str">
        <f>HYPERLINK("https://www.facebook.com/100000721082886")</f>
        <v>https://www.facebook.com/100000721082886</v>
      </c>
      <c r="K130">
        <v>209</v>
      </c>
      <c r="N130" t="s">
        <v>13</v>
      </c>
      <c r="O130" t="s">
        <v>5244</v>
      </c>
      <c r="P130" s="2" t="str">
        <f>HYPERLINK("https://www.facebook.com/100000480086400")</f>
        <v>https://www.facebook.com/100000480086400</v>
      </c>
      <c r="Q130">
        <v>6778</v>
      </c>
      <c r="R130" t="s">
        <v>6067</v>
      </c>
      <c r="S130" t="s">
        <v>6073</v>
      </c>
    </row>
    <row r="131" spans="1:19" ht="14.25" customHeight="1" x14ac:dyDescent="0.3">
      <c r="A131" t="s">
        <v>2225</v>
      </c>
      <c r="B131" t="s">
        <v>2376</v>
      </c>
      <c r="C131" t="s">
        <v>95</v>
      </c>
      <c r="D131" t="s">
        <v>853</v>
      </c>
      <c r="E131" t="s">
        <v>2377</v>
      </c>
      <c r="F131" t="s">
        <v>6059</v>
      </c>
      <c r="G131" s="2" t="str">
        <f>HYPERLINK("https://www.facebook.com/100008934274771/posts/1810262525948206?comment_id=1810298989277893")</f>
        <v>https://www.facebook.com/100008934274771/posts/1810262525948206?comment_id=1810298989277893</v>
      </c>
      <c r="H131" t="s">
        <v>6060</v>
      </c>
      <c r="I131" t="s">
        <v>1797</v>
      </c>
      <c r="J131" s="2" t="str">
        <f>HYPERLINK("https://www.facebook.com/100012290618719")</f>
        <v>https://www.facebook.com/100012290618719</v>
      </c>
      <c r="K131">
        <v>204</v>
      </c>
      <c r="L131" t="s">
        <v>6064</v>
      </c>
      <c r="N131" t="s">
        <v>13</v>
      </c>
      <c r="O131" t="s">
        <v>856</v>
      </c>
      <c r="P131" s="2" t="str">
        <f>HYPERLINK("https://www.facebook.com/100008934274771")</f>
        <v>https://www.facebook.com/100008934274771</v>
      </c>
      <c r="Q131">
        <v>10395</v>
      </c>
      <c r="R131" t="s">
        <v>6067</v>
      </c>
      <c r="S131" t="s">
        <v>6073</v>
      </c>
    </row>
    <row r="132" spans="1:19" ht="14.25" customHeight="1" x14ac:dyDescent="0.3">
      <c r="A132" t="s">
        <v>4995</v>
      </c>
      <c r="B132" t="s">
        <v>2750</v>
      </c>
      <c r="C132" t="s">
        <v>3538</v>
      </c>
      <c r="D132" t="s">
        <v>5050</v>
      </c>
      <c r="E132" t="s">
        <v>5051</v>
      </c>
      <c r="F132" t="s">
        <v>6056</v>
      </c>
      <c r="G132" s="2" t="str">
        <f>HYPERLINK("https://www.facebook.com/100000901060545/posts/2051557658217583")</f>
        <v>https://www.facebook.com/100000901060545/posts/2051557658217583</v>
      </c>
      <c r="H132" t="s">
        <v>6060</v>
      </c>
      <c r="I132" t="s">
        <v>5045</v>
      </c>
      <c r="J132" s="2" t="str">
        <f>HYPERLINK("https://www.facebook.com/100000901060545")</f>
        <v>https://www.facebook.com/100000901060545</v>
      </c>
      <c r="K132">
        <v>738</v>
      </c>
      <c r="L132" t="s">
        <v>6063</v>
      </c>
      <c r="N132" t="s">
        <v>13</v>
      </c>
      <c r="O132" t="s">
        <v>5045</v>
      </c>
      <c r="P132" s="2" t="str">
        <f>HYPERLINK("https://www.facebook.com/100000901060545")</f>
        <v>https://www.facebook.com/100000901060545</v>
      </c>
      <c r="Q132">
        <v>738</v>
      </c>
      <c r="R132" t="s">
        <v>6067</v>
      </c>
    </row>
    <row r="133" spans="1:19" ht="14.25" customHeight="1" x14ac:dyDescent="0.3">
      <c r="A133" t="s">
        <v>629</v>
      </c>
      <c r="B133" t="s">
        <v>2085</v>
      </c>
      <c r="C133" t="s">
        <v>95</v>
      </c>
      <c r="D133" t="s">
        <v>2086</v>
      </c>
      <c r="E133" t="s">
        <v>2087</v>
      </c>
      <c r="F133" t="s">
        <v>6059</v>
      </c>
      <c r="G133" s="2" t="str">
        <f>HYPERLINK("https://www.facebook.com/100001463526763/posts/1766213380104096?comment_id=1766962483362519")</f>
        <v>https://www.facebook.com/100001463526763/posts/1766213380104096?comment_id=1766962483362519</v>
      </c>
      <c r="H133" t="s">
        <v>6060</v>
      </c>
      <c r="I133" t="s">
        <v>2088</v>
      </c>
      <c r="J133" s="2" t="str">
        <f>HYPERLINK("https://www.facebook.com/100001578361819")</f>
        <v>https://www.facebook.com/100001578361819</v>
      </c>
      <c r="K133">
        <v>0</v>
      </c>
      <c r="L133" t="s">
        <v>6063</v>
      </c>
      <c r="N133" t="s">
        <v>13</v>
      </c>
      <c r="O133" t="s">
        <v>2089</v>
      </c>
      <c r="P133" s="2" t="str">
        <f>HYPERLINK("https://www.facebook.com/100001463526763")</f>
        <v>https://www.facebook.com/100001463526763</v>
      </c>
      <c r="Q133">
        <v>73186</v>
      </c>
      <c r="R133" t="s">
        <v>6067</v>
      </c>
      <c r="S133" t="s">
        <v>6073</v>
      </c>
    </row>
    <row r="134" spans="1:19" ht="14.25" customHeight="1" x14ac:dyDescent="0.3">
      <c r="A134" t="s">
        <v>629</v>
      </c>
      <c r="B134" t="s">
        <v>2117</v>
      </c>
      <c r="C134" t="s">
        <v>95</v>
      </c>
      <c r="D134" t="s">
        <v>853</v>
      </c>
      <c r="E134" t="s">
        <v>2118</v>
      </c>
      <c r="F134" t="s">
        <v>6059</v>
      </c>
      <c r="G134" s="2" t="str">
        <f>HYPERLINK("https://www.facebook.com/100008934274771/posts/1810262525948206?comment_id=1810349375939521")</f>
        <v>https://www.facebook.com/100008934274771/posts/1810262525948206?comment_id=1810349375939521</v>
      </c>
      <c r="H134" t="s">
        <v>6060</v>
      </c>
      <c r="I134" t="s">
        <v>1852</v>
      </c>
      <c r="J134" s="2" t="str">
        <f>HYPERLINK("https://www.facebook.com/100001197926276")</f>
        <v>https://www.facebook.com/100001197926276</v>
      </c>
      <c r="K134">
        <v>886</v>
      </c>
      <c r="L134" t="s">
        <v>6064</v>
      </c>
      <c r="N134" t="s">
        <v>13</v>
      </c>
      <c r="O134" t="s">
        <v>856</v>
      </c>
      <c r="P134" s="2" t="str">
        <f>HYPERLINK("https://www.facebook.com/100008934274771")</f>
        <v>https://www.facebook.com/100008934274771</v>
      </c>
      <c r="Q134">
        <v>10395</v>
      </c>
      <c r="R134" t="s">
        <v>6067</v>
      </c>
      <c r="S134" t="s">
        <v>6073</v>
      </c>
    </row>
    <row r="135" spans="1:19" ht="14.25" customHeight="1" x14ac:dyDescent="0.3">
      <c r="A135" t="s">
        <v>2225</v>
      </c>
      <c r="B135" t="s">
        <v>2331</v>
      </c>
      <c r="C135" t="s">
        <v>95</v>
      </c>
      <c r="D135" t="s">
        <v>853</v>
      </c>
      <c r="E135" t="s">
        <v>2332</v>
      </c>
      <c r="F135" t="s">
        <v>6059</v>
      </c>
      <c r="G135" s="2" t="str">
        <f>HYPERLINK("https://www.facebook.com/100008934274771/posts/1810262525948206?comment_id=1810304315944027")</f>
        <v>https://www.facebook.com/100008934274771/posts/1810262525948206?comment_id=1810304315944027</v>
      </c>
      <c r="H135" t="s">
        <v>6060</v>
      </c>
      <c r="I135" t="s">
        <v>2022</v>
      </c>
      <c r="J135" s="2" t="str">
        <f>HYPERLINK("https://www.facebook.com/100009433964781")</f>
        <v>https://www.facebook.com/100009433964781</v>
      </c>
      <c r="K135">
        <v>78</v>
      </c>
      <c r="L135" t="s">
        <v>6064</v>
      </c>
      <c r="N135" t="s">
        <v>13</v>
      </c>
      <c r="O135" t="s">
        <v>856</v>
      </c>
      <c r="P135" s="2" t="str">
        <f>HYPERLINK("https://www.facebook.com/100008934274771")</f>
        <v>https://www.facebook.com/100008934274771</v>
      </c>
      <c r="Q135">
        <v>10395</v>
      </c>
      <c r="R135" t="s">
        <v>6067</v>
      </c>
      <c r="S135" t="s">
        <v>6073</v>
      </c>
    </row>
    <row r="136" spans="1:19" ht="14.25" customHeight="1" x14ac:dyDescent="0.3">
      <c r="A136" t="s">
        <v>3527</v>
      </c>
      <c r="B136" t="s">
        <v>3252</v>
      </c>
      <c r="C136" t="s">
        <v>95</v>
      </c>
      <c r="D136" t="s">
        <v>2196</v>
      </c>
      <c r="E136" t="s">
        <v>4179</v>
      </c>
      <c r="F136" t="s">
        <v>6059</v>
      </c>
      <c r="G136" s="2" t="str">
        <f>HYPERLINK("https://www.facebook.com/100001415260849/posts/1744734525583706?comment_id=1744744458916046")</f>
        <v>https://www.facebook.com/100001415260849/posts/1744734525583706?comment_id=1744744458916046</v>
      </c>
      <c r="H136" t="s">
        <v>6060</v>
      </c>
      <c r="I136" t="s">
        <v>2932</v>
      </c>
      <c r="J136" s="2" t="str">
        <f>HYPERLINK("https://www.facebook.com/100000560024798")</f>
        <v>https://www.facebook.com/100000560024798</v>
      </c>
      <c r="K136">
        <v>31456</v>
      </c>
      <c r="L136" t="s">
        <v>6063</v>
      </c>
      <c r="N136" t="s">
        <v>13</v>
      </c>
      <c r="O136" t="s">
        <v>2199</v>
      </c>
      <c r="P136" s="2" t="str">
        <f>HYPERLINK("https://www.facebook.com/100001415260849")</f>
        <v>https://www.facebook.com/100001415260849</v>
      </c>
      <c r="Q136">
        <v>0</v>
      </c>
      <c r="R136" t="s">
        <v>6067</v>
      </c>
      <c r="S136" t="s">
        <v>6073</v>
      </c>
    </row>
    <row r="137" spans="1:19" ht="14.25" customHeight="1" x14ac:dyDescent="0.3">
      <c r="A137" t="s">
        <v>2225</v>
      </c>
      <c r="B137" t="s">
        <v>2573</v>
      </c>
      <c r="C137" t="s">
        <v>95</v>
      </c>
      <c r="D137" t="s">
        <v>853</v>
      </c>
      <c r="E137" t="s">
        <v>2576</v>
      </c>
      <c r="F137" t="s">
        <v>6059</v>
      </c>
      <c r="G137" s="2" t="str">
        <f>HYPERLINK("https://www.facebook.com/100008934274771/posts/1810262525948206?comment_id=1810288629278929")</f>
        <v>https://www.facebook.com/100008934274771/posts/1810262525948206?comment_id=1810288629278929</v>
      </c>
      <c r="H137" t="s">
        <v>6060</v>
      </c>
      <c r="I137" t="s">
        <v>2501</v>
      </c>
      <c r="J137" s="2" t="str">
        <f>HYPERLINK("https://www.facebook.com/100000967055974")</f>
        <v>https://www.facebook.com/100000967055974</v>
      </c>
      <c r="K137">
        <v>542</v>
      </c>
      <c r="L137" t="s">
        <v>6063</v>
      </c>
      <c r="N137" t="s">
        <v>13</v>
      </c>
      <c r="O137" t="s">
        <v>856</v>
      </c>
      <c r="P137" s="2" t="str">
        <f>HYPERLINK("https://www.facebook.com/100008934274771")</f>
        <v>https://www.facebook.com/100008934274771</v>
      </c>
      <c r="Q137">
        <v>10395</v>
      </c>
      <c r="R137" t="s">
        <v>6067</v>
      </c>
      <c r="S137" t="s">
        <v>6073</v>
      </c>
    </row>
    <row r="138" spans="1:19" ht="14.25" customHeight="1" x14ac:dyDescent="0.3">
      <c r="A138" t="s">
        <v>629</v>
      </c>
      <c r="B138" t="s">
        <v>2009</v>
      </c>
      <c r="C138" t="s">
        <v>95</v>
      </c>
      <c r="D138" t="s">
        <v>568</v>
      </c>
      <c r="E138" t="s">
        <v>2010</v>
      </c>
      <c r="F138" t="s">
        <v>6059</v>
      </c>
      <c r="G138" s="2" t="str">
        <f>HYPERLINK("https://www.facebook.com/100010421106042/posts/579987695691929?comment_id=580085905682108")</f>
        <v>https://www.facebook.com/100010421106042/posts/579987695691929?comment_id=580085905682108</v>
      </c>
      <c r="H138" t="s">
        <v>6060</v>
      </c>
      <c r="I138" t="s">
        <v>2004</v>
      </c>
      <c r="J138" s="2" t="str">
        <f>HYPERLINK("https://www.facebook.com/100001953155646")</f>
        <v>https://www.facebook.com/100001953155646</v>
      </c>
      <c r="K138">
        <v>0</v>
      </c>
      <c r="L138" t="s">
        <v>6063</v>
      </c>
      <c r="N138" t="s">
        <v>13</v>
      </c>
      <c r="O138" t="s">
        <v>571</v>
      </c>
      <c r="P138" s="2" t="str">
        <f>HYPERLINK("https://www.facebook.com/100010421106042")</f>
        <v>https://www.facebook.com/100010421106042</v>
      </c>
      <c r="Q138">
        <v>2614</v>
      </c>
      <c r="R138" t="s">
        <v>6067</v>
      </c>
      <c r="S138" t="s">
        <v>6073</v>
      </c>
    </row>
    <row r="139" spans="1:19" ht="14.25" customHeight="1" x14ac:dyDescent="0.3">
      <c r="A139" t="s">
        <v>1</v>
      </c>
      <c r="B139" t="s">
        <v>516</v>
      </c>
      <c r="C139" t="s">
        <v>95</v>
      </c>
      <c r="D139" t="s">
        <v>10</v>
      </c>
      <c r="E139" t="s">
        <v>517</v>
      </c>
      <c r="F139" t="s">
        <v>6058</v>
      </c>
      <c r="G139" s="2" t="str">
        <f>HYPERLINK("https://www.facebook.com/100002068152747/posts/2106447339434184")</f>
        <v>https://www.facebook.com/100002068152747/posts/2106447339434184</v>
      </c>
      <c r="H139" t="s">
        <v>6060</v>
      </c>
      <c r="I139" t="s">
        <v>518</v>
      </c>
      <c r="J139" s="2" t="str">
        <f>HYPERLINK("https://www.facebook.com/100002068152747")</f>
        <v>https://www.facebook.com/100002068152747</v>
      </c>
      <c r="K139">
        <v>660</v>
      </c>
      <c r="L139" t="s">
        <v>6063</v>
      </c>
      <c r="N139" t="s">
        <v>13</v>
      </c>
      <c r="O139" t="s">
        <v>518</v>
      </c>
      <c r="P139" s="2" t="str">
        <f>HYPERLINK("https://www.facebook.com/100002068152747")</f>
        <v>https://www.facebook.com/100002068152747</v>
      </c>
      <c r="Q139">
        <v>660</v>
      </c>
      <c r="R139" t="s">
        <v>6067</v>
      </c>
    </row>
    <row r="140" spans="1:19" ht="14.25" customHeight="1" x14ac:dyDescent="0.3">
      <c r="A140" t="s">
        <v>2225</v>
      </c>
      <c r="B140" t="s">
        <v>2620</v>
      </c>
      <c r="C140" t="s">
        <v>95</v>
      </c>
      <c r="D140" t="s">
        <v>544</v>
      </c>
      <c r="E140" t="s">
        <v>2626</v>
      </c>
      <c r="F140" t="s">
        <v>6059</v>
      </c>
      <c r="G140" s="2" t="str">
        <f>HYPERLINK("https://www.facebook.com/100007062842291/posts/2137611039817637?comment_id=2137626233149451")</f>
        <v>https://www.facebook.com/100007062842291/posts/2137611039817637?comment_id=2137626233149451</v>
      </c>
      <c r="H140" t="s">
        <v>6060</v>
      </c>
      <c r="I140" t="s">
        <v>2627</v>
      </c>
      <c r="J140" s="2" t="str">
        <f>HYPERLINK("https://www.facebook.com/100007062842291")</f>
        <v>https://www.facebook.com/100007062842291</v>
      </c>
      <c r="K140">
        <v>2928</v>
      </c>
      <c r="L140" t="s">
        <v>6064</v>
      </c>
      <c r="N140" t="s">
        <v>13</v>
      </c>
      <c r="O140" t="s">
        <v>2627</v>
      </c>
      <c r="P140" s="2" t="str">
        <f>HYPERLINK("https://www.facebook.com/100007062842291")</f>
        <v>https://www.facebook.com/100007062842291</v>
      </c>
      <c r="Q140">
        <v>2928</v>
      </c>
      <c r="R140" t="s">
        <v>6067</v>
      </c>
      <c r="S140" t="s">
        <v>6073</v>
      </c>
    </row>
    <row r="141" spans="1:19" ht="14.25" customHeight="1" x14ac:dyDescent="0.3">
      <c r="A141" t="s">
        <v>629</v>
      </c>
      <c r="B141" t="s">
        <v>1029</v>
      </c>
      <c r="C141" t="s">
        <v>95</v>
      </c>
      <c r="D141" t="s">
        <v>10</v>
      </c>
      <c r="E141" t="s">
        <v>517</v>
      </c>
      <c r="F141" t="s">
        <v>6058</v>
      </c>
      <c r="G141" s="2" t="str">
        <f>HYPERLINK("https://www.facebook.com/100004641637169/posts/958989667599079")</f>
        <v>https://www.facebook.com/100004641637169/posts/958989667599079</v>
      </c>
      <c r="H141" t="s">
        <v>6060</v>
      </c>
      <c r="I141" t="s">
        <v>1030</v>
      </c>
      <c r="J141" s="2" t="str">
        <f>HYPERLINK("https://www.facebook.com/100004641637169")</f>
        <v>https://www.facebook.com/100004641637169</v>
      </c>
      <c r="K141">
        <v>85</v>
      </c>
      <c r="L141" t="s">
        <v>6063</v>
      </c>
      <c r="N141" t="s">
        <v>13</v>
      </c>
      <c r="O141" t="s">
        <v>1030</v>
      </c>
      <c r="P141" s="2" t="str">
        <f>HYPERLINK("https://www.facebook.com/100004641637169")</f>
        <v>https://www.facebook.com/100004641637169</v>
      </c>
      <c r="Q141">
        <v>85</v>
      </c>
      <c r="R141" t="s">
        <v>6067</v>
      </c>
      <c r="S141" t="s">
        <v>6073</v>
      </c>
    </row>
    <row r="142" spans="1:19" ht="14.25" customHeight="1" x14ac:dyDescent="0.3">
      <c r="A142" t="s">
        <v>2225</v>
      </c>
      <c r="B142" t="s">
        <v>2269</v>
      </c>
      <c r="C142" t="s">
        <v>95</v>
      </c>
      <c r="D142" t="s">
        <v>853</v>
      </c>
      <c r="E142" t="s">
        <v>2270</v>
      </c>
      <c r="F142" t="s">
        <v>6059</v>
      </c>
      <c r="G142" s="2" t="str">
        <f>HYPERLINK("https://www.facebook.com/100008934274771/posts/1810262525948206?comment_id=1810318039275988")</f>
        <v>https://www.facebook.com/100008934274771/posts/1810262525948206?comment_id=1810318039275988</v>
      </c>
      <c r="H142" t="s">
        <v>6060</v>
      </c>
      <c r="I142" t="s">
        <v>2271</v>
      </c>
      <c r="J142" s="2" t="str">
        <f>HYPERLINK("https://www.facebook.com/100006028489188")</f>
        <v>https://www.facebook.com/100006028489188</v>
      </c>
      <c r="K142">
        <v>3404</v>
      </c>
      <c r="L142" t="s">
        <v>6064</v>
      </c>
      <c r="N142" t="s">
        <v>13</v>
      </c>
      <c r="O142" t="s">
        <v>856</v>
      </c>
      <c r="P142" s="2" t="str">
        <f>HYPERLINK("https://www.facebook.com/100008934274771")</f>
        <v>https://www.facebook.com/100008934274771</v>
      </c>
      <c r="Q142">
        <v>10395</v>
      </c>
      <c r="R142" t="s">
        <v>6067</v>
      </c>
      <c r="S142" t="s">
        <v>6073</v>
      </c>
    </row>
    <row r="143" spans="1:19" ht="14.25" customHeight="1" x14ac:dyDescent="0.3">
      <c r="A143" t="s">
        <v>3527</v>
      </c>
      <c r="B143" t="s">
        <v>4433</v>
      </c>
      <c r="C143" t="s">
        <v>3538</v>
      </c>
      <c r="D143" t="s">
        <v>4434</v>
      </c>
      <c r="E143" t="s">
        <v>4435</v>
      </c>
      <c r="F143" t="s">
        <v>6059</v>
      </c>
      <c r="G143" s="2" t="str">
        <f>HYPERLINK("https://www.facebook.com/762053551/posts/10156304176878552?comment_id=10156359443358552")</f>
        <v>https://www.facebook.com/762053551/posts/10156304176878552?comment_id=10156359443358552</v>
      </c>
      <c r="H143" t="s">
        <v>6060</v>
      </c>
      <c r="I143" t="s">
        <v>4436</v>
      </c>
      <c r="J143" s="2" t="str">
        <f>HYPERLINK("https://www.facebook.com/1417456294")</f>
        <v>https://www.facebook.com/1417456294</v>
      </c>
      <c r="K143">
        <v>3669</v>
      </c>
      <c r="L143" t="s">
        <v>6063</v>
      </c>
      <c r="N143" t="s">
        <v>13</v>
      </c>
      <c r="O143" t="s">
        <v>14</v>
      </c>
      <c r="P143" s="2" t="str">
        <f>HYPERLINK("https://www.facebook.com/762053551")</f>
        <v>https://www.facebook.com/762053551</v>
      </c>
      <c r="Q143">
        <v>102347</v>
      </c>
      <c r="R143" t="s">
        <v>6067</v>
      </c>
      <c r="S143" t="s">
        <v>6073</v>
      </c>
    </row>
    <row r="144" spans="1:19" ht="14.25" customHeight="1" x14ac:dyDescent="0.3">
      <c r="A144" t="s">
        <v>629</v>
      </c>
      <c r="B144" t="s">
        <v>1722</v>
      </c>
      <c r="C144" t="s">
        <v>95</v>
      </c>
      <c r="D144" t="s">
        <v>1728</v>
      </c>
      <c r="E144" t="s">
        <v>1729</v>
      </c>
      <c r="F144" t="s">
        <v>6057</v>
      </c>
      <c r="G144" s="2" t="str">
        <f>HYPERLINK("https://www.facebook.com/286370974850417/posts/973126242841550")</f>
        <v>https://www.facebook.com/286370974850417/posts/973126242841550</v>
      </c>
      <c r="H144" t="s">
        <v>6062</v>
      </c>
      <c r="I144" t="s">
        <v>1730</v>
      </c>
      <c r="J144" s="2" t="str">
        <f>HYPERLINK("https://www.facebook.com/286370974850417")</f>
        <v>https://www.facebook.com/286370974850417</v>
      </c>
      <c r="K144">
        <v>1238</v>
      </c>
      <c r="L144" t="s">
        <v>6065</v>
      </c>
      <c r="N144" t="s">
        <v>13</v>
      </c>
      <c r="O144" t="s">
        <v>1730</v>
      </c>
      <c r="P144" s="2" t="str">
        <f>HYPERLINK("https://www.facebook.com/286370974850417")</f>
        <v>https://www.facebook.com/286370974850417</v>
      </c>
      <c r="Q144">
        <v>1238</v>
      </c>
      <c r="R144" t="s">
        <v>6067</v>
      </c>
    </row>
    <row r="145" spans="1:19" ht="14.25" customHeight="1" x14ac:dyDescent="0.3">
      <c r="A145" t="s">
        <v>2225</v>
      </c>
      <c r="B145" t="s">
        <v>2356</v>
      </c>
      <c r="C145" t="s">
        <v>95</v>
      </c>
      <c r="D145" t="s">
        <v>544</v>
      </c>
      <c r="E145" t="s">
        <v>545</v>
      </c>
      <c r="F145" t="s">
        <v>6058</v>
      </c>
      <c r="G145" s="2" t="str">
        <f>HYPERLINK("https://www.facebook.com/100011369797892/posts/725349887853998")</f>
        <v>https://www.facebook.com/100011369797892/posts/725349887853998</v>
      </c>
      <c r="H145" t="s">
        <v>6062</v>
      </c>
      <c r="I145" t="s">
        <v>1959</v>
      </c>
      <c r="J145" s="2" t="str">
        <f>HYPERLINK("https://www.facebook.com/100011369797892")</f>
        <v>https://www.facebook.com/100011369797892</v>
      </c>
      <c r="K145">
        <v>3027</v>
      </c>
      <c r="L145" t="s">
        <v>6063</v>
      </c>
      <c r="N145" t="s">
        <v>13</v>
      </c>
      <c r="O145" t="s">
        <v>1959</v>
      </c>
      <c r="P145" s="2" t="str">
        <f>HYPERLINK("https://www.facebook.com/100011369797892")</f>
        <v>https://www.facebook.com/100011369797892</v>
      </c>
      <c r="Q145">
        <v>3027</v>
      </c>
      <c r="R145" t="s">
        <v>6067</v>
      </c>
    </row>
    <row r="146" spans="1:19" ht="14.25" customHeight="1" x14ac:dyDescent="0.3">
      <c r="A146" t="s">
        <v>629</v>
      </c>
      <c r="B146" t="s">
        <v>461</v>
      </c>
      <c r="C146" t="s">
        <v>95</v>
      </c>
      <c r="D146" t="s">
        <v>370</v>
      </c>
      <c r="E146" t="s">
        <v>371</v>
      </c>
      <c r="F146" t="s">
        <v>6058</v>
      </c>
      <c r="G146" s="2" t="str">
        <f>HYPERLINK("https://www.facebook.com/100011369797892/posts/725595294496124")</f>
        <v>https://www.facebook.com/100011369797892/posts/725595294496124</v>
      </c>
      <c r="H146" t="s">
        <v>6062</v>
      </c>
      <c r="I146" t="s">
        <v>1959</v>
      </c>
      <c r="J146" s="2" t="str">
        <f>HYPERLINK("https://www.facebook.com/100011369797892")</f>
        <v>https://www.facebook.com/100011369797892</v>
      </c>
      <c r="K146">
        <v>3027</v>
      </c>
      <c r="L146" t="s">
        <v>6063</v>
      </c>
      <c r="N146" t="s">
        <v>13</v>
      </c>
      <c r="O146" t="s">
        <v>1959</v>
      </c>
      <c r="P146" s="2" t="str">
        <f>HYPERLINK("https://www.facebook.com/100011369797892")</f>
        <v>https://www.facebook.com/100011369797892</v>
      </c>
      <c r="Q146">
        <v>3027</v>
      </c>
      <c r="R146" t="s">
        <v>6067</v>
      </c>
    </row>
    <row r="147" spans="1:19" ht="14.25" customHeight="1" x14ac:dyDescent="0.3">
      <c r="A147" t="s">
        <v>2225</v>
      </c>
      <c r="B147" t="s">
        <v>1396</v>
      </c>
      <c r="C147" t="s">
        <v>95</v>
      </c>
      <c r="D147" t="s">
        <v>3231</v>
      </c>
      <c r="E147" t="s">
        <v>3232</v>
      </c>
      <c r="F147" t="s">
        <v>6056</v>
      </c>
      <c r="G147" s="2" t="str">
        <f>HYPERLINK("https://www.facebook.com/258478201016393/posts/2938419706355549")</f>
        <v>https://www.facebook.com/258478201016393/posts/2938419706355549</v>
      </c>
      <c r="H147" t="s">
        <v>6062</v>
      </c>
      <c r="I147" t="s">
        <v>3281</v>
      </c>
      <c r="J147" s="2" t="str">
        <f>HYPERLINK("https://www.facebook.com/258478201016393")</f>
        <v>https://www.facebook.com/258478201016393</v>
      </c>
      <c r="K147">
        <v>1079</v>
      </c>
      <c r="L147" t="s">
        <v>6065</v>
      </c>
      <c r="N147" t="s">
        <v>13</v>
      </c>
      <c r="O147" t="s">
        <v>3281</v>
      </c>
      <c r="P147" s="2" t="str">
        <f>HYPERLINK("https://www.facebook.com/258478201016393")</f>
        <v>https://www.facebook.com/258478201016393</v>
      </c>
      <c r="Q147">
        <v>1079</v>
      </c>
      <c r="R147" t="s">
        <v>6067</v>
      </c>
      <c r="S147" t="s">
        <v>6073</v>
      </c>
    </row>
    <row r="148" spans="1:19" ht="14.25" customHeight="1" x14ac:dyDescent="0.3">
      <c r="A148" t="s">
        <v>5409</v>
      </c>
      <c r="B148" t="s">
        <v>109</v>
      </c>
      <c r="C148" t="s">
        <v>3538</v>
      </c>
      <c r="D148" t="s">
        <v>4318</v>
      </c>
      <c r="E148" t="s">
        <v>5429</v>
      </c>
      <c r="F148" t="s">
        <v>6058</v>
      </c>
      <c r="G148" s="2" t="str">
        <f>HYPERLINK("https://www.facebook.com/100003459620835/posts/965875726871072")</f>
        <v>https://www.facebook.com/100003459620835/posts/965875726871072</v>
      </c>
      <c r="H148" t="s">
        <v>6062</v>
      </c>
      <c r="I148" t="s">
        <v>5765</v>
      </c>
      <c r="J148" s="2" t="str">
        <f>HYPERLINK("https://www.facebook.com/100003459620835")</f>
        <v>https://www.facebook.com/100003459620835</v>
      </c>
      <c r="K148">
        <v>222</v>
      </c>
      <c r="L148" t="s">
        <v>6064</v>
      </c>
      <c r="N148" t="s">
        <v>13</v>
      </c>
      <c r="O148" t="s">
        <v>5765</v>
      </c>
      <c r="P148" s="2" t="str">
        <f>HYPERLINK("https://www.facebook.com/100003459620835")</f>
        <v>https://www.facebook.com/100003459620835</v>
      </c>
      <c r="Q148">
        <v>222</v>
      </c>
      <c r="R148" t="s">
        <v>6067</v>
      </c>
      <c r="S148" t="s">
        <v>6073</v>
      </c>
    </row>
    <row r="149" spans="1:19" ht="14.25" customHeight="1" x14ac:dyDescent="0.3">
      <c r="A149" t="s">
        <v>629</v>
      </c>
      <c r="B149" t="s">
        <v>929</v>
      </c>
      <c r="C149" t="s">
        <v>95</v>
      </c>
      <c r="D149" t="s">
        <v>667</v>
      </c>
      <c r="E149" t="s">
        <v>668</v>
      </c>
      <c r="F149" t="s">
        <v>6058</v>
      </c>
      <c r="G149" s="2" t="str">
        <f>HYPERLINK("https://www.facebook.com/100003012470708/posts/1471871249589943")</f>
        <v>https://www.facebook.com/100003012470708/posts/1471871249589943</v>
      </c>
      <c r="H149" t="s">
        <v>6062</v>
      </c>
      <c r="I149" t="s">
        <v>930</v>
      </c>
      <c r="J149" s="2" t="str">
        <f>HYPERLINK("https://www.facebook.com/100003012470708")</f>
        <v>https://www.facebook.com/100003012470708</v>
      </c>
      <c r="K149">
        <v>109</v>
      </c>
      <c r="L149" t="s">
        <v>6063</v>
      </c>
      <c r="N149" t="s">
        <v>13</v>
      </c>
      <c r="O149" t="s">
        <v>930</v>
      </c>
      <c r="P149" s="2" t="str">
        <f>HYPERLINK("https://www.facebook.com/100003012470708")</f>
        <v>https://www.facebook.com/100003012470708</v>
      </c>
      <c r="Q149">
        <v>109</v>
      </c>
      <c r="R149" t="s">
        <v>6067</v>
      </c>
      <c r="S149" t="s">
        <v>6073</v>
      </c>
    </row>
    <row r="150" spans="1:19" ht="14.25" customHeight="1" x14ac:dyDescent="0.3">
      <c r="A150" t="s">
        <v>2225</v>
      </c>
      <c r="B150" t="s">
        <v>750</v>
      </c>
      <c r="C150" t="s">
        <v>95</v>
      </c>
      <c r="D150" t="s">
        <v>544</v>
      </c>
      <c r="E150" t="s">
        <v>545</v>
      </c>
      <c r="F150" t="s">
        <v>6058</v>
      </c>
      <c r="G150" s="2" t="str">
        <f>HYPERLINK("https://www.facebook.com/100002437574418/posts/1638813376209899")</f>
        <v>https://www.facebook.com/100002437574418/posts/1638813376209899</v>
      </c>
      <c r="H150" t="s">
        <v>6062</v>
      </c>
      <c r="I150" t="s">
        <v>1872</v>
      </c>
      <c r="J150" s="2" t="str">
        <f>HYPERLINK("https://www.facebook.com/100002437574418")</f>
        <v>https://www.facebook.com/100002437574418</v>
      </c>
      <c r="K150">
        <v>0</v>
      </c>
      <c r="L150" t="s">
        <v>6063</v>
      </c>
      <c r="N150" t="s">
        <v>13</v>
      </c>
      <c r="O150" t="s">
        <v>1872</v>
      </c>
      <c r="P150" s="2" t="str">
        <f>HYPERLINK("https://www.facebook.com/100002437574418")</f>
        <v>https://www.facebook.com/100002437574418</v>
      </c>
      <c r="Q150">
        <v>0</v>
      </c>
      <c r="R150" t="s">
        <v>6067</v>
      </c>
      <c r="S150" t="s">
        <v>6073</v>
      </c>
    </row>
    <row r="151" spans="1:19" ht="14.25" customHeight="1" x14ac:dyDescent="0.3">
      <c r="A151" t="s">
        <v>629</v>
      </c>
      <c r="B151" t="s">
        <v>447</v>
      </c>
      <c r="C151" t="s">
        <v>95</v>
      </c>
      <c r="D151" t="s">
        <v>370</v>
      </c>
      <c r="E151" t="s">
        <v>371</v>
      </c>
      <c r="F151" t="s">
        <v>6058</v>
      </c>
      <c r="G151" s="2" t="str">
        <f>HYPERLINK("https://www.facebook.com/100002437574418/posts/1639243966166840")</f>
        <v>https://www.facebook.com/100002437574418/posts/1639243966166840</v>
      </c>
      <c r="H151" t="s">
        <v>6062</v>
      </c>
      <c r="I151" t="s">
        <v>1872</v>
      </c>
      <c r="J151" s="2" t="str">
        <f>HYPERLINK("https://www.facebook.com/100002437574418")</f>
        <v>https://www.facebook.com/100002437574418</v>
      </c>
      <c r="K151">
        <v>0</v>
      </c>
      <c r="L151" t="s">
        <v>6063</v>
      </c>
      <c r="N151" t="s">
        <v>13</v>
      </c>
      <c r="O151" t="s">
        <v>1872</v>
      </c>
      <c r="P151" s="2" t="str">
        <f>HYPERLINK("https://www.facebook.com/100002437574418")</f>
        <v>https://www.facebook.com/100002437574418</v>
      </c>
      <c r="Q151">
        <v>0</v>
      </c>
      <c r="R151" t="s">
        <v>6067</v>
      </c>
      <c r="S151" t="s">
        <v>6073</v>
      </c>
    </row>
    <row r="152" spans="1:19" ht="14.25" customHeight="1" x14ac:dyDescent="0.3">
      <c r="A152" t="s">
        <v>2225</v>
      </c>
      <c r="B152" t="s">
        <v>3132</v>
      </c>
      <c r="C152" t="s">
        <v>95</v>
      </c>
      <c r="D152" t="s">
        <v>464</v>
      </c>
      <c r="E152" t="s">
        <v>3136</v>
      </c>
      <c r="F152" t="s">
        <v>6059</v>
      </c>
      <c r="G152" s="2" t="str">
        <f>HYPERLINK("https://www.facebook.com/1362386453/posts/10216460219362335?comment_id=10216460306884523")</f>
        <v>https://www.facebook.com/1362386453/posts/10216460219362335?comment_id=10216460306884523</v>
      </c>
      <c r="H152" t="s">
        <v>6062</v>
      </c>
      <c r="I152" t="s">
        <v>3131</v>
      </c>
      <c r="J152" s="2" t="str">
        <f>HYPERLINK("https://www.facebook.com/100003303875198")</f>
        <v>https://www.facebook.com/100003303875198</v>
      </c>
      <c r="K152">
        <v>5460</v>
      </c>
      <c r="L152" t="s">
        <v>6063</v>
      </c>
      <c r="N152" t="s">
        <v>13</v>
      </c>
      <c r="O152" t="s">
        <v>467</v>
      </c>
      <c r="P152" s="2" t="str">
        <f>HYPERLINK("https://www.facebook.com/1362386453")</f>
        <v>https://www.facebook.com/1362386453</v>
      </c>
      <c r="Q152">
        <v>3896</v>
      </c>
      <c r="R152" t="s">
        <v>6067</v>
      </c>
      <c r="S152" t="s">
        <v>6073</v>
      </c>
    </row>
    <row r="153" spans="1:19" ht="14.25" customHeight="1" x14ac:dyDescent="0.3">
      <c r="A153" t="s">
        <v>2225</v>
      </c>
      <c r="B153" t="s">
        <v>1052</v>
      </c>
      <c r="C153" t="s">
        <v>95</v>
      </c>
      <c r="D153" t="s">
        <v>464</v>
      </c>
      <c r="E153" t="s">
        <v>3130</v>
      </c>
      <c r="F153" t="s">
        <v>6059</v>
      </c>
      <c r="G153" s="2" t="str">
        <f>HYPERLINK("https://www.facebook.com/1362386453/posts/10216460219362335?comment_id=10216460312204656")</f>
        <v>https://www.facebook.com/1362386453/posts/10216460219362335?comment_id=10216460312204656</v>
      </c>
      <c r="H153" t="s">
        <v>6062</v>
      </c>
      <c r="I153" t="s">
        <v>3131</v>
      </c>
      <c r="J153" s="2" t="str">
        <f>HYPERLINK("https://www.facebook.com/100003303875198")</f>
        <v>https://www.facebook.com/100003303875198</v>
      </c>
      <c r="K153">
        <v>5460</v>
      </c>
      <c r="L153" t="s">
        <v>6063</v>
      </c>
      <c r="N153" t="s">
        <v>13</v>
      </c>
      <c r="O153" t="s">
        <v>467</v>
      </c>
      <c r="P153" s="2" t="str">
        <f>HYPERLINK("https://www.facebook.com/1362386453")</f>
        <v>https://www.facebook.com/1362386453</v>
      </c>
      <c r="Q153">
        <v>3896</v>
      </c>
      <c r="R153" t="s">
        <v>6067</v>
      </c>
      <c r="S153" t="s">
        <v>6073</v>
      </c>
    </row>
    <row r="154" spans="1:19" ht="14.25" customHeight="1" x14ac:dyDescent="0.3">
      <c r="A154" t="s">
        <v>2225</v>
      </c>
      <c r="B154" t="s">
        <v>1536</v>
      </c>
      <c r="C154" t="s">
        <v>95</v>
      </c>
      <c r="D154" t="s">
        <v>1099</v>
      </c>
      <c r="E154" t="s">
        <v>3381</v>
      </c>
      <c r="F154" t="s">
        <v>6059</v>
      </c>
      <c r="G154" s="2" t="str">
        <f>HYPERLINK("https://www.facebook.com/100002489064006/posts/1666923993400553?comment_id=1666927236733562")</f>
        <v>https://www.facebook.com/100002489064006/posts/1666923993400553?comment_id=1666927236733562</v>
      </c>
      <c r="H154" t="s">
        <v>6062</v>
      </c>
      <c r="I154" t="s">
        <v>3294</v>
      </c>
      <c r="J154" s="2" t="str">
        <f>HYPERLINK("https://www.facebook.com/100000584815320")</f>
        <v>https://www.facebook.com/100000584815320</v>
      </c>
      <c r="K154">
        <v>0</v>
      </c>
      <c r="L154" t="s">
        <v>6063</v>
      </c>
      <c r="N154" t="s">
        <v>13</v>
      </c>
      <c r="O154" t="s">
        <v>1101</v>
      </c>
      <c r="P154" s="2" t="str">
        <f>HYPERLINK("https://www.facebook.com/100002489064006")</f>
        <v>https://www.facebook.com/100002489064006</v>
      </c>
      <c r="Q154">
        <v>2089</v>
      </c>
      <c r="R154" t="s">
        <v>6067</v>
      </c>
      <c r="S154" t="s">
        <v>6073</v>
      </c>
    </row>
    <row r="155" spans="1:19" ht="14.25" customHeight="1" x14ac:dyDescent="0.3">
      <c r="A155" t="s">
        <v>2225</v>
      </c>
      <c r="B155" t="s">
        <v>3290</v>
      </c>
      <c r="C155" t="s">
        <v>95</v>
      </c>
      <c r="D155" t="s">
        <v>1099</v>
      </c>
      <c r="E155" t="s">
        <v>3293</v>
      </c>
      <c r="F155" t="s">
        <v>6059</v>
      </c>
      <c r="G155" s="2" t="str">
        <f>HYPERLINK("https://www.facebook.com/100002489064006/posts/1666923993400553?comment_id=1667762933316659")</f>
        <v>https://www.facebook.com/100002489064006/posts/1666923993400553?comment_id=1667762933316659</v>
      </c>
      <c r="H155" t="s">
        <v>6062</v>
      </c>
      <c r="I155" t="s">
        <v>3294</v>
      </c>
      <c r="J155" s="2" t="str">
        <f>HYPERLINK("https://www.facebook.com/100000584815320")</f>
        <v>https://www.facebook.com/100000584815320</v>
      </c>
      <c r="K155">
        <v>0</v>
      </c>
      <c r="L155" t="s">
        <v>6063</v>
      </c>
      <c r="N155" t="s">
        <v>13</v>
      </c>
      <c r="O155" t="s">
        <v>1101</v>
      </c>
      <c r="P155" s="2" t="str">
        <f>HYPERLINK("https://www.facebook.com/100002489064006")</f>
        <v>https://www.facebook.com/100002489064006</v>
      </c>
      <c r="Q155">
        <v>2089</v>
      </c>
      <c r="R155" t="s">
        <v>6067</v>
      </c>
      <c r="S155" t="s">
        <v>6073</v>
      </c>
    </row>
    <row r="156" spans="1:19" ht="14.25" customHeight="1" x14ac:dyDescent="0.3">
      <c r="A156" t="s">
        <v>629</v>
      </c>
      <c r="B156" t="s">
        <v>1292</v>
      </c>
      <c r="C156" t="s">
        <v>95</v>
      </c>
      <c r="D156" t="s">
        <v>10</v>
      </c>
      <c r="E156" t="s">
        <v>1297</v>
      </c>
      <c r="F156" t="s">
        <v>6059</v>
      </c>
      <c r="G156" s="2" t="str">
        <f>HYPERLINK("https://www.facebook.com/762053551/posts/10156366210158552?comment_id=10156366213258552")</f>
        <v>https://www.facebook.com/762053551/posts/10156366210158552?comment_id=10156366213258552</v>
      </c>
      <c r="H156" t="s">
        <v>6062</v>
      </c>
      <c r="I156" t="s">
        <v>1298</v>
      </c>
      <c r="J156" s="2" t="str">
        <f>HYPERLINK("https://www.facebook.com/100009328620099")</f>
        <v>https://www.facebook.com/100009328620099</v>
      </c>
      <c r="K156">
        <v>734</v>
      </c>
      <c r="L156" t="s">
        <v>6063</v>
      </c>
      <c r="N156" t="s">
        <v>13</v>
      </c>
      <c r="O156" t="s">
        <v>14</v>
      </c>
      <c r="P156" s="2" t="str">
        <f>HYPERLINK("https://www.facebook.com/762053551")</f>
        <v>https://www.facebook.com/762053551</v>
      </c>
      <c r="Q156">
        <v>102347</v>
      </c>
      <c r="R156" t="s">
        <v>6067</v>
      </c>
      <c r="S156" t="s">
        <v>6073</v>
      </c>
    </row>
    <row r="157" spans="1:19" ht="14.25" customHeight="1" x14ac:dyDescent="0.3">
      <c r="A157" t="s">
        <v>629</v>
      </c>
      <c r="B157" t="s">
        <v>2024</v>
      </c>
      <c r="C157" t="s">
        <v>95</v>
      </c>
      <c r="D157" t="s">
        <v>370</v>
      </c>
      <c r="E157" t="s">
        <v>371</v>
      </c>
      <c r="F157" t="s">
        <v>6058</v>
      </c>
      <c r="G157" s="2" t="str">
        <f>HYPERLINK("https://www.facebook.com/100004249718874/posts/1004837959667852")</f>
        <v>https://www.facebook.com/100004249718874/posts/1004837959667852</v>
      </c>
      <c r="H157" t="s">
        <v>6062</v>
      </c>
      <c r="I157" t="s">
        <v>2025</v>
      </c>
      <c r="J157" s="2" t="str">
        <f>HYPERLINK("https://www.facebook.com/100004249718874")</f>
        <v>https://www.facebook.com/100004249718874</v>
      </c>
      <c r="K157">
        <v>3216</v>
      </c>
      <c r="L157" t="s">
        <v>6063</v>
      </c>
      <c r="N157" t="s">
        <v>13</v>
      </c>
      <c r="O157" t="s">
        <v>2025</v>
      </c>
      <c r="P157" s="2" t="str">
        <f>HYPERLINK("https://www.facebook.com/100004249718874")</f>
        <v>https://www.facebook.com/100004249718874</v>
      </c>
      <c r="Q157">
        <v>3216</v>
      </c>
      <c r="R157" t="s">
        <v>6067</v>
      </c>
      <c r="S157" t="s">
        <v>6073</v>
      </c>
    </row>
    <row r="158" spans="1:19" ht="14.25" customHeight="1" x14ac:dyDescent="0.3">
      <c r="A158" t="s">
        <v>629</v>
      </c>
      <c r="B158" t="s">
        <v>1238</v>
      </c>
      <c r="C158" t="s">
        <v>95</v>
      </c>
      <c r="D158" t="s">
        <v>1242</v>
      </c>
      <c r="E158" t="s">
        <v>1243</v>
      </c>
      <c r="F158" t="s">
        <v>6059</v>
      </c>
      <c r="G158" s="2" t="str">
        <f>HYPERLINK("https://www.facebook.com/100001498004908/posts/1705343872858863?comment_id=1705428446183739")</f>
        <v>https://www.facebook.com/100001498004908/posts/1705343872858863?comment_id=1705428446183739</v>
      </c>
      <c r="H158" t="s">
        <v>6062</v>
      </c>
      <c r="I158" t="s">
        <v>1244</v>
      </c>
      <c r="J158" s="2" t="str">
        <f>HYPERLINK("https://www.facebook.com/100001498004908")</f>
        <v>https://www.facebook.com/100001498004908</v>
      </c>
      <c r="K158">
        <v>1838</v>
      </c>
      <c r="L158" t="s">
        <v>6063</v>
      </c>
      <c r="N158" t="s">
        <v>13</v>
      </c>
      <c r="O158" t="s">
        <v>1244</v>
      </c>
      <c r="P158" s="2" t="str">
        <f>HYPERLINK("https://www.facebook.com/100001498004908")</f>
        <v>https://www.facebook.com/100001498004908</v>
      </c>
      <c r="Q158">
        <v>1838</v>
      </c>
      <c r="R158" t="s">
        <v>6067</v>
      </c>
      <c r="S158" t="s">
        <v>6073</v>
      </c>
    </row>
    <row r="159" spans="1:19" ht="14.25" customHeight="1" x14ac:dyDescent="0.3">
      <c r="A159" t="s">
        <v>629</v>
      </c>
      <c r="B159" t="s">
        <v>1857</v>
      </c>
      <c r="C159" t="s">
        <v>95</v>
      </c>
      <c r="D159" t="s">
        <v>370</v>
      </c>
      <c r="E159" t="s">
        <v>371</v>
      </c>
      <c r="F159" t="s">
        <v>6058</v>
      </c>
      <c r="G159" s="2" t="str">
        <f>HYPERLINK("https://www.facebook.com/928591253893251/posts/1661662590586110")</f>
        <v>https://www.facebook.com/928591253893251/posts/1661662590586110</v>
      </c>
      <c r="H159" t="s">
        <v>6062</v>
      </c>
      <c r="I159" t="s">
        <v>1859</v>
      </c>
      <c r="J159" s="2" t="str">
        <f t="shared" ref="J159:J169" si="3">HYPERLINK("https://www.facebook.com/100001746365658")</f>
        <v>https://www.facebook.com/100001746365658</v>
      </c>
      <c r="K159">
        <v>0</v>
      </c>
      <c r="L159" t="s">
        <v>6064</v>
      </c>
      <c r="N159" t="s">
        <v>13</v>
      </c>
      <c r="O159" t="s">
        <v>1552</v>
      </c>
      <c r="P159" s="2" t="str">
        <f>HYPERLINK("https://www.facebook.com/928591253893251")</f>
        <v>https://www.facebook.com/928591253893251</v>
      </c>
      <c r="R159" t="s">
        <v>6067</v>
      </c>
      <c r="S159" t="s">
        <v>6073</v>
      </c>
    </row>
    <row r="160" spans="1:19" ht="14.25" customHeight="1" x14ac:dyDescent="0.3">
      <c r="A160" t="s">
        <v>629</v>
      </c>
      <c r="B160" t="s">
        <v>1857</v>
      </c>
      <c r="C160" t="s">
        <v>95</v>
      </c>
      <c r="D160" t="s">
        <v>370</v>
      </c>
      <c r="E160" t="s">
        <v>371</v>
      </c>
      <c r="F160" t="s">
        <v>6058</v>
      </c>
      <c r="G160" s="2" t="str">
        <f>HYPERLINK("https://www.facebook.com/928591253893251/posts/1617058061695724")</f>
        <v>https://www.facebook.com/928591253893251/posts/1617058061695724</v>
      </c>
      <c r="H160" t="s">
        <v>6062</v>
      </c>
      <c r="I160" t="s">
        <v>1859</v>
      </c>
      <c r="J160" s="2" t="str">
        <f t="shared" si="3"/>
        <v>https://www.facebook.com/100001746365658</v>
      </c>
      <c r="K160">
        <v>0</v>
      </c>
      <c r="L160" t="s">
        <v>6064</v>
      </c>
      <c r="N160" t="s">
        <v>13</v>
      </c>
      <c r="O160" t="s">
        <v>1552</v>
      </c>
      <c r="P160" s="2" t="str">
        <f>HYPERLINK("https://www.facebook.com/928591253893251")</f>
        <v>https://www.facebook.com/928591253893251</v>
      </c>
      <c r="R160" t="s">
        <v>6067</v>
      </c>
      <c r="S160" t="s">
        <v>6073</v>
      </c>
    </row>
    <row r="161" spans="1:19" ht="14.25" customHeight="1" x14ac:dyDescent="0.3">
      <c r="A161" t="s">
        <v>629</v>
      </c>
      <c r="B161" t="s">
        <v>1857</v>
      </c>
      <c r="C161" t="s">
        <v>95</v>
      </c>
      <c r="D161" t="s">
        <v>370</v>
      </c>
      <c r="E161" t="s">
        <v>371</v>
      </c>
      <c r="F161" t="s">
        <v>6058</v>
      </c>
      <c r="G161" s="2" t="str">
        <f>HYPERLINK("https://www.facebook.com/720247374694389/posts/1910650118987436")</f>
        <v>https://www.facebook.com/720247374694389/posts/1910650118987436</v>
      </c>
      <c r="H161" t="s">
        <v>6062</v>
      </c>
      <c r="I161" t="s">
        <v>1859</v>
      </c>
      <c r="J161" s="2" t="str">
        <f t="shared" si="3"/>
        <v>https://www.facebook.com/100001746365658</v>
      </c>
      <c r="K161">
        <v>0</v>
      </c>
      <c r="L161" t="s">
        <v>6064</v>
      </c>
      <c r="N161" t="s">
        <v>13</v>
      </c>
      <c r="O161" t="s">
        <v>1860</v>
      </c>
      <c r="P161" s="2" t="str">
        <f>HYPERLINK("https://www.facebook.com/720247374694389")</f>
        <v>https://www.facebook.com/720247374694389</v>
      </c>
      <c r="R161" t="s">
        <v>6067</v>
      </c>
      <c r="S161" t="s">
        <v>6073</v>
      </c>
    </row>
    <row r="162" spans="1:19" ht="14.25" customHeight="1" x14ac:dyDescent="0.3">
      <c r="A162" t="s">
        <v>629</v>
      </c>
      <c r="B162" t="s">
        <v>1857</v>
      </c>
      <c r="C162" t="s">
        <v>95</v>
      </c>
      <c r="D162" t="s">
        <v>370</v>
      </c>
      <c r="E162" t="s">
        <v>371</v>
      </c>
      <c r="F162" t="s">
        <v>6058</v>
      </c>
      <c r="G162" s="2" t="str">
        <f>HYPERLINK("https://www.facebook.com/720247374694389/posts/1617057981695732")</f>
        <v>https://www.facebook.com/720247374694389/posts/1617057981695732</v>
      </c>
      <c r="H162" t="s">
        <v>6062</v>
      </c>
      <c r="I162" t="s">
        <v>1859</v>
      </c>
      <c r="J162" s="2" t="str">
        <f t="shared" si="3"/>
        <v>https://www.facebook.com/100001746365658</v>
      </c>
      <c r="K162">
        <v>0</v>
      </c>
      <c r="L162" t="s">
        <v>6064</v>
      </c>
      <c r="N162" t="s">
        <v>13</v>
      </c>
      <c r="O162" t="s">
        <v>1860</v>
      </c>
      <c r="P162" s="2" t="str">
        <f>HYPERLINK("https://www.facebook.com/720247374694389")</f>
        <v>https://www.facebook.com/720247374694389</v>
      </c>
      <c r="R162" t="s">
        <v>6067</v>
      </c>
      <c r="S162" t="s">
        <v>6073</v>
      </c>
    </row>
    <row r="163" spans="1:19" ht="14.25" customHeight="1" x14ac:dyDescent="0.3">
      <c r="A163" t="s">
        <v>629</v>
      </c>
      <c r="B163" t="s">
        <v>457</v>
      </c>
      <c r="C163" t="s">
        <v>95</v>
      </c>
      <c r="D163" t="s">
        <v>370</v>
      </c>
      <c r="E163" t="s">
        <v>371</v>
      </c>
      <c r="F163" t="s">
        <v>6058</v>
      </c>
      <c r="G163" s="2" t="str">
        <f>HYPERLINK("https://www.facebook.com/1624792687783900/posts/1999218277008004")</f>
        <v>https://www.facebook.com/1624792687783900/posts/1999218277008004</v>
      </c>
      <c r="H163" t="s">
        <v>6062</v>
      </c>
      <c r="I163" t="s">
        <v>1859</v>
      </c>
      <c r="J163" s="2" t="str">
        <f t="shared" si="3"/>
        <v>https://www.facebook.com/100001746365658</v>
      </c>
      <c r="K163">
        <v>0</v>
      </c>
      <c r="L163" t="s">
        <v>6064</v>
      </c>
      <c r="N163" t="s">
        <v>13</v>
      </c>
      <c r="O163" t="s">
        <v>1886</v>
      </c>
      <c r="P163" s="2" t="str">
        <f>HYPERLINK("https://www.facebook.com/1624792687783900")</f>
        <v>https://www.facebook.com/1624792687783900</v>
      </c>
      <c r="R163" t="s">
        <v>6067</v>
      </c>
      <c r="S163" t="s">
        <v>6073</v>
      </c>
    </row>
    <row r="164" spans="1:19" ht="14.25" customHeight="1" x14ac:dyDescent="0.3">
      <c r="A164" t="s">
        <v>629</v>
      </c>
      <c r="B164" t="s">
        <v>457</v>
      </c>
      <c r="C164" t="s">
        <v>95</v>
      </c>
      <c r="D164" t="s">
        <v>370</v>
      </c>
      <c r="E164" t="s">
        <v>371</v>
      </c>
      <c r="F164" t="s">
        <v>6058</v>
      </c>
      <c r="G164" s="2" t="str">
        <f>HYPERLINK("https://www.facebook.com/1624792687783900/posts/1617055265029337")</f>
        <v>https://www.facebook.com/1624792687783900/posts/1617055265029337</v>
      </c>
      <c r="H164" t="s">
        <v>6062</v>
      </c>
      <c r="I164" t="s">
        <v>1859</v>
      </c>
      <c r="J164" s="2" t="str">
        <f t="shared" si="3"/>
        <v>https://www.facebook.com/100001746365658</v>
      </c>
      <c r="K164">
        <v>0</v>
      </c>
      <c r="L164" t="s">
        <v>6064</v>
      </c>
      <c r="N164" t="s">
        <v>13</v>
      </c>
      <c r="O164" t="s">
        <v>1886</v>
      </c>
      <c r="P164" s="2" t="str">
        <f>HYPERLINK("https://www.facebook.com/1624792687783900")</f>
        <v>https://www.facebook.com/1624792687783900</v>
      </c>
      <c r="R164" t="s">
        <v>6067</v>
      </c>
      <c r="S164" t="s">
        <v>6073</v>
      </c>
    </row>
    <row r="165" spans="1:19" ht="14.25" customHeight="1" x14ac:dyDescent="0.3">
      <c r="A165" t="s">
        <v>629</v>
      </c>
      <c r="B165" t="s">
        <v>457</v>
      </c>
      <c r="C165" t="s">
        <v>95</v>
      </c>
      <c r="D165" t="s">
        <v>370</v>
      </c>
      <c r="E165" t="s">
        <v>371</v>
      </c>
      <c r="F165" t="s">
        <v>6058</v>
      </c>
      <c r="G165" s="2" t="str">
        <f>HYPERLINK("https://www.facebook.com/201978287038053/posts/1617055168362680")</f>
        <v>https://www.facebook.com/201978287038053/posts/1617055168362680</v>
      </c>
      <c r="H165" t="s">
        <v>6062</v>
      </c>
      <c r="I165" t="s">
        <v>1859</v>
      </c>
      <c r="J165" s="2" t="str">
        <f t="shared" si="3"/>
        <v>https://www.facebook.com/100001746365658</v>
      </c>
      <c r="K165">
        <v>0</v>
      </c>
      <c r="L165" t="s">
        <v>6064</v>
      </c>
      <c r="N165" t="s">
        <v>13</v>
      </c>
      <c r="O165" t="s">
        <v>1887</v>
      </c>
      <c r="P165" s="2" t="str">
        <f>HYPERLINK("https://www.facebook.com/201978287038053")</f>
        <v>https://www.facebook.com/201978287038053</v>
      </c>
      <c r="R165" t="s">
        <v>6067</v>
      </c>
      <c r="S165" t="s">
        <v>6073</v>
      </c>
    </row>
    <row r="166" spans="1:19" ht="14.25" customHeight="1" x14ac:dyDescent="0.3">
      <c r="A166" t="s">
        <v>629</v>
      </c>
      <c r="B166" t="s">
        <v>457</v>
      </c>
      <c r="C166" t="s">
        <v>95</v>
      </c>
      <c r="D166" t="s">
        <v>370</v>
      </c>
      <c r="E166" t="s">
        <v>371</v>
      </c>
      <c r="F166" t="s">
        <v>6058</v>
      </c>
      <c r="G166" s="2" t="str">
        <f>HYPERLINK("https://www.facebook.com/807503986021638/posts/1472960806142616")</f>
        <v>https://www.facebook.com/807503986021638/posts/1472960806142616</v>
      </c>
      <c r="H166" t="s">
        <v>6062</v>
      </c>
      <c r="I166" t="s">
        <v>1859</v>
      </c>
      <c r="J166" s="2" t="str">
        <f t="shared" si="3"/>
        <v>https://www.facebook.com/100001746365658</v>
      </c>
      <c r="K166">
        <v>0</v>
      </c>
      <c r="L166" t="s">
        <v>6064</v>
      </c>
      <c r="N166" t="s">
        <v>13</v>
      </c>
      <c r="O166" t="s">
        <v>1358</v>
      </c>
      <c r="P166" s="2" t="str">
        <f>HYPERLINK("https://www.facebook.com/807503986021638")</f>
        <v>https://www.facebook.com/807503986021638</v>
      </c>
      <c r="Q166">
        <v>424</v>
      </c>
      <c r="R166" t="s">
        <v>6067</v>
      </c>
      <c r="S166" t="s">
        <v>6073</v>
      </c>
    </row>
    <row r="167" spans="1:19" ht="14.25" customHeight="1" x14ac:dyDescent="0.3">
      <c r="A167" t="s">
        <v>629</v>
      </c>
      <c r="B167" t="s">
        <v>457</v>
      </c>
      <c r="C167" t="s">
        <v>95</v>
      </c>
      <c r="D167" t="s">
        <v>370</v>
      </c>
      <c r="E167" t="s">
        <v>371</v>
      </c>
      <c r="F167" t="s">
        <v>6058</v>
      </c>
      <c r="G167" s="2" t="str">
        <f>HYPERLINK("https://www.facebook.com/807503986021638/posts/1617054915029372")</f>
        <v>https://www.facebook.com/807503986021638/posts/1617054915029372</v>
      </c>
      <c r="H167" t="s">
        <v>6062</v>
      </c>
      <c r="I167" t="s">
        <v>1859</v>
      </c>
      <c r="J167" s="2" t="str">
        <f t="shared" si="3"/>
        <v>https://www.facebook.com/100001746365658</v>
      </c>
      <c r="K167">
        <v>0</v>
      </c>
      <c r="L167" t="s">
        <v>6064</v>
      </c>
      <c r="N167" t="s">
        <v>13</v>
      </c>
      <c r="O167" t="s">
        <v>1358</v>
      </c>
      <c r="P167" s="2" t="str">
        <f>HYPERLINK("https://www.facebook.com/807503986021638")</f>
        <v>https://www.facebook.com/807503986021638</v>
      </c>
      <c r="Q167">
        <v>424</v>
      </c>
      <c r="R167" t="s">
        <v>6067</v>
      </c>
      <c r="S167" t="s">
        <v>6073</v>
      </c>
    </row>
    <row r="168" spans="1:19" ht="14.25" customHeight="1" x14ac:dyDescent="0.3">
      <c r="A168" t="s">
        <v>629</v>
      </c>
      <c r="B168" t="s">
        <v>457</v>
      </c>
      <c r="C168" t="s">
        <v>95</v>
      </c>
      <c r="D168" t="s">
        <v>370</v>
      </c>
      <c r="E168" t="s">
        <v>371</v>
      </c>
      <c r="F168" t="s">
        <v>6058</v>
      </c>
      <c r="G168" s="2" t="str">
        <f>HYPERLINK("https://www.facebook.com/789821664492893/posts/1617054858362711")</f>
        <v>https://www.facebook.com/789821664492893/posts/1617054858362711</v>
      </c>
      <c r="H168" t="s">
        <v>6062</v>
      </c>
      <c r="I168" t="s">
        <v>1859</v>
      </c>
      <c r="J168" s="2" t="str">
        <f t="shared" si="3"/>
        <v>https://www.facebook.com/100001746365658</v>
      </c>
      <c r="K168">
        <v>0</v>
      </c>
      <c r="L168" t="s">
        <v>6064</v>
      </c>
      <c r="N168" t="s">
        <v>13</v>
      </c>
      <c r="O168" t="s">
        <v>1042</v>
      </c>
      <c r="P168" s="2" t="str">
        <f>HYPERLINK("https://www.facebook.com/789821664492893")</f>
        <v>https://www.facebook.com/789821664492893</v>
      </c>
      <c r="R168" t="s">
        <v>6067</v>
      </c>
      <c r="S168" t="s">
        <v>6073</v>
      </c>
    </row>
    <row r="169" spans="1:19" ht="14.25" customHeight="1" x14ac:dyDescent="0.3">
      <c r="A169" t="s">
        <v>629</v>
      </c>
      <c r="B169" t="s">
        <v>459</v>
      </c>
      <c r="C169" t="s">
        <v>95</v>
      </c>
      <c r="D169" t="s">
        <v>370</v>
      </c>
      <c r="E169" t="s">
        <v>371</v>
      </c>
      <c r="F169" t="s">
        <v>6058</v>
      </c>
      <c r="G169" s="2" t="str">
        <f>HYPERLINK("https://www.facebook.com/100001746365658/posts/1617054285029435")</f>
        <v>https://www.facebook.com/100001746365658/posts/1617054285029435</v>
      </c>
      <c r="H169" t="s">
        <v>6062</v>
      </c>
      <c r="I169" t="s">
        <v>1859</v>
      </c>
      <c r="J169" s="2" t="str">
        <f t="shared" si="3"/>
        <v>https://www.facebook.com/100001746365658</v>
      </c>
      <c r="K169">
        <v>0</v>
      </c>
      <c r="L169" t="s">
        <v>6064</v>
      </c>
      <c r="N169" t="s">
        <v>13</v>
      </c>
      <c r="O169" t="s">
        <v>1859</v>
      </c>
      <c r="P169" s="2" t="str">
        <f>HYPERLINK("https://www.facebook.com/100001746365658")</f>
        <v>https://www.facebook.com/100001746365658</v>
      </c>
      <c r="Q169">
        <v>0</v>
      </c>
      <c r="R169" t="s">
        <v>6067</v>
      </c>
      <c r="S169" t="s">
        <v>6073</v>
      </c>
    </row>
    <row r="170" spans="1:19" ht="14.25" customHeight="1" x14ac:dyDescent="0.3">
      <c r="A170" t="s">
        <v>2225</v>
      </c>
      <c r="B170" t="s">
        <v>2392</v>
      </c>
      <c r="C170" t="s">
        <v>95</v>
      </c>
      <c r="D170" t="s">
        <v>853</v>
      </c>
      <c r="E170" t="s">
        <v>2397</v>
      </c>
      <c r="F170" t="s">
        <v>6059</v>
      </c>
      <c r="G170" s="2" t="str">
        <f>HYPERLINK("https://www.facebook.com/100008934274771/posts/1810262525948206?comment_id=1810297642611361")</f>
        <v>https://www.facebook.com/100008934274771/posts/1810262525948206?comment_id=1810297642611361</v>
      </c>
      <c r="H170" t="s">
        <v>6062</v>
      </c>
      <c r="I170" t="s">
        <v>2398</v>
      </c>
      <c r="J170" s="2" t="str">
        <f>HYPERLINK("https://www.facebook.com/100002372341403")</f>
        <v>https://www.facebook.com/100002372341403</v>
      </c>
      <c r="K170">
        <v>383</v>
      </c>
      <c r="L170" t="s">
        <v>6063</v>
      </c>
      <c r="N170" t="s">
        <v>13</v>
      </c>
      <c r="O170" t="s">
        <v>856</v>
      </c>
      <c r="P170" s="2" t="str">
        <f>HYPERLINK("https://www.facebook.com/100008934274771")</f>
        <v>https://www.facebook.com/100008934274771</v>
      </c>
      <c r="Q170">
        <v>10395</v>
      </c>
      <c r="R170" t="s">
        <v>6067</v>
      </c>
      <c r="S170" t="s">
        <v>6073</v>
      </c>
    </row>
    <row r="171" spans="1:19" ht="14.25" customHeight="1" x14ac:dyDescent="0.3">
      <c r="A171" t="s">
        <v>2225</v>
      </c>
      <c r="B171" t="s">
        <v>162</v>
      </c>
      <c r="C171" t="s">
        <v>95</v>
      </c>
      <c r="D171" t="s">
        <v>3312</v>
      </c>
      <c r="E171" t="s">
        <v>3313</v>
      </c>
      <c r="F171" t="s">
        <v>6056</v>
      </c>
      <c r="G171" s="2" t="str">
        <f>HYPERLINK("https://www.facebook.com/100002697396705/posts/1288279887938579")</f>
        <v>https://www.facebook.com/100002697396705/posts/1288279887938579</v>
      </c>
      <c r="H171" t="s">
        <v>6062</v>
      </c>
      <c r="I171" t="s">
        <v>3314</v>
      </c>
      <c r="J171" s="2" t="str">
        <f>HYPERLINK("https://www.facebook.com/100002697396705")</f>
        <v>https://www.facebook.com/100002697396705</v>
      </c>
      <c r="K171">
        <v>1426</v>
      </c>
      <c r="L171" t="s">
        <v>6063</v>
      </c>
      <c r="N171" t="s">
        <v>13</v>
      </c>
      <c r="O171" t="s">
        <v>3314</v>
      </c>
      <c r="P171" s="2" t="str">
        <f>HYPERLINK("https://www.facebook.com/100002697396705")</f>
        <v>https://www.facebook.com/100002697396705</v>
      </c>
      <c r="Q171">
        <v>1426</v>
      </c>
      <c r="R171" t="s">
        <v>6067</v>
      </c>
      <c r="S171" t="s">
        <v>6073</v>
      </c>
    </row>
    <row r="172" spans="1:19" ht="14.25" customHeight="1" x14ac:dyDescent="0.3">
      <c r="A172" t="s">
        <v>3527</v>
      </c>
      <c r="B172" t="s">
        <v>3980</v>
      </c>
      <c r="C172" t="s">
        <v>95</v>
      </c>
      <c r="D172" t="s">
        <v>2942</v>
      </c>
      <c r="E172" t="s">
        <v>2943</v>
      </c>
      <c r="F172" t="s">
        <v>6058</v>
      </c>
      <c r="G172" s="2" t="str">
        <f>HYPERLINK("https://www.facebook.com/100007037202603/posts/1879208915656997")</f>
        <v>https://www.facebook.com/100007037202603/posts/1879208915656997</v>
      </c>
      <c r="H172" t="s">
        <v>6062</v>
      </c>
      <c r="I172" t="s">
        <v>3981</v>
      </c>
      <c r="J172" s="2" t="str">
        <f>HYPERLINK("https://www.facebook.com/100007037202603")</f>
        <v>https://www.facebook.com/100007037202603</v>
      </c>
      <c r="K172">
        <v>45</v>
      </c>
      <c r="L172" t="s">
        <v>6063</v>
      </c>
      <c r="N172" t="s">
        <v>13</v>
      </c>
      <c r="O172" t="s">
        <v>3981</v>
      </c>
      <c r="P172" s="2" t="str">
        <f>HYPERLINK("https://www.facebook.com/100007037202603")</f>
        <v>https://www.facebook.com/100007037202603</v>
      </c>
      <c r="Q172">
        <v>45</v>
      </c>
      <c r="R172" t="s">
        <v>6067</v>
      </c>
      <c r="S172" t="s">
        <v>6073</v>
      </c>
    </row>
    <row r="173" spans="1:19" ht="14.25" customHeight="1" x14ac:dyDescent="0.3">
      <c r="A173" t="s">
        <v>629</v>
      </c>
      <c r="B173" t="s">
        <v>1124</v>
      </c>
      <c r="C173" t="s">
        <v>95</v>
      </c>
      <c r="D173" t="s">
        <v>10</v>
      </c>
      <c r="E173" t="s">
        <v>1128</v>
      </c>
      <c r="F173" t="s">
        <v>6059</v>
      </c>
      <c r="G173" s="2" t="str">
        <f>HYPERLINK("https://www.facebook.com/762053551/posts/10156366210158552?comment_id=10156366295503552")</f>
        <v>https://www.facebook.com/762053551/posts/10156366210158552?comment_id=10156366295503552</v>
      </c>
      <c r="H173" t="s">
        <v>6062</v>
      </c>
      <c r="I173" t="s">
        <v>1121</v>
      </c>
      <c r="J173" s="2" t="str">
        <f>HYPERLINK("https://www.facebook.com/1640951404")</f>
        <v>https://www.facebook.com/1640951404</v>
      </c>
      <c r="K173">
        <v>0</v>
      </c>
      <c r="L173" t="s">
        <v>6063</v>
      </c>
      <c r="N173" t="s">
        <v>13</v>
      </c>
      <c r="O173" t="s">
        <v>14</v>
      </c>
      <c r="P173" s="2" t="str">
        <f>HYPERLINK("https://www.facebook.com/762053551")</f>
        <v>https://www.facebook.com/762053551</v>
      </c>
      <c r="Q173">
        <v>102347</v>
      </c>
      <c r="R173" t="s">
        <v>6067</v>
      </c>
      <c r="S173" t="s">
        <v>6073</v>
      </c>
    </row>
    <row r="174" spans="1:19" ht="14.25" customHeight="1" x14ac:dyDescent="0.3">
      <c r="A174" t="s">
        <v>629</v>
      </c>
      <c r="B174" t="s">
        <v>1136</v>
      </c>
      <c r="C174" t="s">
        <v>95</v>
      </c>
      <c r="D174" t="s">
        <v>10</v>
      </c>
      <c r="E174" t="s">
        <v>1137</v>
      </c>
      <c r="F174" t="s">
        <v>6059</v>
      </c>
      <c r="G174" s="2" t="str">
        <f>HYPERLINK("https://www.facebook.com/762053551/posts/10156366210158552?comment_id=10156366292858552")</f>
        <v>https://www.facebook.com/762053551/posts/10156366210158552?comment_id=10156366292858552</v>
      </c>
      <c r="H174" t="s">
        <v>6062</v>
      </c>
      <c r="I174" t="s">
        <v>1121</v>
      </c>
      <c r="J174" s="2" t="str">
        <f>HYPERLINK("https://www.facebook.com/1640951404")</f>
        <v>https://www.facebook.com/1640951404</v>
      </c>
      <c r="K174">
        <v>0</v>
      </c>
      <c r="L174" t="s">
        <v>6063</v>
      </c>
      <c r="N174" t="s">
        <v>13</v>
      </c>
      <c r="O174" t="s">
        <v>14</v>
      </c>
      <c r="P174" s="2" t="str">
        <f>HYPERLINK("https://www.facebook.com/762053551")</f>
        <v>https://www.facebook.com/762053551</v>
      </c>
      <c r="Q174">
        <v>102347</v>
      </c>
      <c r="R174" t="s">
        <v>6067</v>
      </c>
      <c r="S174" t="s">
        <v>6073</v>
      </c>
    </row>
    <row r="175" spans="1:19" ht="14.25" customHeight="1" x14ac:dyDescent="0.3">
      <c r="A175" t="s">
        <v>629</v>
      </c>
      <c r="B175" t="s">
        <v>1119</v>
      </c>
      <c r="C175" t="s">
        <v>95</v>
      </c>
      <c r="D175" t="s">
        <v>10</v>
      </c>
      <c r="E175" t="s">
        <v>1120</v>
      </c>
      <c r="F175" t="s">
        <v>6059</v>
      </c>
      <c r="G175" s="2" t="str">
        <f>HYPERLINK("https://www.facebook.com/762053551/posts/10156366210158552?comment_id=10156366303853552")</f>
        <v>https://www.facebook.com/762053551/posts/10156366210158552?comment_id=10156366303853552</v>
      </c>
      <c r="H175" t="s">
        <v>6062</v>
      </c>
      <c r="I175" t="s">
        <v>1121</v>
      </c>
      <c r="J175" s="2" t="str">
        <f>HYPERLINK("https://www.facebook.com/1640951404")</f>
        <v>https://www.facebook.com/1640951404</v>
      </c>
      <c r="K175">
        <v>0</v>
      </c>
      <c r="L175" t="s">
        <v>6063</v>
      </c>
      <c r="N175" t="s">
        <v>13</v>
      </c>
      <c r="O175" t="s">
        <v>14</v>
      </c>
      <c r="P175" s="2" t="str">
        <f>HYPERLINK("https://www.facebook.com/762053551")</f>
        <v>https://www.facebook.com/762053551</v>
      </c>
      <c r="Q175">
        <v>102347</v>
      </c>
      <c r="R175" t="s">
        <v>6067</v>
      </c>
      <c r="S175" t="s">
        <v>6073</v>
      </c>
    </row>
    <row r="176" spans="1:19" ht="14.25" customHeight="1" x14ac:dyDescent="0.3">
      <c r="A176" t="s">
        <v>629</v>
      </c>
      <c r="B176" t="s">
        <v>1932</v>
      </c>
      <c r="C176" t="s">
        <v>95</v>
      </c>
      <c r="D176" t="s">
        <v>370</v>
      </c>
      <c r="E176" t="s">
        <v>371</v>
      </c>
      <c r="F176" t="s">
        <v>6058</v>
      </c>
      <c r="G176" s="2" t="str">
        <f>HYPERLINK("https://www.facebook.com/100002045726254/posts/1623749947703180")</f>
        <v>https://www.facebook.com/100002045726254/posts/1623749947703180</v>
      </c>
      <c r="H176" t="s">
        <v>6062</v>
      </c>
      <c r="I176" t="s">
        <v>1934</v>
      </c>
      <c r="J176" s="2" t="str">
        <f>HYPERLINK("https://www.facebook.com/100002045726254")</f>
        <v>https://www.facebook.com/100002045726254</v>
      </c>
      <c r="K176">
        <v>494</v>
      </c>
      <c r="L176" t="s">
        <v>6063</v>
      </c>
      <c r="N176" t="s">
        <v>13</v>
      </c>
      <c r="O176" t="s">
        <v>1934</v>
      </c>
      <c r="P176" s="2" t="str">
        <f>HYPERLINK("https://www.facebook.com/100002045726254")</f>
        <v>https://www.facebook.com/100002045726254</v>
      </c>
      <c r="Q176">
        <v>494</v>
      </c>
      <c r="R176" t="s">
        <v>6067</v>
      </c>
      <c r="S176" t="s">
        <v>6073</v>
      </c>
    </row>
    <row r="177" spans="1:19" ht="14.25" customHeight="1" x14ac:dyDescent="0.3">
      <c r="A177" t="s">
        <v>4439</v>
      </c>
      <c r="B177" t="s">
        <v>4664</v>
      </c>
      <c r="C177" t="s">
        <v>3538</v>
      </c>
      <c r="D177" t="s">
        <v>4665</v>
      </c>
      <c r="E177" t="s">
        <v>4666</v>
      </c>
      <c r="F177" t="s">
        <v>6056</v>
      </c>
      <c r="G177" s="2" t="str">
        <f>HYPERLINK("https://www.facebook.com/100000678424057/posts/1898400516859211")</f>
        <v>https://www.facebook.com/100000678424057/posts/1898400516859211</v>
      </c>
      <c r="H177" t="s">
        <v>6062</v>
      </c>
      <c r="I177" t="s">
        <v>4667</v>
      </c>
      <c r="J177" s="2" t="str">
        <f>HYPERLINK("https://www.facebook.com/100000678424057")</f>
        <v>https://www.facebook.com/100000678424057</v>
      </c>
      <c r="K177">
        <v>242</v>
      </c>
      <c r="L177" t="s">
        <v>6063</v>
      </c>
      <c r="N177" t="s">
        <v>13</v>
      </c>
      <c r="O177" t="s">
        <v>4667</v>
      </c>
      <c r="P177" s="2" t="str">
        <f>HYPERLINK("https://www.facebook.com/100000678424057")</f>
        <v>https://www.facebook.com/100000678424057</v>
      </c>
      <c r="Q177">
        <v>242</v>
      </c>
      <c r="R177" t="s">
        <v>6067</v>
      </c>
      <c r="S177" t="s">
        <v>6073</v>
      </c>
    </row>
    <row r="178" spans="1:19" ht="14.25" customHeight="1" x14ac:dyDescent="0.3">
      <c r="A178" t="s">
        <v>629</v>
      </c>
      <c r="B178" t="s">
        <v>1490</v>
      </c>
      <c r="C178" t="s">
        <v>95</v>
      </c>
      <c r="D178" t="s">
        <v>690</v>
      </c>
      <c r="E178" t="s">
        <v>1492</v>
      </c>
      <c r="F178" t="s">
        <v>6059</v>
      </c>
      <c r="G178" s="2" t="str">
        <f>HYPERLINK("https://www.facebook.com/278105015535592/posts/1935377959808281?comment_id=1937591436253600")</f>
        <v>https://www.facebook.com/278105015535592/posts/1935377959808281?comment_id=1937591436253600</v>
      </c>
      <c r="H178" t="s">
        <v>6062</v>
      </c>
      <c r="I178" t="s">
        <v>1493</v>
      </c>
      <c r="J178" s="2" t="str">
        <f>HYPERLINK("https://www.facebook.com/100000654073379")</f>
        <v>https://www.facebook.com/100000654073379</v>
      </c>
      <c r="K178">
        <v>8</v>
      </c>
      <c r="L178" t="s">
        <v>6063</v>
      </c>
      <c r="N178" t="s">
        <v>13</v>
      </c>
      <c r="O178" t="s">
        <v>996</v>
      </c>
      <c r="P178" s="2" t="str">
        <f>HYPERLINK("https://www.facebook.com/278105015535592")</f>
        <v>https://www.facebook.com/278105015535592</v>
      </c>
      <c r="Q178">
        <v>4845</v>
      </c>
      <c r="R178" t="s">
        <v>6067</v>
      </c>
      <c r="S178" t="s">
        <v>6073</v>
      </c>
    </row>
    <row r="179" spans="1:19" ht="14.25" customHeight="1" x14ac:dyDescent="0.3">
      <c r="A179" t="s">
        <v>3527</v>
      </c>
      <c r="B179" t="s">
        <v>4201</v>
      </c>
      <c r="C179" t="s">
        <v>95</v>
      </c>
      <c r="D179" t="s">
        <v>690</v>
      </c>
      <c r="E179" t="s">
        <v>4202</v>
      </c>
      <c r="F179" t="s">
        <v>6059</v>
      </c>
      <c r="G179" s="2" t="str">
        <f>HYPERLINK("https://www.facebook.com/278105015535592/posts/1935377959808281?comment_id=1935456709800406")</f>
        <v>https://www.facebook.com/278105015535592/posts/1935377959808281?comment_id=1935456709800406</v>
      </c>
      <c r="H179" t="s">
        <v>6062</v>
      </c>
      <c r="I179" t="s">
        <v>1493</v>
      </c>
      <c r="J179" s="2" t="str">
        <f>HYPERLINK("https://www.facebook.com/100000654073379")</f>
        <v>https://www.facebook.com/100000654073379</v>
      </c>
      <c r="K179">
        <v>8</v>
      </c>
      <c r="L179" t="s">
        <v>6063</v>
      </c>
      <c r="N179" t="s">
        <v>13</v>
      </c>
      <c r="O179" t="s">
        <v>996</v>
      </c>
      <c r="P179" s="2" t="str">
        <f>HYPERLINK("https://www.facebook.com/278105015535592")</f>
        <v>https://www.facebook.com/278105015535592</v>
      </c>
      <c r="Q179">
        <v>4845</v>
      </c>
      <c r="R179" t="s">
        <v>6067</v>
      </c>
      <c r="S179" t="s">
        <v>6073</v>
      </c>
    </row>
    <row r="180" spans="1:19" ht="14.25" customHeight="1" x14ac:dyDescent="0.3">
      <c r="A180" t="s">
        <v>4995</v>
      </c>
      <c r="B180" t="s">
        <v>2039</v>
      </c>
      <c r="C180" t="s">
        <v>3538</v>
      </c>
      <c r="D180" t="s">
        <v>5311</v>
      </c>
      <c r="E180" t="s">
        <v>5346</v>
      </c>
      <c r="F180" t="s">
        <v>6059</v>
      </c>
      <c r="G180" s="2" t="str">
        <f>HYPERLINK("https://www.facebook.com/1529329267308888/posts/2058800057695137?comment_id=2059111664330643")</f>
        <v>https://www.facebook.com/1529329267308888/posts/2058800057695137?comment_id=2059111664330643</v>
      </c>
      <c r="H180" t="s">
        <v>6062</v>
      </c>
      <c r="I180" t="s">
        <v>5347</v>
      </c>
      <c r="J180" s="2" t="str">
        <f>HYPERLINK("https://www.facebook.com/100005749682842")</f>
        <v>https://www.facebook.com/100005749682842</v>
      </c>
      <c r="K180">
        <v>379</v>
      </c>
      <c r="L180" t="s">
        <v>6063</v>
      </c>
      <c r="N180" t="s">
        <v>13</v>
      </c>
      <c r="O180" t="s">
        <v>4471</v>
      </c>
      <c r="P180" s="2" t="str">
        <f>HYPERLINK("https://www.facebook.com/1529329267308888")</f>
        <v>https://www.facebook.com/1529329267308888</v>
      </c>
      <c r="R180" t="s">
        <v>6067</v>
      </c>
      <c r="S180" t="s">
        <v>6073</v>
      </c>
    </row>
    <row r="181" spans="1:19" ht="14.25" customHeight="1" x14ac:dyDescent="0.3">
      <c r="A181" t="s">
        <v>4995</v>
      </c>
      <c r="B181" t="s">
        <v>3149</v>
      </c>
      <c r="C181" t="s">
        <v>3538</v>
      </c>
      <c r="D181" t="s">
        <v>5177</v>
      </c>
      <c r="E181" t="s">
        <v>5178</v>
      </c>
      <c r="F181" t="s">
        <v>6056</v>
      </c>
      <c r="G181" s="2" t="str">
        <f>HYPERLINK("https://www.facebook.com/100004406194709/posts/1026602177496646")</f>
        <v>https://www.facebook.com/100004406194709/posts/1026602177496646</v>
      </c>
      <c r="H181" t="s">
        <v>6062</v>
      </c>
      <c r="I181" t="s">
        <v>5179</v>
      </c>
      <c r="J181" s="2" t="str">
        <f>HYPERLINK("https://www.facebook.com/100004406194709")</f>
        <v>https://www.facebook.com/100004406194709</v>
      </c>
      <c r="K181">
        <v>504</v>
      </c>
      <c r="L181" t="s">
        <v>6063</v>
      </c>
      <c r="N181" t="s">
        <v>13</v>
      </c>
      <c r="O181" t="s">
        <v>5179</v>
      </c>
      <c r="P181" s="2" t="str">
        <f>HYPERLINK("https://www.facebook.com/100004406194709")</f>
        <v>https://www.facebook.com/100004406194709</v>
      </c>
      <c r="Q181">
        <v>504</v>
      </c>
      <c r="R181" t="s">
        <v>6067</v>
      </c>
      <c r="S181" t="s">
        <v>6073</v>
      </c>
    </row>
    <row r="182" spans="1:19" ht="14.25" customHeight="1" x14ac:dyDescent="0.3">
      <c r="A182" t="s">
        <v>4439</v>
      </c>
      <c r="B182" t="s">
        <v>1924</v>
      </c>
      <c r="C182" t="s">
        <v>3538</v>
      </c>
      <c r="D182" t="s">
        <v>4790</v>
      </c>
      <c r="E182" t="s">
        <v>4850</v>
      </c>
      <c r="F182" t="s">
        <v>6059</v>
      </c>
      <c r="G182" s="2" t="str">
        <f>HYPERLINK("https://www.facebook.com/100002206000124/posts/1650484705035047?comment_id=1651356548281196")</f>
        <v>https://www.facebook.com/100002206000124/posts/1650484705035047?comment_id=1651356548281196</v>
      </c>
      <c r="H182" t="s">
        <v>6062</v>
      </c>
      <c r="I182" t="s">
        <v>4793</v>
      </c>
      <c r="J182" s="2" t="str">
        <f>HYPERLINK("https://www.facebook.com/100002206000124")</f>
        <v>https://www.facebook.com/100002206000124</v>
      </c>
      <c r="K182">
        <v>0</v>
      </c>
      <c r="L182" t="s">
        <v>6063</v>
      </c>
      <c r="N182" t="s">
        <v>13</v>
      </c>
      <c r="O182" t="s">
        <v>4793</v>
      </c>
      <c r="P182" s="2" t="str">
        <f>HYPERLINK("https://www.facebook.com/100002206000124")</f>
        <v>https://www.facebook.com/100002206000124</v>
      </c>
      <c r="Q182">
        <v>0</v>
      </c>
      <c r="R182" t="s">
        <v>6067</v>
      </c>
      <c r="S182" t="s">
        <v>6073</v>
      </c>
    </row>
    <row r="183" spans="1:19" ht="14.25" customHeight="1" x14ac:dyDescent="0.3">
      <c r="A183" t="s">
        <v>4995</v>
      </c>
      <c r="B183" t="s">
        <v>5266</v>
      </c>
      <c r="C183" t="s">
        <v>3538</v>
      </c>
      <c r="D183" t="s">
        <v>4790</v>
      </c>
      <c r="E183" t="s">
        <v>5267</v>
      </c>
      <c r="F183" t="s">
        <v>6056</v>
      </c>
      <c r="G183" s="2" t="str">
        <f>HYPERLINK("https://www.facebook.com/100002206000124/posts/1650484705035047")</f>
        <v>https://www.facebook.com/100002206000124/posts/1650484705035047</v>
      </c>
      <c r="H183" t="s">
        <v>6062</v>
      </c>
      <c r="I183" t="s">
        <v>4793</v>
      </c>
      <c r="J183" s="2" t="str">
        <f>HYPERLINK("https://www.facebook.com/100002206000124")</f>
        <v>https://www.facebook.com/100002206000124</v>
      </c>
      <c r="K183">
        <v>0</v>
      </c>
      <c r="L183" t="s">
        <v>6063</v>
      </c>
      <c r="N183" t="s">
        <v>13</v>
      </c>
      <c r="O183" t="s">
        <v>4793</v>
      </c>
      <c r="P183" s="2" t="str">
        <f>HYPERLINK("https://www.facebook.com/100002206000124")</f>
        <v>https://www.facebook.com/100002206000124</v>
      </c>
      <c r="Q183">
        <v>0</v>
      </c>
      <c r="R183" t="s">
        <v>6067</v>
      </c>
      <c r="S183" t="s">
        <v>6073</v>
      </c>
    </row>
    <row r="184" spans="1:19" ht="14.25" customHeight="1" x14ac:dyDescent="0.3">
      <c r="A184" t="s">
        <v>629</v>
      </c>
      <c r="B184" t="s">
        <v>357</v>
      </c>
      <c r="C184" t="s">
        <v>95</v>
      </c>
      <c r="D184" t="s">
        <v>370</v>
      </c>
      <c r="E184" t="s">
        <v>371</v>
      </c>
      <c r="F184" t="s">
        <v>6058</v>
      </c>
      <c r="G184" s="2" t="str">
        <f>HYPERLINK("https://www.facebook.com/100007122453816/posts/2038632436384152")</f>
        <v>https://www.facebook.com/100007122453816/posts/2038632436384152</v>
      </c>
      <c r="H184" t="s">
        <v>6062</v>
      </c>
      <c r="I184" t="s">
        <v>1648</v>
      </c>
      <c r="J184" s="2" t="str">
        <f>HYPERLINK("https://www.facebook.com/100007122453816")</f>
        <v>https://www.facebook.com/100007122453816</v>
      </c>
      <c r="K184">
        <v>615</v>
      </c>
      <c r="L184" t="s">
        <v>6063</v>
      </c>
      <c r="N184" t="s">
        <v>13</v>
      </c>
      <c r="O184" t="s">
        <v>1648</v>
      </c>
      <c r="P184" s="2" t="str">
        <f>HYPERLINK("https://www.facebook.com/100007122453816")</f>
        <v>https://www.facebook.com/100007122453816</v>
      </c>
      <c r="Q184">
        <v>615</v>
      </c>
      <c r="R184" t="s">
        <v>6067</v>
      </c>
    </row>
    <row r="185" spans="1:19" ht="14.25" customHeight="1" x14ac:dyDescent="0.3">
      <c r="A185" t="s">
        <v>629</v>
      </c>
      <c r="B185" t="s">
        <v>1170</v>
      </c>
      <c r="C185" t="s">
        <v>95</v>
      </c>
      <c r="D185" t="s">
        <v>10</v>
      </c>
      <c r="E185" t="s">
        <v>1171</v>
      </c>
      <c r="F185" t="s">
        <v>6059</v>
      </c>
      <c r="G185" s="2" t="str">
        <f>HYPERLINK("https://www.facebook.com/762053551/posts/10156366210158552?comment_id=10156366268348552")</f>
        <v>https://www.facebook.com/762053551/posts/10156366210158552?comment_id=10156366268348552</v>
      </c>
      <c r="H185" t="s">
        <v>6062</v>
      </c>
      <c r="I185" t="s">
        <v>1166</v>
      </c>
      <c r="J185" s="2" t="str">
        <f>HYPERLINK("https://www.facebook.com/100001327821797")</f>
        <v>https://www.facebook.com/100001327821797</v>
      </c>
      <c r="K185">
        <v>405</v>
      </c>
      <c r="L185" t="s">
        <v>6063</v>
      </c>
      <c r="N185" t="s">
        <v>13</v>
      </c>
      <c r="O185" t="s">
        <v>14</v>
      </c>
      <c r="P185" s="2" t="str">
        <f>HYPERLINK("https://www.facebook.com/762053551")</f>
        <v>https://www.facebook.com/762053551</v>
      </c>
      <c r="Q185">
        <v>102347</v>
      </c>
      <c r="R185" t="s">
        <v>6067</v>
      </c>
      <c r="S185" t="s">
        <v>6073</v>
      </c>
    </row>
    <row r="186" spans="1:19" ht="14.25" customHeight="1" x14ac:dyDescent="0.3">
      <c r="A186" t="s">
        <v>629</v>
      </c>
      <c r="B186" t="s">
        <v>1164</v>
      </c>
      <c r="C186" t="s">
        <v>95</v>
      </c>
      <c r="D186" t="s">
        <v>10</v>
      </c>
      <c r="E186" t="s">
        <v>1165</v>
      </c>
      <c r="F186" t="s">
        <v>6059</v>
      </c>
      <c r="G186" s="2" t="str">
        <f>HYPERLINK("https://www.facebook.com/762053551/posts/10156366210158552?comment_id=10156366272658552")</f>
        <v>https://www.facebook.com/762053551/posts/10156366210158552?comment_id=10156366272658552</v>
      </c>
      <c r="H186" t="s">
        <v>6062</v>
      </c>
      <c r="I186" t="s">
        <v>1166</v>
      </c>
      <c r="J186" s="2" t="str">
        <f>HYPERLINK("https://www.facebook.com/100001327821797")</f>
        <v>https://www.facebook.com/100001327821797</v>
      </c>
      <c r="K186">
        <v>405</v>
      </c>
      <c r="L186" t="s">
        <v>6063</v>
      </c>
      <c r="N186" t="s">
        <v>13</v>
      </c>
      <c r="O186" t="s">
        <v>14</v>
      </c>
      <c r="P186" s="2" t="str">
        <f>HYPERLINK("https://www.facebook.com/762053551")</f>
        <v>https://www.facebook.com/762053551</v>
      </c>
      <c r="Q186">
        <v>102347</v>
      </c>
      <c r="R186" t="s">
        <v>6067</v>
      </c>
      <c r="S186" t="s">
        <v>6073</v>
      </c>
    </row>
    <row r="187" spans="1:19" ht="14.25" customHeight="1" x14ac:dyDescent="0.3">
      <c r="A187" t="s">
        <v>629</v>
      </c>
      <c r="B187" t="s">
        <v>1704</v>
      </c>
      <c r="C187" t="s">
        <v>95</v>
      </c>
      <c r="D187" t="s">
        <v>370</v>
      </c>
      <c r="E187" t="s">
        <v>371</v>
      </c>
      <c r="F187" t="s">
        <v>6058</v>
      </c>
      <c r="G187" s="2" t="str">
        <f>HYPERLINK("https://www.facebook.com/100001773126235/posts/1620914214644334")</f>
        <v>https://www.facebook.com/100001773126235/posts/1620914214644334</v>
      </c>
      <c r="H187" t="s">
        <v>6062</v>
      </c>
      <c r="I187" t="s">
        <v>1705</v>
      </c>
      <c r="J187" s="2" t="str">
        <f>HYPERLINK("https://www.facebook.com/100001773126235")</f>
        <v>https://www.facebook.com/100001773126235</v>
      </c>
      <c r="K187">
        <v>79</v>
      </c>
      <c r="L187" t="s">
        <v>6063</v>
      </c>
      <c r="N187" t="s">
        <v>13</v>
      </c>
      <c r="O187" t="s">
        <v>1705</v>
      </c>
      <c r="P187" s="2" t="str">
        <f>HYPERLINK("https://www.facebook.com/100001773126235")</f>
        <v>https://www.facebook.com/100001773126235</v>
      </c>
      <c r="Q187">
        <v>79</v>
      </c>
      <c r="R187" t="s">
        <v>6067</v>
      </c>
      <c r="S187" t="s">
        <v>6073</v>
      </c>
    </row>
    <row r="188" spans="1:19" ht="14.25" customHeight="1" x14ac:dyDescent="0.3">
      <c r="A188" t="s">
        <v>629</v>
      </c>
      <c r="B188" t="s">
        <v>1599</v>
      </c>
      <c r="C188" t="s">
        <v>95</v>
      </c>
      <c r="D188" t="s">
        <v>1601</v>
      </c>
      <c r="E188" t="s">
        <v>1602</v>
      </c>
      <c r="F188" t="s">
        <v>6057</v>
      </c>
      <c r="G188" s="2" t="str">
        <f>HYPERLINK("https://www.facebook.com/1927681680839787/posts/2032030543738233")</f>
        <v>https://www.facebook.com/1927681680839787/posts/2032030543738233</v>
      </c>
      <c r="H188" t="s">
        <v>6062</v>
      </c>
      <c r="I188" t="s">
        <v>1603</v>
      </c>
      <c r="J188" s="2" t="str">
        <f t="shared" ref="J188:J197" si="4">HYPERLINK("https://www.facebook.com/100006810002363")</f>
        <v>https://www.facebook.com/100006810002363</v>
      </c>
      <c r="K188">
        <v>242</v>
      </c>
      <c r="L188" t="s">
        <v>6064</v>
      </c>
      <c r="N188" t="s">
        <v>13</v>
      </c>
      <c r="O188" t="s">
        <v>1604</v>
      </c>
      <c r="P188" s="2" t="str">
        <f>HYPERLINK("https://www.facebook.com/1927681680839787")</f>
        <v>https://www.facebook.com/1927681680839787</v>
      </c>
      <c r="Q188">
        <v>20208</v>
      </c>
      <c r="R188" t="s">
        <v>6067</v>
      </c>
    </row>
    <row r="189" spans="1:19" ht="14.25" customHeight="1" x14ac:dyDescent="0.3">
      <c r="A189" t="s">
        <v>629</v>
      </c>
      <c r="B189" t="s">
        <v>402</v>
      </c>
      <c r="C189" t="s">
        <v>95</v>
      </c>
      <c r="D189" t="s">
        <v>1765</v>
      </c>
      <c r="E189" t="s">
        <v>1766</v>
      </c>
      <c r="F189" t="s">
        <v>6057</v>
      </c>
      <c r="G189" s="2" t="str">
        <f>HYPERLINK("https://www.facebook.com/100006810002363/posts/2115745175329129")</f>
        <v>https://www.facebook.com/100006810002363/posts/2115745175329129</v>
      </c>
      <c r="H189" t="s">
        <v>6062</v>
      </c>
      <c r="I189" t="s">
        <v>1603</v>
      </c>
      <c r="J189" s="2" t="str">
        <f t="shared" si="4"/>
        <v>https://www.facebook.com/100006810002363</v>
      </c>
      <c r="K189">
        <v>242</v>
      </c>
      <c r="L189" t="s">
        <v>6064</v>
      </c>
      <c r="N189" t="s">
        <v>13</v>
      </c>
      <c r="O189" t="s">
        <v>1603</v>
      </c>
      <c r="P189" s="2" t="str">
        <f>HYPERLINK("https://www.facebook.com/100006810002363")</f>
        <v>https://www.facebook.com/100006810002363</v>
      </c>
      <c r="Q189">
        <v>242</v>
      </c>
      <c r="R189" t="s">
        <v>6067</v>
      </c>
    </row>
    <row r="190" spans="1:19" ht="14.25" customHeight="1" x14ac:dyDescent="0.3">
      <c r="A190" t="s">
        <v>2225</v>
      </c>
      <c r="B190" t="s">
        <v>2433</v>
      </c>
      <c r="C190" t="s">
        <v>95</v>
      </c>
      <c r="D190" t="s">
        <v>853</v>
      </c>
      <c r="E190" t="s">
        <v>2442</v>
      </c>
      <c r="F190" t="s">
        <v>6059</v>
      </c>
      <c r="G190" s="2" t="str">
        <f>HYPERLINK("https://www.facebook.com/100008934274771/posts/1810262525948206?comment_id=1810294799278312")</f>
        <v>https://www.facebook.com/100008934274771/posts/1810262525948206?comment_id=1810294799278312</v>
      </c>
      <c r="H190" t="s">
        <v>6062</v>
      </c>
      <c r="I190" t="s">
        <v>1603</v>
      </c>
      <c r="J190" s="2" t="str">
        <f t="shared" si="4"/>
        <v>https://www.facebook.com/100006810002363</v>
      </c>
      <c r="K190">
        <v>242</v>
      </c>
      <c r="L190" t="s">
        <v>6064</v>
      </c>
      <c r="N190" t="s">
        <v>13</v>
      </c>
      <c r="O190" t="s">
        <v>856</v>
      </c>
      <c r="P190" s="2" t="str">
        <f>HYPERLINK("https://www.facebook.com/100008934274771")</f>
        <v>https://www.facebook.com/100008934274771</v>
      </c>
      <c r="Q190">
        <v>10395</v>
      </c>
      <c r="R190" t="s">
        <v>6067</v>
      </c>
      <c r="S190" t="s">
        <v>6073</v>
      </c>
    </row>
    <row r="191" spans="1:19" ht="14.25" customHeight="1" x14ac:dyDescent="0.3">
      <c r="A191" t="s">
        <v>2225</v>
      </c>
      <c r="B191" t="s">
        <v>2494</v>
      </c>
      <c r="C191" t="s">
        <v>95</v>
      </c>
      <c r="D191" t="s">
        <v>853</v>
      </c>
      <c r="E191" t="s">
        <v>2508</v>
      </c>
      <c r="F191" t="s">
        <v>6059</v>
      </c>
      <c r="G191" s="2" t="str">
        <f>HYPERLINK("https://www.facebook.com/100008934274771/posts/1810262525948206?comment_id=1810291815945277")</f>
        <v>https://www.facebook.com/100008934274771/posts/1810262525948206?comment_id=1810291815945277</v>
      </c>
      <c r="H191" t="s">
        <v>6062</v>
      </c>
      <c r="I191" t="s">
        <v>1603</v>
      </c>
      <c r="J191" s="2" t="str">
        <f t="shared" si="4"/>
        <v>https://www.facebook.com/100006810002363</v>
      </c>
      <c r="K191">
        <v>242</v>
      </c>
      <c r="L191" t="s">
        <v>6064</v>
      </c>
      <c r="N191" t="s">
        <v>13</v>
      </c>
      <c r="O191" t="s">
        <v>856</v>
      </c>
      <c r="P191" s="2" t="str">
        <f>HYPERLINK("https://www.facebook.com/100008934274771")</f>
        <v>https://www.facebook.com/100008934274771</v>
      </c>
      <c r="Q191">
        <v>10395</v>
      </c>
      <c r="R191" t="s">
        <v>6067</v>
      </c>
      <c r="S191" t="s">
        <v>6073</v>
      </c>
    </row>
    <row r="192" spans="1:19" ht="14.25" customHeight="1" x14ac:dyDescent="0.3">
      <c r="A192" t="s">
        <v>2225</v>
      </c>
      <c r="B192" t="s">
        <v>720</v>
      </c>
      <c r="C192" t="s">
        <v>95</v>
      </c>
      <c r="D192" t="s">
        <v>544</v>
      </c>
      <c r="E192" t="s">
        <v>545</v>
      </c>
      <c r="F192" t="s">
        <v>6058</v>
      </c>
      <c r="G192" s="2" t="str">
        <f>HYPERLINK("https://www.facebook.com/100006810002363/posts/2115506765352970")</f>
        <v>https://www.facebook.com/100006810002363/posts/2115506765352970</v>
      </c>
      <c r="H192" t="s">
        <v>6062</v>
      </c>
      <c r="I192" t="s">
        <v>1603</v>
      </c>
      <c r="J192" s="2" t="str">
        <f t="shared" si="4"/>
        <v>https://www.facebook.com/100006810002363</v>
      </c>
      <c r="K192">
        <v>242</v>
      </c>
      <c r="L192" t="s">
        <v>6064</v>
      </c>
      <c r="N192" t="s">
        <v>13</v>
      </c>
      <c r="O192" t="s">
        <v>1603</v>
      </c>
      <c r="P192" s="2" t="str">
        <f>HYPERLINK("https://www.facebook.com/100006810002363")</f>
        <v>https://www.facebook.com/100006810002363</v>
      </c>
      <c r="Q192">
        <v>242</v>
      </c>
      <c r="R192" t="s">
        <v>6067</v>
      </c>
    </row>
    <row r="193" spans="1:19" ht="14.25" customHeight="1" x14ac:dyDescent="0.3">
      <c r="A193" t="s">
        <v>629</v>
      </c>
      <c r="B193" t="s">
        <v>413</v>
      </c>
      <c r="C193" t="s">
        <v>95</v>
      </c>
      <c r="D193" t="s">
        <v>370</v>
      </c>
      <c r="E193" t="s">
        <v>371</v>
      </c>
      <c r="F193" t="s">
        <v>6058</v>
      </c>
      <c r="G193" s="2" t="str">
        <f>HYPERLINK("https://www.facebook.com/100006810002363/posts/2115744135329233")</f>
        <v>https://www.facebook.com/100006810002363/posts/2115744135329233</v>
      </c>
      <c r="H193" t="s">
        <v>6062</v>
      </c>
      <c r="I193" t="s">
        <v>1603</v>
      </c>
      <c r="J193" s="2" t="str">
        <f t="shared" si="4"/>
        <v>https://www.facebook.com/100006810002363</v>
      </c>
      <c r="K193">
        <v>242</v>
      </c>
      <c r="L193" t="s">
        <v>6064</v>
      </c>
      <c r="N193" t="s">
        <v>13</v>
      </c>
      <c r="O193" t="s">
        <v>1603</v>
      </c>
      <c r="P193" s="2" t="str">
        <f>HYPERLINK("https://www.facebook.com/100006810002363")</f>
        <v>https://www.facebook.com/100006810002363</v>
      </c>
      <c r="Q193">
        <v>242</v>
      </c>
      <c r="R193" t="s">
        <v>6067</v>
      </c>
    </row>
    <row r="194" spans="1:19" ht="14.25" customHeight="1" x14ac:dyDescent="0.3">
      <c r="A194" t="s">
        <v>2225</v>
      </c>
      <c r="B194" t="s">
        <v>2516</v>
      </c>
      <c r="C194" t="s">
        <v>95</v>
      </c>
      <c r="D194" t="s">
        <v>853</v>
      </c>
      <c r="E194" t="s">
        <v>2518</v>
      </c>
      <c r="F194" t="s">
        <v>6059</v>
      </c>
      <c r="G194" s="2" t="str">
        <f>HYPERLINK("https://www.facebook.com/100008934274771/posts/1810262525948206?comment_id=1810291515945307")</f>
        <v>https://www.facebook.com/100008934274771/posts/1810262525948206?comment_id=1810291515945307</v>
      </c>
      <c r="H194" t="s">
        <v>6062</v>
      </c>
      <c r="I194" t="s">
        <v>1603</v>
      </c>
      <c r="J194" s="2" t="str">
        <f t="shared" si="4"/>
        <v>https://www.facebook.com/100006810002363</v>
      </c>
      <c r="K194">
        <v>242</v>
      </c>
      <c r="L194" t="s">
        <v>6064</v>
      </c>
      <c r="N194" t="s">
        <v>13</v>
      </c>
      <c r="O194" t="s">
        <v>856</v>
      </c>
      <c r="P194" s="2" t="str">
        <f>HYPERLINK("https://www.facebook.com/100008934274771")</f>
        <v>https://www.facebook.com/100008934274771</v>
      </c>
      <c r="Q194">
        <v>10395</v>
      </c>
      <c r="R194" t="s">
        <v>6067</v>
      </c>
      <c r="S194" t="s">
        <v>6073</v>
      </c>
    </row>
    <row r="195" spans="1:19" ht="14.25" customHeight="1" x14ac:dyDescent="0.3">
      <c r="A195" t="s">
        <v>2225</v>
      </c>
      <c r="B195" t="s">
        <v>2433</v>
      </c>
      <c r="C195" t="s">
        <v>95</v>
      </c>
      <c r="D195" t="s">
        <v>853</v>
      </c>
      <c r="E195" t="s">
        <v>2438</v>
      </c>
      <c r="F195" t="s">
        <v>6059</v>
      </c>
      <c r="G195" s="2" t="str">
        <f>HYPERLINK("https://www.facebook.com/100008934274771/posts/1810262525948206?comment_id=1810295132611612")</f>
        <v>https://www.facebook.com/100008934274771/posts/1810262525948206?comment_id=1810295132611612</v>
      </c>
      <c r="H195" t="s">
        <v>6062</v>
      </c>
      <c r="I195" t="s">
        <v>1603</v>
      </c>
      <c r="J195" s="2" t="str">
        <f t="shared" si="4"/>
        <v>https://www.facebook.com/100006810002363</v>
      </c>
      <c r="K195">
        <v>242</v>
      </c>
      <c r="L195" t="s">
        <v>6064</v>
      </c>
      <c r="N195" t="s">
        <v>13</v>
      </c>
      <c r="O195" t="s">
        <v>856</v>
      </c>
      <c r="P195" s="2" t="str">
        <f>HYPERLINK("https://www.facebook.com/100008934274771")</f>
        <v>https://www.facebook.com/100008934274771</v>
      </c>
      <c r="Q195">
        <v>10395</v>
      </c>
      <c r="R195" t="s">
        <v>6067</v>
      </c>
      <c r="S195" t="s">
        <v>6073</v>
      </c>
    </row>
    <row r="196" spans="1:19" ht="14.25" customHeight="1" x14ac:dyDescent="0.3">
      <c r="A196" t="s">
        <v>2225</v>
      </c>
      <c r="B196" t="s">
        <v>728</v>
      </c>
      <c r="C196" t="s">
        <v>95</v>
      </c>
      <c r="D196" t="s">
        <v>853</v>
      </c>
      <c r="E196" t="s">
        <v>2462</v>
      </c>
      <c r="F196" t="s">
        <v>6059</v>
      </c>
      <c r="G196" s="2" t="str">
        <f>HYPERLINK("https://www.facebook.com/100008934274771/posts/1810262525948206?comment_id=1810293642611761")</f>
        <v>https://www.facebook.com/100008934274771/posts/1810262525948206?comment_id=1810293642611761</v>
      </c>
      <c r="H196" t="s">
        <v>6062</v>
      </c>
      <c r="I196" t="s">
        <v>1603</v>
      </c>
      <c r="J196" s="2" t="str">
        <f t="shared" si="4"/>
        <v>https://www.facebook.com/100006810002363</v>
      </c>
      <c r="K196">
        <v>242</v>
      </c>
      <c r="L196" t="s">
        <v>6064</v>
      </c>
      <c r="N196" t="s">
        <v>13</v>
      </c>
      <c r="O196" t="s">
        <v>856</v>
      </c>
      <c r="P196" s="2" t="str">
        <f>HYPERLINK("https://www.facebook.com/100008934274771")</f>
        <v>https://www.facebook.com/100008934274771</v>
      </c>
      <c r="Q196">
        <v>10395</v>
      </c>
      <c r="R196" t="s">
        <v>6067</v>
      </c>
      <c r="S196" t="s">
        <v>6073</v>
      </c>
    </row>
    <row r="197" spans="1:19" ht="14.25" customHeight="1" x14ac:dyDescent="0.3">
      <c r="A197" t="s">
        <v>2225</v>
      </c>
      <c r="B197" t="s">
        <v>728</v>
      </c>
      <c r="C197" t="s">
        <v>95</v>
      </c>
      <c r="D197" t="s">
        <v>853</v>
      </c>
      <c r="E197" t="s">
        <v>2458</v>
      </c>
      <c r="F197" t="s">
        <v>6059</v>
      </c>
      <c r="G197" s="2" t="str">
        <f>HYPERLINK("https://www.facebook.com/100008934274771/posts/1810262525948206?comment_id=1810293952611730")</f>
        <v>https://www.facebook.com/100008934274771/posts/1810262525948206?comment_id=1810293952611730</v>
      </c>
      <c r="H197" t="s">
        <v>6062</v>
      </c>
      <c r="I197" t="s">
        <v>1603</v>
      </c>
      <c r="J197" s="2" t="str">
        <f t="shared" si="4"/>
        <v>https://www.facebook.com/100006810002363</v>
      </c>
      <c r="K197">
        <v>242</v>
      </c>
      <c r="L197" t="s">
        <v>6064</v>
      </c>
      <c r="N197" t="s">
        <v>13</v>
      </c>
      <c r="O197" t="s">
        <v>856</v>
      </c>
      <c r="P197" s="2" t="str">
        <f>HYPERLINK("https://www.facebook.com/100008934274771")</f>
        <v>https://www.facebook.com/100008934274771</v>
      </c>
      <c r="Q197">
        <v>10395</v>
      </c>
      <c r="R197" t="s">
        <v>6067</v>
      </c>
      <c r="S197" t="s">
        <v>6073</v>
      </c>
    </row>
    <row r="198" spans="1:19" ht="14.25" customHeight="1" x14ac:dyDescent="0.3">
      <c r="A198" t="s">
        <v>2225</v>
      </c>
      <c r="B198" t="s">
        <v>2556</v>
      </c>
      <c r="C198" t="s">
        <v>95</v>
      </c>
      <c r="D198" t="s">
        <v>544</v>
      </c>
      <c r="E198" t="s">
        <v>545</v>
      </c>
      <c r="F198" t="s">
        <v>6058</v>
      </c>
      <c r="G198" s="2" t="str">
        <f>HYPERLINK("https://www.facebook.com/100003884634029/posts/1089725004500310")</f>
        <v>https://www.facebook.com/100003884634029/posts/1089725004500310</v>
      </c>
      <c r="H198" t="s">
        <v>6062</v>
      </c>
      <c r="I198" t="s">
        <v>2561</v>
      </c>
      <c r="J198" s="2" t="str">
        <f>HYPERLINK("https://www.facebook.com/100003884634029")</f>
        <v>https://www.facebook.com/100003884634029</v>
      </c>
      <c r="K198">
        <v>387</v>
      </c>
      <c r="L198" t="s">
        <v>6063</v>
      </c>
      <c r="N198" t="s">
        <v>13</v>
      </c>
      <c r="O198" t="s">
        <v>2561</v>
      </c>
      <c r="P198" s="2" t="str">
        <f>HYPERLINK("https://www.facebook.com/100003884634029")</f>
        <v>https://www.facebook.com/100003884634029</v>
      </c>
      <c r="Q198">
        <v>387</v>
      </c>
      <c r="R198" t="s">
        <v>6067</v>
      </c>
      <c r="S198" t="s">
        <v>6073</v>
      </c>
    </row>
    <row r="199" spans="1:19" ht="14.25" customHeight="1" x14ac:dyDescent="0.3">
      <c r="A199" t="s">
        <v>5409</v>
      </c>
      <c r="B199" t="s">
        <v>2164</v>
      </c>
      <c r="C199" t="s">
        <v>3538</v>
      </c>
      <c r="D199" t="s">
        <v>3780</v>
      </c>
      <c r="E199" t="s">
        <v>3781</v>
      </c>
      <c r="F199" t="s">
        <v>6058</v>
      </c>
      <c r="G199" s="2" t="str">
        <f>HYPERLINK("https://www.facebook.com/100005440128836/posts/820967748094555")</f>
        <v>https://www.facebook.com/100005440128836/posts/820967748094555</v>
      </c>
      <c r="H199" t="s">
        <v>6062</v>
      </c>
      <c r="I199" t="s">
        <v>6014</v>
      </c>
      <c r="J199" s="2" t="str">
        <f>HYPERLINK("https://www.facebook.com/100005440128836")</f>
        <v>https://www.facebook.com/100005440128836</v>
      </c>
      <c r="K199">
        <v>0</v>
      </c>
      <c r="L199" t="s">
        <v>6063</v>
      </c>
      <c r="N199" t="s">
        <v>13</v>
      </c>
      <c r="O199" t="s">
        <v>6014</v>
      </c>
      <c r="P199" s="2" t="str">
        <f>HYPERLINK("https://www.facebook.com/100005440128836")</f>
        <v>https://www.facebook.com/100005440128836</v>
      </c>
      <c r="Q199">
        <v>0</v>
      </c>
      <c r="R199" t="s">
        <v>6067</v>
      </c>
      <c r="S199" t="s">
        <v>6073</v>
      </c>
    </row>
    <row r="200" spans="1:19" ht="14.25" customHeight="1" x14ac:dyDescent="0.3">
      <c r="A200" t="s">
        <v>5409</v>
      </c>
      <c r="B200" t="s">
        <v>585</v>
      </c>
      <c r="C200" t="s">
        <v>3538</v>
      </c>
      <c r="D200" t="s">
        <v>3780</v>
      </c>
      <c r="E200" t="s">
        <v>4672</v>
      </c>
      <c r="F200" t="s">
        <v>6058</v>
      </c>
      <c r="G200" s="2" t="str">
        <f>HYPERLINK("https://www.facebook.com/100005440128836/posts/820967801427883")</f>
        <v>https://www.facebook.com/100005440128836/posts/820967801427883</v>
      </c>
      <c r="H200" t="s">
        <v>6062</v>
      </c>
      <c r="I200" t="s">
        <v>6014</v>
      </c>
      <c r="J200" s="2" t="str">
        <f>HYPERLINK("https://www.facebook.com/100005440128836")</f>
        <v>https://www.facebook.com/100005440128836</v>
      </c>
      <c r="K200">
        <v>0</v>
      </c>
      <c r="L200" t="s">
        <v>6063</v>
      </c>
      <c r="N200" t="s">
        <v>13</v>
      </c>
      <c r="O200" t="s">
        <v>6014</v>
      </c>
      <c r="P200" s="2" t="str">
        <f>HYPERLINK("https://www.facebook.com/100005440128836")</f>
        <v>https://www.facebook.com/100005440128836</v>
      </c>
      <c r="Q200">
        <v>0</v>
      </c>
      <c r="R200" t="s">
        <v>6067</v>
      </c>
      <c r="S200" t="s">
        <v>6073</v>
      </c>
    </row>
    <row r="201" spans="1:19" ht="14.25" customHeight="1" x14ac:dyDescent="0.3">
      <c r="A201" t="s">
        <v>4439</v>
      </c>
      <c r="B201" t="s">
        <v>4609</v>
      </c>
      <c r="C201" t="s">
        <v>3538</v>
      </c>
      <c r="D201" t="s">
        <v>4610</v>
      </c>
      <c r="E201" t="s">
        <v>4611</v>
      </c>
      <c r="F201" t="s">
        <v>6056</v>
      </c>
      <c r="G201" s="2" t="str">
        <f>HYPERLINK("https://www.facebook.com/1005462221/posts/10213083500934588")</f>
        <v>https://www.facebook.com/1005462221/posts/10213083500934588</v>
      </c>
      <c r="H201" t="s">
        <v>6062</v>
      </c>
      <c r="I201" t="s">
        <v>4612</v>
      </c>
      <c r="J201" s="2" t="str">
        <f>HYPERLINK("https://www.facebook.com/1005462221")</f>
        <v>https://www.facebook.com/1005462221</v>
      </c>
      <c r="K201">
        <v>158</v>
      </c>
      <c r="L201" t="s">
        <v>6063</v>
      </c>
      <c r="N201" t="s">
        <v>13</v>
      </c>
      <c r="O201" t="s">
        <v>4612</v>
      </c>
      <c r="P201" s="2" t="str">
        <f>HYPERLINK("https://www.facebook.com/1005462221")</f>
        <v>https://www.facebook.com/1005462221</v>
      </c>
      <c r="Q201">
        <v>158</v>
      </c>
      <c r="R201" t="s">
        <v>6067</v>
      </c>
      <c r="S201" t="s">
        <v>6073</v>
      </c>
    </row>
    <row r="202" spans="1:19" ht="14.25" customHeight="1" x14ac:dyDescent="0.3">
      <c r="A202" t="s">
        <v>5409</v>
      </c>
      <c r="B202" t="s">
        <v>630</v>
      </c>
      <c r="C202" t="s">
        <v>3538</v>
      </c>
      <c r="D202" t="s">
        <v>5311</v>
      </c>
      <c r="E202" t="s">
        <v>5410</v>
      </c>
      <c r="F202" t="s">
        <v>6059</v>
      </c>
      <c r="G202" s="2" t="str">
        <f>HYPERLINK("https://www.facebook.com/1529329267308888/posts/2058800057695137?comment_id=2058937737681369")</f>
        <v>https://www.facebook.com/1529329267308888/posts/2058800057695137?comment_id=2058937737681369</v>
      </c>
      <c r="H202" t="s">
        <v>6062</v>
      </c>
      <c r="I202" t="s">
        <v>5411</v>
      </c>
      <c r="J202" s="2" t="str">
        <f>HYPERLINK("https://www.facebook.com/1747789717")</f>
        <v>https://www.facebook.com/1747789717</v>
      </c>
      <c r="K202">
        <v>1119</v>
      </c>
      <c r="L202" t="s">
        <v>6063</v>
      </c>
      <c r="N202" t="s">
        <v>13</v>
      </c>
      <c r="O202" t="s">
        <v>4471</v>
      </c>
      <c r="P202" s="2" t="str">
        <f>HYPERLINK("https://www.facebook.com/1529329267308888")</f>
        <v>https://www.facebook.com/1529329267308888</v>
      </c>
      <c r="R202" t="s">
        <v>6067</v>
      </c>
      <c r="S202" t="s">
        <v>6073</v>
      </c>
    </row>
    <row r="203" spans="1:19" ht="14.25" customHeight="1" x14ac:dyDescent="0.3">
      <c r="A203" t="s">
        <v>2225</v>
      </c>
      <c r="B203" t="s">
        <v>2781</v>
      </c>
      <c r="C203" t="s">
        <v>95</v>
      </c>
      <c r="D203" t="s">
        <v>544</v>
      </c>
      <c r="E203" t="s">
        <v>545</v>
      </c>
      <c r="F203" t="s">
        <v>6058</v>
      </c>
      <c r="G203" s="2" t="str">
        <f>HYPERLINK("https://www.facebook.com/100003469352385/posts/1568472739945023")</f>
        <v>https://www.facebook.com/100003469352385/posts/1568472739945023</v>
      </c>
      <c r="H203" t="s">
        <v>6062</v>
      </c>
      <c r="I203" t="s">
        <v>2782</v>
      </c>
      <c r="J203" s="2" t="str">
        <f>HYPERLINK("https://www.facebook.com/100003469352385")</f>
        <v>https://www.facebook.com/100003469352385</v>
      </c>
      <c r="K203">
        <v>54</v>
      </c>
      <c r="L203" t="s">
        <v>6063</v>
      </c>
      <c r="N203" t="s">
        <v>13</v>
      </c>
      <c r="O203" t="s">
        <v>2782</v>
      </c>
      <c r="P203" s="2" t="str">
        <f>HYPERLINK("https://www.facebook.com/100003469352385")</f>
        <v>https://www.facebook.com/100003469352385</v>
      </c>
      <c r="Q203">
        <v>54</v>
      </c>
      <c r="R203" t="s">
        <v>6067</v>
      </c>
      <c r="S203" t="s">
        <v>6073</v>
      </c>
    </row>
    <row r="204" spans="1:19" ht="14.25" customHeight="1" x14ac:dyDescent="0.3">
      <c r="A204" t="s">
        <v>629</v>
      </c>
      <c r="B204" t="s">
        <v>1707</v>
      </c>
      <c r="C204" t="s">
        <v>95</v>
      </c>
      <c r="D204" t="s">
        <v>370</v>
      </c>
      <c r="E204" t="s">
        <v>371</v>
      </c>
      <c r="F204" t="s">
        <v>6058</v>
      </c>
      <c r="G204" s="2" t="str">
        <f>HYPERLINK("https://www.facebook.com/100008234106854/posts/2070218456595938")</f>
        <v>https://www.facebook.com/100008234106854/posts/2070218456595938</v>
      </c>
      <c r="H204" t="s">
        <v>6062</v>
      </c>
      <c r="I204" t="s">
        <v>1709</v>
      </c>
      <c r="J204" s="2" t="str">
        <f>HYPERLINK("https://www.facebook.com/100008234106854")</f>
        <v>https://www.facebook.com/100008234106854</v>
      </c>
      <c r="K204">
        <v>745</v>
      </c>
      <c r="L204" t="s">
        <v>6064</v>
      </c>
      <c r="N204" t="s">
        <v>13</v>
      </c>
      <c r="O204" t="s">
        <v>1709</v>
      </c>
      <c r="P204" s="2" t="str">
        <f>HYPERLINK("https://www.facebook.com/100008234106854")</f>
        <v>https://www.facebook.com/100008234106854</v>
      </c>
      <c r="Q204">
        <v>745</v>
      </c>
      <c r="R204" t="s">
        <v>6067</v>
      </c>
      <c r="S204" t="s">
        <v>6073</v>
      </c>
    </row>
    <row r="205" spans="1:19" ht="14.25" customHeight="1" x14ac:dyDescent="0.3">
      <c r="A205" t="s">
        <v>629</v>
      </c>
      <c r="B205" t="s">
        <v>283</v>
      </c>
      <c r="C205" t="s">
        <v>95</v>
      </c>
      <c r="D205" t="s">
        <v>370</v>
      </c>
      <c r="E205" t="s">
        <v>371</v>
      </c>
      <c r="F205" t="s">
        <v>6058</v>
      </c>
      <c r="G205" s="2" t="str">
        <f>HYPERLINK("https://www.facebook.com/100010329039778/posts/610651579289138")</f>
        <v>https://www.facebook.com/100010329039778/posts/610651579289138</v>
      </c>
      <c r="H205" t="s">
        <v>6062</v>
      </c>
      <c r="I205" t="s">
        <v>1506</v>
      </c>
      <c r="J205" s="2" t="str">
        <f>HYPERLINK("https://www.facebook.com/100010329039778")</f>
        <v>https://www.facebook.com/100010329039778</v>
      </c>
      <c r="K205">
        <v>352</v>
      </c>
      <c r="L205" t="s">
        <v>6064</v>
      </c>
      <c r="N205" t="s">
        <v>13</v>
      </c>
      <c r="O205" t="s">
        <v>1506</v>
      </c>
      <c r="P205" s="2" t="str">
        <f>HYPERLINK("https://www.facebook.com/100010329039778")</f>
        <v>https://www.facebook.com/100010329039778</v>
      </c>
      <c r="Q205">
        <v>352</v>
      </c>
      <c r="R205" t="s">
        <v>6067</v>
      </c>
      <c r="S205" t="s">
        <v>6108</v>
      </c>
    </row>
    <row r="206" spans="1:19" ht="14.25" customHeight="1" x14ac:dyDescent="0.3">
      <c r="A206" t="s">
        <v>3527</v>
      </c>
      <c r="B206" t="s">
        <v>1610</v>
      </c>
      <c r="C206" t="s">
        <v>3538</v>
      </c>
      <c r="D206" t="s">
        <v>2942</v>
      </c>
      <c r="E206" t="s">
        <v>2943</v>
      </c>
      <c r="F206" t="s">
        <v>6058</v>
      </c>
      <c r="G206" s="2" t="str">
        <f>HYPERLINK("https://www.facebook.com/100004752461251/posts/978559692312437")</f>
        <v>https://www.facebook.com/100004752461251/posts/978559692312437</v>
      </c>
      <c r="H206" t="s">
        <v>6062</v>
      </c>
      <c r="I206" t="s">
        <v>4297</v>
      </c>
      <c r="J206" s="2" t="str">
        <f>HYPERLINK("https://www.facebook.com/100004752461251")</f>
        <v>https://www.facebook.com/100004752461251</v>
      </c>
      <c r="K206">
        <v>1068</v>
      </c>
      <c r="L206" t="s">
        <v>6064</v>
      </c>
      <c r="N206" t="s">
        <v>13</v>
      </c>
      <c r="O206" t="s">
        <v>4297</v>
      </c>
      <c r="P206" s="2" t="str">
        <f>HYPERLINK("https://www.facebook.com/100004752461251")</f>
        <v>https://www.facebook.com/100004752461251</v>
      </c>
      <c r="Q206">
        <v>1068</v>
      </c>
      <c r="R206" t="s">
        <v>6067</v>
      </c>
      <c r="S206" t="s">
        <v>6073</v>
      </c>
    </row>
    <row r="207" spans="1:19" ht="14.25" customHeight="1" x14ac:dyDescent="0.3">
      <c r="A207" t="s">
        <v>4995</v>
      </c>
      <c r="B207" t="s">
        <v>3908</v>
      </c>
      <c r="C207" t="s">
        <v>3538</v>
      </c>
      <c r="D207" t="s">
        <v>5113</v>
      </c>
      <c r="E207" t="s">
        <v>5114</v>
      </c>
      <c r="F207" t="s">
        <v>6059</v>
      </c>
      <c r="G207" s="2" t="str">
        <f>HYPERLINK("https://www.facebook.com/100002545728016/posts/1660681680693340?comment_id=1660848984009943")</f>
        <v>https://www.facebook.com/100002545728016/posts/1660681680693340?comment_id=1660848984009943</v>
      </c>
      <c r="H207" t="s">
        <v>6062</v>
      </c>
      <c r="I207" t="s">
        <v>5115</v>
      </c>
      <c r="J207" s="2" t="str">
        <f>HYPERLINK("https://www.facebook.com/1841461554")</f>
        <v>https://www.facebook.com/1841461554</v>
      </c>
      <c r="K207">
        <v>144</v>
      </c>
      <c r="L207" t="s">
        <v>6064</v>
      </c>
      <c r="N207" t="s">
        <v>13</v>
      </c>
      <c r="O207" t="s">
        <v>5116</v>
      </c>
      <c r="P207" s="2" t="str">
        <f>HYPERLINK("https://www.facebook.com/100002545728016")</f>
        <v>https://www.facebook.com/100002545728016</v>
      </c>
      <c r="Q207">
        <v>163</v>
      </c>
      <c r="R207" t="s">
        <v>6067</v>
      </c>
      <c r="S207" t="s">
        <v>6073</v>
      </c>
    </row>
    <row r="208" spans="1:19" ht="14.25" customHeight="1" x14ac:dyDescent="0.3">
      <c r="A208" t="s">
        <v>629</v>
      </c>
      <c r="B208" t="s">
        <v>1744</v>
      </c>
      <c r="C208" t="s">
        <v>95</v>
      </c>
      <c r="D208" t="s">
        <v>1745</v>
      </c>
      <c r="E208" t="s">
        <v>1746</v>
      </c>
      <c r="F208" t="s">
        <v>6057</v>
      </c>
      <c r="G208" s="2" t="str">
        <f>HYPERLINK("https://www.facebook.com/100005070429327/posts/897700137075659")</f>
        <v>https://www.facebook.com/100005070429327/posts/897700137075659</v>
      </c>
      <c r="H208" t="s">
        <v>6062</v>
      </c>
      <c r="I208" t="s">
        <v>1747</v>
      </c>
      <c r="J208" s="2" t="str">
        <f>HYPERLINK("https://www.facebook.com/100005070429327")</f>
        <v>https://www.facebook.com/100005070429327</v>
      </c>
      <c r="K208">
        <v>54</v>
      </c>
      <c r="L208" t="s">
        <v>6064</v>
      </c>
      <c r="N208" t="s">
        <v>13</v>
      </c>
      <c r="O208" t="s">
        <v>1747</v>
      </c>
      <c r="P208" s="2" t="str">
        <f>HYPERLINK("https://www.facebook.com/100005070429327")</f>
        <v>https://www.facebook.com/100005070429327</v>
      </c>
      <c r="Q208">
        <v>54</v>
      </c>
      <c r="R208" t="s">
        <v>6067</v>
      </c>
      <c r="S208" t="s">
        <v>6073</v>
      </c>
    </row>
    <row r="209" spans="1:19" ht="14.25" customHeight="1" x14ac:dyDescent="0.3">
      <c r="A209" t="s">
        <v>2225</v>
      </c>
      <c r="B209" t="s">
        <v>780</v>
      </c>
      <c r="C209" t="s">
        <v>95</v>
      </c>
      <c r="D209" t="s">
        <v>1056</v>
      </c>
      <c r="E209" t="s">
        <v>2054</v>
      </c>
      <c r="F209" t="s">
        <v>6058</v>
      </c>
      <c r="G209" s="2" t="str">
        <f>HYPERLINK("https://www.facebook.com/100000683193412/posts/1818532548179501")</f>
        <v>https://www.facebook.com/100000683193412/posts/1818532548179501</v>
      </c>
      <c r="H209" t="s">
        <v>6062</v>
      </c>
      <c r="I209" t="s">
        <v>2909</v>
      </c>
      <c r="J209" s="2" t="str">
        <f>HYPERLINK("https://www.facebook.com/100000683193412")</f>
        <v>https://www.facebook.com/100000683193412</v>
      </c>
      <c r="K209">
        <v>834</v>
      </c>
      <c r="L209" t="s">
        <v>6064</v>
      </c>
      <c r="N209" t="s">
        <v>13</v>
      </c>
      <c r="O209" t="s">
        <v>2909</v>
      </c>
      <c r="P209" s="2" t="str">
        <f>HYPERLINK("https://www.facebook.com/100000683193412")</f>
        <v>https://www.facebook.com/100000683193412</v>
      </c>
      <c r="Q209">
        <v>834</v>
      </c>
      <c r="R209" t="s">
        <v>6067</v>
      </c>
    </row>
    <row r="210" spans="1:19" ht="14.25" customHeight="1" x14ac:dyDescent="0.3">
      <c r="A210" t="s">
        <v>629</v>
      </c>
      <c r="B210" t="s">
        <v>1808</v>
      </c>
      <c r="C210" t="s">
        <v>95</v>
      </c>
      <c r="D210" t="s">
        <v>370</v>
      </c>
      <c r="E210" t="s">
        <v>371</v>
      </c>
      <c r="F210" t="s">
        <v>6058</v>
      </c>
      <c r="G210" s="2" t="str">
        <f>HYPERLINK("https://www.facebook.com/100000583030330/posts/2065048450191236")</f>
        <v>https://www.facebook.com/100000583030330/posts/2065048450191236</v>
      </c>
      <c r="H210" t="s">
        <v>6062</v>
      </c>
      <c r="I210" t="s">
        <v>1809</v>
      </c>
      <c r="J210" s="2" t="str">
        <f>HYPERLINK("https://www.facebook.com/100000583030330")</f>
        <v>https://www.facebook.com/100000583030330</v>
      </c>
      <c r="K210">
        <v>4919</v>
      </c>
      <c r="L210" t="s">
        <v>6064</v>
      </c>
      <c r="N210" t="s">
        <v>13</v>
      </c>
      <c r="O210" t="s">
        <v>1809</v>
      </c>
      <c r="P210" s="2" t="str">
        <f>HYPERLINK("https://www.facebook.com/100000583030330")</f>
        <v>https://www.facebook.com/100000583030330</v>
      </c>
      <c r="Q210">
        <v>4919</v>
      </c>
      <c r="R210" t="s">
        <v>6067</v>
      </c>
    </row>
    <row r="211" spans="1:19" ht="14.25" customHeight="1" x14ac:dyDescent="0.3">
      <c r="A211" t="s">
        <v>629</v>
      </c>
      <c r="B211" t="s">
        <v>457</v>
      </c>
      <c r="C211" t="s">
        <v>95</v>
      </c>
      <c r="D211" t="s">
        <v>370</v>
      </c>
      <c r="E211" t="s">
        <v>371</v>
      </c>
      <c r="F211" t="s">
        <v>6058</v>
      </c>
      <c r="G211" s="2" t="str">
        <f>HYPERLINK("https://www.facebook.com/1042580042471260/posts/234072510473637")</f>
        <v>https://www.facebook.com/1042580042471260/posts/234072510473637</v>
      </c>
      <c r="H211" t="s">
        <v>6062</v>
      </c>
      <c r="I211" t="s">
        <v>1882</v>
      </c>
      <c r="J211" s="2" t="str">
        <f>HYPERLINK("https://www.facebook.com/100016126686569")</f>
        <v>https://www.facebook.com/100016126686569</v>
      </c>
      <c r="K211">
        <v>0</v>
      </c>
      <c r="L211" t="s">
        <v>6064</v>
      </c>
      <c r="N211" t="s">
        <v>13</v>
      </c>
      <c r="O211" t="s">
        <v>1883</v>
      </c>
      <c r="P211" s="2" t="str">
        <f>HYPERLINK("https://www.facebook.com/1042580042471260")</f>
        <v>https://www.facebook.com/1042580042471260</v>
      </c>
      <c r="R211" t="s">
        <v>6067</v>
      </c>
      <c r="S211" t="s">
        <v>6087</v>
      </c>
    </row>
    <row r="212" spans="1:19" ht="14.25" customHeight="1" x14ac:dyDescent="0.3">
      <c r="A212" t="s">
        <v>629</v>
      </c>
      <c r="B212" t="s">
        <v>457</v>
      </c>
      <c r="C212" t="s">
        <v>95</v>
      </c>
      <c r="D212" t="s">
        <v>370</v>
      </c>
      <c r="E212" t="s">
        <v>371</v>
      </c>
      <c r="F212" t="s">
        <v>6058</v>
      </c>
      <c r="G212" s="2" t="str">
        <f>HYPERLINK("https://www.facebook.com/1042580042471260/posts/1794275287301728")</f>
        <v>https://www.facebook.com/1042580042471260/posts/1794275287301728</v>
      </c>
      <c r="H212" t="s">
        <v>6062</v>
      </c>
      <c r="I212" t="s">
        <v>1882</v>
      </c>
      <c r="J212" s="2" t="str">
        <f>HYPERLINK("https://www.facebook.com/100016126686569")</f>
        <v>https://www.facebook.com/100016126686569</v>
      </c>
      <c r="K212">
        <v>0</v>
      </c>
      <c r="L212" t="s">
        <v>6064</v>
      </c>
      <c r="N212" t="s">
        <v>13</v>
      </c>
      <c r="O212" t="s">
        <v>1883</v>
      </c>
      <c r="P212" s="2" t="str">
        <f>HYPERLINK("https://www.facebook.com/1042580042471260")</f>
        <v>https://www.facebook.com/1042580042471260</v>
      </c>
      <c r="R212" t="s">
        <v>6067</v>
      </c>
      <c r="S212" t="s">
        <v>6087</v>
      </c>
    </row>
    <row r="213" spans="1:19" ht="14.25" customHeight="1" x14ac:dyDescent="0.3">
      <c r="A213" t="s">
        <v>629</v>
      </c>
      <c r="B213" t="s">
        <v>457</v>
      </c>
      <c r="C213" t="s">
        <v>95</v>
      </c>
      <c r="D213" t="s">
        <v>370</v>
      </c>
      <c r="E213" t="s">
        <v>371</v>
      </c>
      <c r="F213" t="s">
        <v>6058</v>
      </c>
      <c r="G213" s="2" t="str">
        <f>HYPERLINK("https://www.facebook.com/150380718666650/posts/234072470473641")</f>
        <v>https://www.facebook.com/150380718666650/posts/234072470473641</v>
      </c>
      <c r="H213" t="s">
        <v>6062</v>
      </c>
      <c r="I213" t="s">
        <v>1882</v>
      </c>
      <c r="J213" s="2" t="str">
        <f>HYPERLINK("https://www.facebook.com/100016126686569")</f>
        <v>https://www.facebook.com/100016126686569</v>
      </c>
      <c r="K213">
        <v>0</v>
      </c>
      <c r="L213" t="s">
        <v>6064</v>
      </c>
      <c r="N213" t="s">
        <v>13</v>
      </c>
      <c r="O213" t="s">
        <v>1884</v>
      </c>
      <c r="P213" s="2" t="str">
        <f>HYPERLINK("https://www.facebook.com/150380718666650")</f>
        <v>https://www.facebook.com/150380718666650</v>
      </c>
      <c r="R213" t="s">
        <v>6067</v>
      </c>
      <c r="S213" t="s">
        <v>6087</v>
      </c>
    </row>
    <row r="214" spans="1:19" ht="14.25" customHeight="1" x14ac:dyDescent="0.3">
      <c r="A214" t="s">
        <v>629</v>
      </c>
      <c r="B214" t="s">
        <v>457</v>
      </c>
      <c r="C214" t="s">
        <v>95</v>
      </c>
      <c r="D214" t="s">
        <v>370</v>
      </c>
      <c r="E214" t="s">
        <v>371</v>
      </c>
      <c r="F214" t="s">
        <v>6058</v>
      </c>
      <c r="G214" s="2" t="str">
        <f>HYPERLINK("https://www.facebook.com/150380718666650/posts/570923446612373")</f>
        <v>https://www.facebook.com/150380718666650/posts/570923446612373</v>
      </c>
      <c r="H214" t="s">
        <v>6062</v>
      </c>
      <c r="I214" t="s">
        <v>1882</v>
      </c>
      <c r="J214" s="2" t="str">
        <f>HYPERLINK("https://www.facebook.com/100016126686569")</f>
        <v>https://www.facebook.com/100016126686569</v>
      </c>
      <c r="K214">
        <v>0</v>
      </c>
      <c r="L214" t="s">
        <v>6064</v>
      </c>
      <c r="N214" t="s">
        <v>13</v>
      </c>
      <c r="O214" t="s">
        <v>1884</v>
      </c>
      <c r="P214" s="2" t="str">
        <f>HYPERLINK("https://www.facebook.com/150380718666650")</f>
        <v>https://www.facebook.com/150380718666650</v>
      </c>
      <c r="R214" t="s">
        <v>6067</v>
      </c>
      <c r="S214" t="s">
        <v>6087</v>
      </c>
    </row>
    <row r="215" spans="1:19" ht="14.25" customHeight="1" x14ac:dyDescent="0.3">
      <c r="A215" t="s">
        <v>629</v>
      </c>
      <c r="B215" t="s">
        <v>457</v>
      </c>
      <c r="C215" t="s">
        <v>95</v>
      </c>
      <c r="D215" t="s">
        <v>370</v>
      </c>
      <c r="E215" t="s">
        <v>371</v>
      </c>
      <c r="F215" t="s">
        <v>6058</v>
      </c>
      <c r="G215" s="2" t="str">
        <f>HYPERLINK("https://www.facebook.com/1030579260330580/posts/234072453806976")</f>
        <v>https://www.facebook.com/1030579260330580/posts/234072453806976</v>
      </c>
      <c r="H215" t="s">
        <v>6062</v>
      </c>
      <c r="I215" t="s">
        <v>1882</v>
      </c>
      <c r="J215" s="2" t="str">
        <f>HYPERLINK("https://www.facebook.com/100016126686569")</f>
        <v>https://www.facebook.com/100016126686569</v>
      </c>
      <c r="K215">
        <v>0</v>
      </c>
      <c r="L215" t="s">
        <v>6064</v>
      </c>
      <c r="N215" t="s">
        <v>13</v>
      </c>
      <c r="O215" t="s">
        <v>1885</v>
      </c>
      <c r="P215" s="2" t="str">
        <f>HYPERLINK("https://www.facebook.com/1030579260330580")</f>
        <v>https://www.facebook.com/1030579260330580</v>
      </c>
      <c r="R215" t="s">
        <v>6067</v>
      </c>
      <c r="S215" t="s">
        <v>6087</v>
      </c>
    </row>
    <row r="216" spans="1:19" ht="14.25" customHeight="1" x14ac:dyDescent="0.3">
      <c r="A216" t="s">
        <v>3527</v>
      </c>
      <c r="B216" t="s">
        <v>792</v>
      </c>
      <c r="C216" t="s">
        <v>95</v>
      </c>
      <c r="D216" t="s">
        <v>690</v>
      </c>
      <c r="E216" t="s">
        <v>3738</v>
      </c>
      <c r="F216" t="s">
        <v>6059</v>
      </c>
      <c r="G216" s="2" t="str">
        <f>HYPERLINK("https://www.facebook.com/278105015535592/posts/1935377959808281?comment_id=1935807756431968")</f>
        <v>https://www.facebook.com/278105015535592/posts/1935377959808281?comment_id=1935807756431968</v>
      </c>
      <c r="H216" t="s">
        <v>6062</v>
      </c>
      <c r="I216" t="s">
        <v>3739</v>
      </c>
      <c r="J216" s="2" t="str">
        <f>HYPERLINK("https://www.facebook.com/100001276723886")</f>
        <v>https://www.facebook.com/100001276723886</v>
      </c>
      <c r="K216">
        <v>0</v>
      </c>
      <c r="L216" t="s">
        <v>6064</v>
      </c>
      <c r="N216" t="s">
        <v>13</v>
      </c>
      <c r="O216" t="s">
        <v>996</v>
      </c>
      <c r="P216" s="2" t="str">
        <f>HYPERLINK("https://www.facebook.com/278105015535592")</f>
        <v>https://www.facebook.com/278105015535592</v>
      </c>
      <c r="Q216">
        <v>4845</v>
      </c>
      <c r="R216" t="s">
        <v>6067</v>
      </c>
      <c r="S216" t="s">
        <v>6098</v>
      </c>
    </row>
    <row r="217" spans="1:19" ht="14.25" customHeight="1" x14ac:dyDescent="0.3">
      <c r="A217" t="s">
        <v>5409</v>
      </c>
      <c r="B217" t="s">
        <v>2012</v>
      </c>
      <c r="C217" t="s">
        <v>3538</v>
      </c>
      <c r="D217" t="s">
        <v>5913</v>
      </c>
      <c r="E217" t="s">
        <v>5932</v>
      </c>
      <c r="F217" t="s">
        <v>6059</v>
      </c>
      <c r="G217" s="2" t="str">
        <f>HYPERLINK("https://www.facebook.com/1130867597/posts/10214595940868821?comment_id=10214619111768079")</f>
        <v>https://www.facebook.com/1130867597/posts/10214595940868821?comment_id=10214619111768079</v>
      </c>
      <c r="H217" t="s">
        <v>6062</v>
      </c>
      <c r="I217" t="s">
        <v>5916</v>
      </c>
      <c r="J217" s="2" t="str">
        <f>HYPERLINK("https://www.facebook.com/1130867597")</f>
        <v>https://www.facebook.com/1130867597</v>
      </c>
      <c r="K217">
        <v>0</v>
      </c>
      <c r="L217" t="s">
        <v>6064</v>
      </c>
      <c r="N217" t="s">
        <v>13</v>
      </c>
      <c r="O217" t="s">
        <v>5916</v>
      </c>
      <c r="P217" s="2" t="str">
        <f>HYPERLINK("https://www.facebook.com/1130867597")</f>
        <v>https://www.facebook.com/1130867597</v>
      </c>
      <c r="Q217">
        <v>0</v>
      </c>
      <c r="R217" t="s">
        <v>6067</v>
      </c>
      <c r="S217" t="s">
        <v>6073</v>
      </c>
    </row>
    <row r="218" spans="1:19" ht="14.25" customHeight="1" x14ac:dyDescent="0.3">
      <c r="A218" t="s">
        <v>4439</v>
      </c>
      <c r="B218" t="s">
        <v>60</v>
      </c>
      <c r="C218" t="s">
        <v>3538</v>
      </c>
      <c r="D218" t="s">
        <v>3241</v>
      </c>
      <c r="E218" t="s">
        <v>4662</v>
      </c>
      <c r="F218" t="s">
        <v>6059</v>
      </c>
      <c r="G218" s="2" t="str">
        <f>HYPERLINK("https://www.facebook.com/100000538983327/posts/2120112121350067?comment_id=2120200391341240")</f>
        <v>https://www.facebook.com/100000538983327/posts/2120112121350067?comment_id=2120200391341240</v>
      </c>
      <c r="H218" t="s">
        <v>6062</v>
      </c>
      <c r="I218" t="s">
        <v>4663</v>
      </c>
      <c r="J218" s="2" t="str">
        <f>HYPERLINK("https://www.facebook.com/100001851066697")</f>
        <v>https://www.facebook.com/100001851066697</v>
      </c>
      <c r="K218">
        <v>455</v>
      </c>
      <c r="L218" t="s">
        <v>6064</v>
      </c>
      <c r="N218" t="s">
        <v>13</v>
      </c>
      <c r="O218" t="s">
        <v>3244</v>
      </c>
      <c r="P218" s="2" t="str">
        <f>HYPERLINK("https://www.facebook.com/100000538983327")</f>
        <v>https://www.facebook.com/100000538983327</v>
      </c>
      <c r="Q218">
        <v>1466</v>
      </c>
      <c r="R218" t="s">
        <v>6067</v>
      </c>
      <c r="S218" t="s">
        <v>6073</v>
      </c>
    </row>
    <row r="219" spans="1:19" ht="14.25" customHeight="1" x14ac:dyDescent="0.3">
      <c r="A219" t="s">
        <v>5409</v>
      </c>
      <c r="B219" t="s">
        <v>1001</v>
      </c>
      <c r="C219" t="s">
        <v>3538</v>
      </c>
      <c r="D219" t="s">
        <v>5621</v>
      </c>
      <c r="E219" t="s">
        <v>5622</v>
      </c>
      <c r="F219" t="s">
        <v>6057</v>
      </c>
      <c r="G219" s="2" t="str">
        <f>HYPERLINK("https://www.facebook.com/591732267/posts/10156432568772268")</f>
        <v>https://www.facebook.com/591732267/posts/10156432568772268</v>
      </c>
      <c r="H219" t="s">
        <v>6062</v>
      </c>
      <c r="I219" t="s">
        <v>5623</v>
      </c>
      <c r="J219" s="2" t="str">
        <f>HYPERLINK("https://www.facebook.com/591732267")</f>
        <v>https://www.facebook.com/591732267</v>
      </c>
      <c r="K219">
        <v>230</v>
      </c>
      <c r="L219" t="s">
        <v>6064</v>
      </c>
      <c r="N219" t="s">
        <v>13</v>
      </c>
      <c r="O219" t="s">
        <v>5623</v>
      </c>
      <c r="P219" s="2" t="str">
        <f>HYPERLINK("https://www.facebook.com/591732267")</f>
        <v>https://www.facebook.com/591732267</v>
      </c>
      <c r="Q219">
        <v>230</v>
      </c>
      <c r="R219" t="s">
        <v>6067</v>
      </c>
      <c r="S219" t="s">
        <v>6073</v>
      </c>
    </row>
    <row r="220" spans="1:19" ht="14.25" customHeight="1" x14ac:dyDescent="0.3">
      <c r="A220" t="s">
        <v>4995</v>
      </c>
      <c r="B220" t="s">
        <v>3999</v>
      </c>
      <c r="C220" t="s">
        <v>3538</v>
      </c>
      <c r="D220" t="s">
        <v>5142</v>
      </c>
      <c r="E220" t="s">
        <v>5143</v>
      </c>
      <c r="F220" t="s">
        <v>6057</v>
      </c>
      <c r="G220" s="2" t="str">
        <f>HYPERLINK("https://www.facebook.com/100004891387656/posts/877859032387135")</f>
        <v>https://www.facebook.com/100004891387656/posts/877859032387135</v>
      </c>
      <c r="H220" t="s">
        <v>6062</v>
      </c>
      <c r="I220" t="s">
        <v>5144</v>
      </c>
      <c r="J220" s="2" t="str">
        <f>HYPERLINK("https://www.facebook.com/100004891387656")</f>
        <v>https://www.facebook.com/100004891387656</v>
      </c>
      <c r="K220">
        <v>2076</v>
      </c>
      <c r="L220" t="s">
        <v>6064</v>
      </c>
      <c r="N220" t="s">
        <v>13</v>
      </c>
      <c r="O220" t="s">
        <v>5144</v>
      </c>
      <c r="P220" s="2" t="str">
        <f>HYPERLINK("https://www.facebook.com/100004891387656")</f>
        <v>https://www.facebook.com/100004891387656</v>
      </c>
      <c r="Q220">
        <v>2076</v>
      </c>
      <c r="R220" t="s">
        <v>6067</v>
      </c>
      <c r="S220" t="s">
        <v>6073</v>
      </c>
    </row>
    <row r="221" spans="1:19" ht="14.25" customHeight="1" x14ac:dyDescent="0.3">
      <c r="A221" t="s">
        <v>2225</v>
      </c>
      <c r="B221" t="s">
        <v>750</v>
      </c>
      <c r="C221" t="s">
        <v>95</v>
      </c>
      <c r="D221" t="s">
        <v>1056</v>
      </c>
      <c r="E221" t="s">
        <v>2054</v>
      </c>
      <c r="F221" t="s">
        <v>6058</v>
      </c>
      <c r="G221" s="2" t="str">
        <f>HYPERLINK("https://www.facebook.com/100007850022090/posts/2084400688498245")</f>
        <v>https://www.facebook.com/100007850022090/posts/2084400688498245</v>
      </c>
      <c r="H221" t="s">
        <v>6062</v>
      </c>
      <c r="I221" t="s">
        <v>2707</v>
      </c>
      <c r="J221" s="2" t="str">
        <f>HYPERLINK("https://www.facebook.com/100007850022090")</f>
        <v>https://www.facebook.com/100007850022090</v>
      </c>
      <c r="K221">
        <v>1166</v>
      </c>
      <c r="L221" t="s">
        <v>6063</v>
      </c>
      <c r="N221" t="s">
        <v>13</v>
      </c>
      <c r="O221" t="s">
        <v>2707</v>
      </c>
      <c r="P221" s="2" t="str">
        <f>HYPERLINK("https://www.facebook.com/100007850022090")</f>
        <v>https://www.facebook.com/100007850022090</v>
      </c>
      <c r="Q221">
        <v>1166</v>
      </c>
      <c r="R221" t="s">
        <v>6067</v>
      </c>
      <c r="S221" t="s">
        <v>6073</v>
      </c>
    </row>
    <row r="222" spans="1:19" ht="14.25" customHeight="1" x14ac:dyDescent="0.3">
      <c r="A222" t="s">
        <v>629</v>
      </c>
      <c r="B222" t="s">
        <v>365</v>
      </c>
      <c r="C222" t="s">
        <v>95</v>
      </c>
      <c r="D222" t="s">
        <v>370</v>
      </c>
      <c r="E222" t="s">
        <v>371</v>
      </c>
      <c r="F222" t="s">
        <v>6058</v>
      </c>
      <c r="G222" s="2" t="str">
        <f>HYPERLINK("https://www.facebook.com/100003031229004/posts/1566395136804845")</f>
        <v>https://www.facebook.com/100003031229004/posts/1566395136804845</v>
      </c>
      <c r="H222" t="s">
        <v>6062</v>
      </c>
      <c r="I222" t="s">
        <v>1662</v>
      </c>
      <c r="J222" s="2" t="str">
        <f>HYPERLINK("https://www.facebook.com/100003031229004")</f>
        <v>https://www.facebook.com/100003031229004</v>
      </c>
      <c r="K222">
        <v>223</v>
      </c>
      <c r="L222" t="s">
        <v>6063</v>
      </c>
      <c r="N222" t="s">
        <v>13</v>
      </c>
      <c r="O222" t="s">
        <v>1662</v>
      </c>
      <c r="P222" s="2" t="str">
        <f>HYPERLINK("https://www.facebook.com/100003031229004")</f>
        <v>https://www.facebook.com/100003031229004</v>
      </c>
      <c r="Q222">
        <v>223</v>
      </c>
      <c r="R222" t="s">
        <v>6067</v>
      </c>
      <c r="S222" t="s">
        <v>6073</v>
      </c>
    </row>
    <row r="223" spans="1:19" ht="14.25" customHeight="1" x14ac:dyDescent="0.3">
      <c r="A223" t="s">
        <v>2225</v>
      </c>
      <c r="B223" t="s">
        <v>2723</v>
      </c>
      <c r="C223" t="s">
        <v>95</v>
      </c>
      <c r="D223" t="s">
        <v>544</v>
      </c>
      <c r="E223" t="s">
        <v>545</v>
      </c>
      <c r="F223" t="s">
        <v>6058</v>
      </c>
      <c r="G223" s="2" t="str">
        <f>HYPERLINK("https://www.facebook.com/100002187541705/posts/1646307062118863")</f>
        <v>https://www.facebook.com/100002187541705/posts/1646307062118863</v>
      </c>
      <c r="H223" t="s">
        <v>6062</v>
      </c>
      <c r="I223" t="s">
        <v>2728</v>
      </c>
      <c r="J223" s="2" t="str">
        <f>HYPERLINK("https://www.facebook.com/100002187541705")</f>
        <v>https://www.facebook.com/100002187541705</v>
      </c>
      <c r="K223">
        <v>1885</v>
      </c>
      <c r="L223" t="s">
        <v>6063</v>
      </c>
      <c r="N223" t="s">
        <v>13</v>
      </c>
      <c r="O223" t="s">
        <v>2728</v>
      </c>
      <c r="P223" s="2" t="str">
        <f>HYPERLINK("https://www.facebook.com/100002187541705")</f>
        <v>https://www.facebook.com/100002187541705</v>
      </c>
      <c r="Q223">
        <v>1885</v>
      </c>
      <c r="R223" t="s">
        <v>6067</v>
      </c>
      <c r="S223" t="s">
        <v>6073</v>
      </c>
    </row>
    <row r="224" spans="1:19" ht="14.25" customHeight="1" x14ac:dyDescent="0.3">
      <c r="A224" t="s">
        <v>1</v>
      </c>
      <c r="B224" t="s">
        <v>540</v>
      </c>
      <c r="C224" t="s">
        <v>95</v>
      </c>
      <c r="D224" t="s">
        <v>10</v>
      </c>
      <c r="E224" t="s">
        <v>541</v>
      </c>
      <c r="F224" t="s">
        <v>6059</v>
      </c>
      <c r="G224" s="2" t="str">
        <f>HYPERLINK("https://www.facebook.com/1070092426/posts/10213398046920195?comment_id=10213399845685163")</f>
        <v>https://www.facebook.com/1070092426/posts/10213398046920195?comment_id=10213399845685163</v>
      </c>
      <c r="H224" t="s">
        <v>6062</v>
      </c>
      <c r="I224" t="s">
        <v>542</v>
      </c>
      <c r="J224" s="2" t="str">
        <f>HYPERLINK("https://www.facebook.com/100010197168597")</f>
        <v>https://www.facebook.com/100010197168597</v>
      </c>
      <c r="K224">
        <v>0</v>
      </c>
      <c r="L224" t="s">
        <v>6063</v>
      </c>
      <c r="N224" t="s">
        <v>13</v>
      </c>
      <c r="O224" t="s">
        <v>314</v>
      </c>
      <c r="P224" s="2" t="str">
        <f>HYPERLINK("https://www.facebook.com/1070092426")</f>
        <v>https://www.facebook.com/1070092426</v>
      </c>
      <c r="Q224">
        <v>5892</v>
      </c>
      <c r="R224" t="s">
        <v>6067</v>
      </c>
      <c r="S224" t="s">
        <v>6073</v>
      </c>
    </row>
    <row r="225" spans="1:19" ht="14.25" customHeight="1" x14ac:dyDescent="0.3">
      <c r="A225" t="s">
        <v>4995</v>
      </c>
      <c r="B225" t="s">
        <v>599</v>
      </c>
      <c r="C225" t="s">
        <v>3538</v>
      </c>
      <c r="D225" t="s">
        <v>4468</v>
      </c>
      <c r="E225" t="s">
        <v>5398</v>
      </c>
      <c r="F225" t="s">
        <v>6059</v>
      </c>
      <c r="G225" s="2" t="str">
        <f>HYPERLINK("https://www.facebook.com/1529329267308888/posts/2058827921025684?comment_id=2058947127680430")</f>
        <v>https://www.facebook.com/1529329267308888/posts/2058827921025684?comment_id=2058947127680430</v>
      </c>
      <c r="H225" t="s">
        <v>6062</v>
      </c>
      <c r="I225" t="s">
        <v>5399</v>
      </c>
      <c r="J225" s="2" t="str">
        <f>HYPERLINK("https://www.facebook.com/100004978303269")</f>
        <v>https://www.facebook.com/100004978303269</v>
      </c>
      <c r="K225">
        <v>0</v>
      </c>
      <c r="L225" t="s">
        <v>6063</v>
      </c>
      <c r="N225" t="s">
        <v>13</v>
      </c>
      <c r="O225" t="s">
        <v>4471</v>
      </c>
      <c r="P225" s="2" t="str">
        <f>HYPERLINK("https://www.facebook.com/1529329267308888")</f>
        <v>https://www.facebook.com/1529329267308888</v>
      </c>
      <c r="R225" t="s">
        <v>6067</v>
      </c>
      <c r="S225" t="s">
        <v>6073</v>
      </c>
    </row>
    <row r="226" spans="1:19" ht="14.25" customHeight="1" x14ac:dyDescent="0.3">
      <c r="A226" t="s">
        <v>4439</v>
      </c>
      <c r="B226" t="s">
        <v>4421</v>
      </c>
      <c r="C226" t="s">
        <v>3538</v>
      </c>
      <c r="D226" t="s">
        <v>4939</v>
      </c>
      <c r="E226" t="s">
        <v>4940</v>
      </c>
      <c r="F226" t="s">
        <v>6057</v>
      </c>
      <c r="G226" s="2" t="str">
        <f>HYPERLINK("https://www.facebook.com/1517091668/posts/10215707590512241")</f>
        <v>https://www.facebook.com/1517091668/posts/10215707590512241</v>
      </c>
      <c r="H226" t="s">
        <v>6062</v>
      </c>
      <c r="I226" t="s">
        <v>4941</v>
      </c>
      <c r="J226" s="2" t="str">
        <f>HYPERLINK("https://www.facebook.com/100007534355362")</f>
        <v>https://www.facebook.com/100007534355362</v>
      </c>
      <c r="K226">
        <v>7</v>
      </c>
      <c r="L226" t="s">
        <v>6063</v>
      </c>
      <c r="N226" t="s">
        <v>13</v>
      </c>
      <c r="O226" t="s">
        <v>4942</v>
      </c>
      <c r="P226" s="2" t="str">
        <f>HYPERLINK("https://www.facebook.com/1517091668")</f>
        <v>https://www.facebook.com/1517091668</v>
      </c>
      <c r="Q226">
        <v>114</v>
      </c>
      <c r="R226" t="s">
        <v>6067</v>
      </c>
      <c r="S226" t="s">
        <v>6073</v>
      </c>
    </row>
    <row r="227" spans="1:19" ht="14.25" customHeight="1" x14ac:dyDescent="0.3">
      <c r="A227" t="s">
        <v>2225</v>
      </c>
      <c r="B227" t="s">
        <v>2628</v>
      </c>
      <c r="C227" t="s">
        <v>95</v>
      </c>
      <c r="D227" t="s">
        <v>2633</v>
      </c>
      <c r="E227" t="s">
        <v>2634</v>
      </c>
      <c r="F227" t="s">
        <v>6057</v>
      </c>
      <c r="G227" s="2" t="str">
        <f>HYPERLINK("https://www.facebook.com/100001898954749/posts/1885496204856993")</f>
        <v>https://www.facebook.com/100001898954749/posts/1885496204856993</v>
      </c>
      <c r="H227" t="s">
        <v>6062</v>
      </c>
      <c r="I227" t="s">
        <v>2635</v>
      </c>
      <c r="J227" s="2" t="str">
        <f>HYPERLINK("https://www.facebook.com/100001898954749")</f>
        <v>https://www.facebook.com/100001898954749</v>
      </c>
      <c r="K227">
        <v>1112</v>
      </c>
      <c r="L227" t="s">
        <v>6063</v>
      </c>
      <c r="N227" t="s">
        <v>13</v>
      </c>
      <c r="O227" t="s">
        <v>2635</v>
      </c>
      <c r="P227" s="2" t="str">
        <f>HYPERLINK("https://www.facebook.com/100001898954749")</f>
        <v>https://www.facebook.com/100001898954749</v>
      </c>
      <c r="Q227">
        <v>1112</v>
      </c>
      <c r="R227" t="s">
        <v>6067</v>
      </c>
      <c r="S227" t="s">
        <v>6073</v>
      </c>
    </row>
    <row r="228" spans="1:19" ht="14.25" customHeight="1" x14ac:dyDescent="0.3">
      <c r="A228" t="s">
        <v>4439</v>
      </c>
      <c r="B228" t="s">
        <v>907</v>
      </c>
      <c r="C228" t="s">
        <v>3538</v>
      </c>
      <c r="D228" t="s">
        <v>2047</v>
      </c>
      <c r="E228" t="s">
        <v>4567</v>
      </c>
      <c r="F228" t="s">
        <v>6058</v>
      </c>
      <c r="G228" s="2" t="str">
        <f>HYPERLINK("https://www.facebook.com/1282808998/posts/10211152723675608")</f>
        <v>https://www.facebook.com/1282808998/posts/10211152723675608</v>
      </c>
      <c r="H228" t="s">
        <v>6062</v>
      </c>
      <c r="I228" t="s">
        <v>4568</v>
      </c>
      <c r="J228" s="2" t="str">
        <f>HYPERLINK("https://www.facebook.com/1282808998")</f>
        <v>https://www.facebook.com/1282808998</v>
      </c>
      <c r="K228">
        <v>1698</v>
      </c>
      <c r="L228" t="s">
        <v>6063</v>
      </c>
      <c r="N228" t="s">
        <v>13</v>
      </c>
      <c r="O228" t="s">
        <v>4568</v>
      </c>
      <c r="P228" s="2" t="str">
        <f>HYPERLINK("https://www.facebook.com/1282808998")</f>
        <v>https://www.facebook.com/1282808998</v>
      </c>
      <c r="Q228">
        <v>1698</v>
      </c>
      <c r="R228" t="s">
        <v>6067</v>
      </c>
      <c r="S228" t="s">
        <v>6073</v>
      </c>
    </row>
    <row r="229" spans="1:19" ht="14.25" customHeight="1" x14ac:dyDescent="0.3">
      <c r="A229" t="s">
        <v>2225</v>
      </c>
      <c r="B229" t="s">
        <v>3132</v>
      </c>
      <c r="C229" t="s">
        <v>95</v>
      </c>
      <c r="D229" t="s">
        <v>464</v>
      </c>
      <c r="E229" t="s">
        <v>3141</v>
      </c>
      <c r="F229" t="s">
        <v>6059</v>
      </c>
      <c r="G229" s="2" t="str">
        <f>HYPERLINK("https://www.facebook.com/1362386453/posts/10216460219362335?comment_id=10216460304044452")</f>
        <v>https://www.facebook.com/1362386453/posts/10216460219362335?comment_id=10216460304044452</v>
      </c>
      <c r="H229" t="s">
        <v>6062</v>
      </c>
      <c r="I229" t="s">
        <v>3127</v>
      </c>
      <c r="J229" s="2" t="str">
        <f>HYPERLINK("https://www.facebook.com/100001225117047")</f>
        <v>https://www.facebook.com/100001225117047</v>
      </c>
      <c r="K229">
        <v>903</v>
      </c>
      <c r="L229" t="s">
        <v>6063</v>
      </c>
      <c r="N229" t="s">
        <v>13</v>
      </c>
      <c r="O229" t="s">
        <v>467</v>
      </c>
      <c r="P229" s="2" t="str">
        <f>HYPERLINK("https://www.facebook.com/1362386453")</f>
        <v>https://www.facebook.com/1362386453</v>
      </c>
      <c r="Q229">
        <v>3896</v>
      </c>
      <c r="R229" t="s">
        <v>6067</v>
      </c>
      <c r="S229" t="s">
        <v>6073</v>
      </c>
    </row>
    <row r="230" spans="1:19" ht="14.25" customHeight="1" x14ac:dyDescent="0.3">
      <c r="A230" t="s">
        <v>5409</v>
      </c>
      <c r="B230" t="s">
        <v>1950</v>
      </c>
      <c r="C230" t="s">
        <v>3538</v>
      </c>
      <c r="D230" t="s">
        <v>3757</v>
      </c>
      <c r="E230" t="s">
        <v>5911</v>
      </c>
      <c r="F230" t="s">
        <v>6059</v>
      </c>
      <c r="G230" s="2" t="str">
        <f>HYPERLINK("https://www.facebook.com/1676376791/posts/10209685538090004?comment_id=10209685838697519")</f>
        <v>https://www.facebook.com/1676376791/posts/10209685538090004?comment_id=10209685838697519</v>
      </c>
      <c r="H230" t="s">
        <v>6062</v>
      </c>
      <c r="I230" t="s">
        <v>5912</v>
      </c>
      <c r="J230" s="2" t="str">
        <f>HYPERLINK("https://www.facebook.com/1017831378")</f>
        <v>https://www.facebook.com/1017831378</v>
      </c>
      <c r="K230">
        <v>0</v>
      </c>
      <c r="L230" t="s">
        <v>6063</v>
      </c>
      <c r="N230" t="s">
        <v>13</v>
      </c>
      <c r="O230" t="s">
        <v>3760</v>
      </c>
      <c r="P230" s="2" t="str">
        <f>HYPERLINK("https://www.facebook.com/1676376791")</f>
        <v>https://www.facebook.com/1676376791</v>
      </c>
      <c r="Q230">
        <v>4013</v>
      </c>
      <c r="R230" t="s">
        <v>6067</v>
      </c>
      <c r="S230" t="s">
        <v>6073</v>
      </c>
    </row>
    <row r="231" spans="1:19" ht="14.25" customHeight="1" x14ac:dyDescent="0.3">
      <c r="A231" t="s">
        <v>1</v>
      </c>
      <c r="B231" t="s">
        <v>583</v>
      </c>
      <c r="C231" t="s">
        <v>95</v>
      </c>
      <c r="D231" t="s">
        <v>568</v>
      </c>
      <c r="E231" t="s">
        <v>584</v>
      </c>
      <c r="F231" t="s">
        <v>6059</v>
      </c>
      <c r="G231" s="2" t="str">
        <f>HYPERLINK("https://www.facebook.com/100010421106042/posts/579987695691929?comment_id=580373132320052")</f>
        <v>https://www.facebook.com/100010421106042/posts/579987695691929?comment_id=580373132320052</v>
      </c>
      <c r="H231" t="s">
        <v>6062</v>
      </c>
      <c r="I231" t="s">
        <v>571</v>
      </c>
      <c r="J231" s="2" t="str">
        <f>HYPERLINK("https://www.facebook.com/100010421106042")</f>
        <v>https://www.facebook.com/100010421106042</v>
      </c>
      <c r="K231">
        <v>2614</v>
      </c>
      <c r="L231" t="s">
        <v>6063</v>
      </c>
      <c r="N231" t="s">
        <v>13</v>
      </c>
      <c r="O231" t="s">
        <v>571</v>
      </c>
      <c r="P231" s="2" t="str">
        <f>HYPERLINK("https://www.facebook.com/100010421106042")</f>
        <v>https://www.facebook.com/100010421106042</v>
      </c>
      <c r="Q231">
        <v>2614</v>
      </c>
      <c r="R231" t="s">
        <v>6067</v>
      </c>
    </row>
    <row r="232" spans="1:19" ht="14.25" customHeight="1" x14ac:dyDescent="0.3">
      <c r="A232" t="s">
        <v>1</v>
      </c>
      <c r="B232" t="s">
        <v>585</v>
      </c>
      <c r="C232" t="s">
        <v>95</v>
      </c>
      <c r="D232" t="s">
        <v>568</v>
      </c>
      <c r="E232" t="s">
        <v>586</v>
      </c>
      <c r="F232" t="s">
        <v>6059</v>
      </c>
      <c r="G232" s="2" t="str">
        <f>HYPERLINK("https://www.facebook.com/100010421106042/posts/579987695691929?comment_id=580372435653455")</f>
        <v>https://www.facebook.com/100010421106042/posts/579987695691929?comment_id=580372435653455</v>
      </c>
      <c r="H232" t="s">
        <v>6062</v>
      </c>
      <c r="I232" t="s">
        <v>571</v>
      </c>
      <c r="J232" s="2" t="str">
        <f>HYPERLINK("https://www.facebook.com/100010421106042")</f>
        <v>https://www.facebook.com/100010421106042</v>
      </c>
      <c r="K232">
        <v>2614</v>
      </c>
      <c r="L232" t="s">
        <v>6063</v>
      </c>
      <c r="N232" t="s">
        <v>13</v>
      </c>
      <c r="O232" t="s">
        <v>571</v>
      </c>
      <c r="P232" s="2" t="str">
        <f>HYPERLINK("https://www.facebook.com/100010421106042")</f>
        <v>https://www.facebook.com/100010421106042</v>
      </c>
      <c r="Q232">
        <v>2614</v>
      </c>
      <c r="R232" t="s">
        <v>6067</v>
      </c>
    </row>
    <row r="233" spans="1:19" ht="14.25" customHeight="1" x14ac:dyDescent="0.3">
      <c r="A233" t="s">
        <v>1</v>
      </c>
      <c r="B233" t="s">
        <v>591</v>
      </c>
      <c r="C233" t="s">
        <v>95</v>
      </c>
      <c r="D233" t="s">
        <v>568</v>
      </c>
      <c r="E233" t="s">
        <v>592</v>
      </c>
      <c r="F233" t="s">
        <v>6059</v>
      </c>
      <c r="G233" s="2" t="str">
        <f>HYPERLINK("https://www.facebook.com/100010421106042/posts/579987695691929?comment_id=580371432320222")</f>
        <v>https://www.facebook.com/100010421106042/posts/579987695691929?comment_id=580371432320222</v>
      </c>
      <c r="H233" t="s">
        <v>6062</v>
      </c>
      <c r="I233" t="s">
        <v>571</v>
      </c>
      <c r="J233" s="2" t="str">
        <f>HYPERLINK("https://www.facebook.com/100010421106042")</f>
        <v>https://www.facebook.com/100010421106042</v>
      </c>
      <c r="K233">
        <v>2614</v>
      </c>
      <c r="L233" t="s">
        <v>6063</v>
      </c>
      <c r="N233" t="s">
        <v>13</v>
      </c>
      <c r="O233" t="s">
        <v>571</v>
      </c>
      <c r="P233" s="2" t="str">
        <f>HYPERLINK("https://www.facebook.com/100010421106042")</f>
        <v>https://www.facebook.com/100010421106042</v>
      </c>
      <c r="Q233">
        <v>2614</v>
      </c>
      <c r="R233" t="s">
        <v>6067</v>
      </c>
    </row>
    <row r="234" spans="1:19" ht="14.25" customHeight="1" x14ac:dyDescent="0.3">
      <c r="A234" t="s">
        <v>1</v>
      </c>
      <c r="B234" t="s">
        <v>589</v>
      </c>
      <c r="C234" t="s">
        <v>95</v>
      </c>
      <c r="D234" t="s">
        <v>568</v>
      </c>
      <c r="E234" t="s">
        <v>590</v>
      </c>
      <c r="F234" t="s">
        <v>6059</v>
      </c>
      <c r="G234" s="2" t="str">
        <f>HYPERLINK("https://www.facebook.com/100010421106042/posts/579987695691929?comment_id=580371535653545")</f>
        <v>https://www.facebook.com/100010421106042/posts/579987695691929?comment_id=580371535653545</v>
      </c>
      <c r="H234" t="s">
        <v>6062</v>
      </c>
      <c r="I234" t="s">
        <v>571</v>
      </c>
      <c r="J234" s="2" t="str">
        <f>HYPERLINK("https://www.facebook.com/100010421106042")</f>
        <v>https://www.facebook.com/100010421106042</v>
      </c>
      <c r="K234">
        <v>2614</v>
      </c>
      <c r="L234" t="s">
        <v>6063</v>
      </c>
      <c r="N234" t="s">
        <v>13</v>
      </c>
      <c r="O234" t="s">
        <v>571</v>
      </c>
      <c r="P234" s="2" t="str">
        <f>HYPERLINK("https://www.facebook.com/100010421106042")</f>
        <v>https://www.facebook.com/100010421106042</v>
      </c>
      <c r="Q234">
        <v>2614</v>
      </c>
      <c r="R234" t="s">
        <v>6067</v>
      </c>
    </row>
    <row r="235" spans="1:19" ht="14.25" customHeight="1" x14ac:dyDescent="0.3">
      <c r="A235" t="s">
        <v>5409</v>
      </c>
      <c r="B235" t="s">
        <v>5801</v>
      </c>
      <c r="C235" t="s">
        <v>3538</v>
      </c>
      <c r="D235" t="s">
        <v>2321</v>
      </c>
      <c r="E235" t="s">
        <v>5802</v>
      </c>
      <c r="F235" t="s">
        <v>6056</v>
      </c>
      <c r="G235" s="2" t="str">
        <f>HYPERLINK("https://www.facebook.com/100010727942072/posts/620630241637902")</f>
        <v>https://www.facebook.com/100010727942072/posts/620630241637902</v>
      </c>
      <c r="H235" t="s">
        <v>6062</v>
      </c>
      <c r="I235" t="s">
        <v>5803</v>
      </c>
      <c r="J235" s="2" t="str">
        <f>HYPERLINK("https://www.facebook.com/100010727942072")</f>
        <v>https://www.facebook.com/100010727942072</v>
      </c>
      <c r="K235">
        <v>157</v>
      </c>
      <c r="L235" t="s">
        <v>6063</v>
      </c>
      <c r="N235" t="s">
        <v>13</v>
      </c>
      <c r="O235" t="s">
        <v>5803</v>
      </c>
      <c r="P235" s="2" t="str">
        <f>HYPERLINK("https://www.facebook.com/100010727942072")</f>
        <v>https://www.facebook.com/100010727942072</v>
      </c>
      <c r="Q235">
        <v>157</v>
      </c>
      <c r="R235" t="s">
        <v>6067</v>
      </c>
      <c r="S235" t="s">
        <v>6073</v>
      </c>
    </row>
    <row r="236" spans="1:19" ht="14.25" customHeight="1" x14ac:dyDescent="0.3">
      <c r="A236" t="s">
        <v>629</v>
      </c>
      <c r="B236" t="s">
        <v>1755</v>
      </c>
      <c r="C236" t="s">
        <v>95</v>
      </c>
      <c r="D236" t="s">
        <v>370</v>
      </c>
      <c r="E236" t="s">
        <v>371</v>
      </c>
      <c r="F236" t="s">
        <v>6058</v>
      </c>
      <c r="G236" s="2" t="str">
        <f>HYPERLINK("https://www.facebook.com/100002535947119/posts/1667340563360459")</f>
        <v>https://www.facebook.com/100002535947119/posts/1667340563360459</v>
      </c>
      <c r="H236" t="s">
        <v>6062</v>
      </c>
      <c r="I236" t="s">
        <v>1758</v>
      </c>
      <c r="J236" s="2" t="str">
        <f>HYPERLINK("https://www.facebook.com/100002535947119")</f>
        <v>https://www.facebook.com/100002535947119</v>
      </c>
      <c r="K236">
        <v>0</v>
      </c>
      <c r="L236" t="s">
        <v>6063</v>
      </c>
      <c r="N236" t="s">
        <v>13</v>
      </c>
      <c r="O236" t="s">
        <v>1758</v>
      </c>
      <c r="P236" s="2" t="str">
        <f>HYPERLINK("https://www.facebook.com/100002535947119")</f>
        <v>https://www.facebook.com/100002535947119</v>
      </c>
      <c r="Q236">
        <v>0</v>
      </c>
      <c r="R236" t="s">
        <v>6067</v>
      </c>
    </row>
    <row r="237" spans="1:19" ht="14.25" customHeight="1" x14ac:dyDescent="0.3">
      <c r="A237" t="s">
        <v>5409</v>
      </c>
      <c r="B237" t="s">
        <v>363</v>
      </c>
      <c r="C237" t="s">
        <v>3538</v>
      </c>
      <c r="D237" t="s">
        <v>5442</v>
      </c>
      <c r="E237" t="s">
        <v>5592</v>
      </c>
      <c r="F237" t="s">
        <v>6058</v>
      </c>
      <c r="G237" s="2" t="str">
        <f>HYPERLINK("https://www.facebook.com/100000797148186/posts/1618828944820328")</f>
        <v>https://www.facebook.com/100000797148186/posts/1618828944820328</v>
      </c>
      <c r="H237" t="s">
        <v>6062</v>
      </c>
      <c r="I237" t="s">
        <v>5859</v>
      </c>
      <c r="J237" s="2" t="str">
        <f>HYPERLINK("https://www.facebook.com/100000797148186")</f>
        <v>https://www.facebook.com/100000797148186</v>
      </c>
      <c r="K237">
        <v>1257</v>
      </c>
      <c r="L237" t="s">
        <v>6063</v>
      </c>
      <c r="N237" t="s">
        <v>13</v>
      </c>
      <c r="O237" t="s">
        <v>5859</v>
      </c>
      <c r="P237" s="2" t="str">
        <f>HYPERLINK("https://www.facebook.com/100000797148186")</f>
        <v>https://www.facebook.com/100000797148186</v>
      </c>
      <c r="Q237">
        <v>1257</v>
      </c>
      <c r="R237" t="s">
        <v>6067</v>
      </c>
      <c r="S237" t="s">
        <v>6073</v>
      </c>
    </row>
    <row r="238" spans="1:19" ht="14.25" customHeight="1" x14ac:dyDescent="0.3">
      <c r="A238" t="s">
        <v>4995</v>
      </c>
      <c r="B238" t="s">
        <v>1520</v>
      </c>
      <c r="C238" t="s">
        <v>3538</v>
      </c>
      <c r="D238" t="s">
        <v>5283</v>
      </c>
      <c r="E238" t="s">
        <v>5284</v>
      </c>
      <c r="F238" t="s">
        <v>6059</v>
      </c>
      <c r="G238" s="2" t="str">
        <f>HYPERLINK("https://www.facebook.com/100000417612208/posts/1862480877109148?comment_id=1866812876675948")</f>
        <v>https://www.facebook.com/100000417612208/posts/1862480877109148?comment_id=1866812876675948</v>
      </c>
      <c r="H238" t="s">
        <v>6062</v>
      </c>
      <c r="I238" t="s">
        <v>5285</v>
      </c>
      <c r="J238" s="2" t="str">
        <f>HYPERLINK("https://www.facebook.com/100000343504550")</f>
        <v>https://www.facebook.com/100000343504550</v>
      </c>
      <c r="K238">
        <v>0</v>
      </c>
      <c r="L238" t="s">
        <v>6063</v>
      </c>
      <c r="M238">
        <v>47</v>
      </c>
      <c r="N238" t="s">
        <v>13</v>
      </c>
      <c r="O238" t="s">
        <v>5286</v>
      </c>
      <c r="P238" s="2" t="str">
        <f>HYPERLINK("https://www.facebook.com/100000417612208")</f>
        <v>https://www.facebook.com/100000417612208</v>
      </c>
      <c r="Q238">
        <v>1937</v>
      </c>
      <c r="R238" t="s">
        <v>6067</v>
      </c>
      <c r="S238" t="s">
        <v>6073</v>
      </c>
    </row>
    <row r="239" spans="1:19" ht="14.25" customHeight="1" x14ac:dyDescent="0.3">
      <c r="A239" t="s">
        <v>2225</v>
      </c>
      <c r="B239" t="s">
        <v>2319</v>
      </c>
      <c r="C239" t="s">
        <v>95</v>
      </c>
      <c r="D239" t="s">
        <v>2321</v>
      </c>
      <c r="E239" t="s">
        <v>2322</v>
      </c>
      <c r="F239" t="s">
        <v>6056</v>
      </c>
      <c r="G239" s="2" t="str">
        <f>HYPERLINK("https://www.facebook.com/100002034428404/posts/1654316194646179")</f>
        <v>https://www.facebook.com/100002034428404/posts/1654316194646179</v>
      </c>
      <c r="H239" t="s">
        <v>6062</v>
      </c>
      <c r="I239" t="s">
        <v>2323</v>
      </c>
      <c r="J239" s="2" t="str">
        <f>HYPERLINK("https://www.facebook.com/100002034428404")</f>
        <v>https://www.facebook.com/100002034428404</v>
      </c>
      <c r="K239">
        <v>1474</v>
      </c>
      <c r="L239" t="s">
        <v>6063</v>
      </c>
      <c r="N239" t="s">
        <v>13</v>
      </c>
      <c r="O239" t="s">
        <v>2323</v>
      </c>
      <c r="P239" s="2" t="str">
        <f>HYPERLINK("https://www.facebook.com/100002034428404")</f>
        <v>https://www.facebook.com/100002034428404</v>
      </c>
      <c r="Q239">
        <v>1474</v>
      </c>
      <c r="R239" t="s">
        <v>6067</v>
      </c>
      <c r="S239" t="s">
        <v>6073</v>
      </c>
    </row>
    <row r="240" spans="1:19" ht="14.25" customHeight="1" x14ac:dyDescent="0.3">
      <c r="A240" t="s">
        <v>629</v>
      </c>
      <c r="B240" t="s">
        <v>1258</v>
      </c>
      <c r="C240" t="s">
        <v>95</v>
      </c>
      <c r="D240" t="s">
        <v>10</v>
      </c>
      <c r="E240" t="s">
        <v>1262</v>
      </c>
      <c r="F240" t="s">
        <v>6059</v>
      </c>
      <c r="G240" s="2" t="str">
        <f>HYPERLINK("https://www.facebook.com/762053551/posts/10156366210158552?comment_id=10156366230048552")</f>
        <v>https://www.facebook.com/762053551/posts/10156366210158552?comment_id=10156366230048552</v>
      </c>
      <c r="H240" t="s">
        <v>6062</v>
      </c>
      <c r="I240" t="s">
        <v>1263</v>
      </c>
      <c r="J240" s="2" t="str">
        <f>HYPERLINK("https://www.facebook.com/100010102728002")</f>
        <v>https://www.facebook.com/100010102728002</v>
      </c>
      <c r="K240">
        <v>0</v>
      </c>
      <c r="L240" t="s">
        <v>6063</v>
      </c>
      <c r="N240" t="s">
        <v>13</v>
      </c>
      <c r="O240" t="s">
        <v>14</v>
      </c>
      <c r="P240" s="2" t="str">
        <f>HYPERLINK("https://www.facebook.com/762053551")</f>
        <v>https://www.facebook.com/762053551</v>
      </c>
      <c r="Q240">
        <v>102347</v>
      </c>
      <c r="R240" t="s">
        <v>6067</v>
      </c>
      <c r="S240" t="s">
        <v>6073</v>
      </c>
    </row>
    <row r="241" spans="1:19" ht="14.25" customHeight="1" x14ac:dyDescent="0.3">
      <c r="A241" t="s">
        <v>4439</v>
      </c>
      <c r="B241" t="s">
        <v>4909</v>
      </c>
      <c r="C241" t="s">
        <v>3538</v>
      </c>
      <c r="D241" t="s">
        <v>877</v>
      </c>
      <c r="E241" t="s">
        <v>4910</v>
      </c>
      <c r="F241" t="s">
        <v>6059</v>
      </c>
      <c r="G241" s="2" t="str">
        <f>HYPERLINK("https://www.facebook.com/114364555250747/posts/1804141566273029?comment_id=1805546029465916")</f>
        <v>https://www.facebook.com/114364555250747/posts/1804141566273029?comment_id=1805546029465916</v>
      </c>
      <c r="H241" t="s">
        <v>6062</v>
      </c>
      <c r="I241" t="s">
        <v>4911</v>
      </c>
      <c r="J241" s="2" t="str">
        <f>HYPERLINK("https://www.facebook.com/100000011832822")</f>
        <v>https://www.facebook.com/100000011832822</v>
      </c>
      <c r="K241">
        <v>0</v>
      </c>
      <c r="L241" t="s">
        <v>6063</v>
      </c>
      <c r="N241" t="s">
        <v>13</v>
      </c>
      <c r="O241" t="s">
        <v>880</v>
      </c>
      <c r="P241" s="2" t="str">
        <f>HYPERLINK("https://www.facebook.com/114364555250747")</f>
        <v>https://www.facebook.com/114364555250747</v>
      </c>
      <c r="Q241">
        <v>100059</v>
      </c>
      <c r="R241" t="s">
        <v>6067</v>
      </c>
      <c r="S241" t="s">
        <v>6073</v>
      </c>
    </row>
    <row r="242" spans="1:19" ht="14.25" customHeight="1" x14ac:dyDescent="0.3">
      <c r="A242" t="s">
        <v>5409</v>
      </c>
      <c r="B242" t="s">
        <v>6016</v>
      </c>
      <c r="C242" t="s">
        <v>3538</v>
      </c>
      <c r="D242" t="s">
        <v>6018</v>
      </c>
      <c r="E242" t="s">
        <v>6019</v>
      </c>
      <c r="F242" t="s">
        <v>6056</v>
      </c>
      <c r="G242" s="2" t="str">
        <f>HYPERLINK("https://www.facebook.com/100001778018590/posts/1727693860633198")</f>
        <v>https://www.facebook.com/100001778018590/posts/1727693860633198</v>
      </c>
      <c r="H242" t="s">
        <v>6062</v>
      </c>
      <c r="I242" t="s">
        <v>6020</v>
      </c>
      <c r="J242" s="2" t="str">
        <f>HYPERLINK("https://www.facebook.com/100001778018590")</f>
        <v>https://www.facebook.com/100001778018590</v>
      </c>
      <c r="K242">
        <v>389</v>
      </c>
      <c r="L242" t="s">
        <v>6064</v>
      </c>
      <c r="N242" t="s">
        <v>13</v>
      </c>
      <c r="O242" t="s">
        <v>6020</v>
      </c>
      <c r="P242" s="2" t="str">
        <f>HYPERLINK("https://www.facebook.com/100001778018590")</f>
        <v>https://www.facebook.com/100001778018590</v>
      </c>
      <c r="Q242">
        <v>389</v>
      </c>
      <c r="R242" t="s">
        <v>6067</v>
      </c>
      <c r="S242" t="s">
        <v>6073</v>
      </c>
    </row>
    <row r="243" spans="1:19" ht="14.25" customHeight="1" x14ac:dyDescent="0.3">
      <c r="A243" t="s">
        <v>4995</v>
      </c>
      <c r="B243" t="s">
        <v>1531</v>
      </c>
      <c r="C243" t="s">
        <v>3538</v>
      </c>
      <c r="D243" t="s">
        <v>5017</v>
      </c>
      <c r="E243" t="s">
        <v>5018</v>
      </c>
      <c r="F243" t="s">
        <v>6058</v>
      </c>
      <c r="G243" s="2" t="str">
        <f>HYPERLINK("https://www.facebook.com/100002213960769/posts/1754487217968393")</f>
        <v>https://www.facebook.com/100002213960769/posts/1754487217968393</v>
      </c>
      <c r="H243" t="s">
        <v>6062</v>
      </c>
      <c r="I243" t="s">
        <v>5291</v>
      </c>
      <c r="J243" s="2" t="str">
        <f>HYPERLINK("https://www.facebook.com/100002213960769")</f>
        <v>https://www.facebook.com/100002213960769</v>
      </c>
      <c r="K243">
        <v>217</v>
      </c>
      <c r="L243" t="s">
        <v>6064</v>
      </c>
      <c r="N243" t="s">
        <v>13</v>
      </c>
      <c r="O243" t="s">
        <v>5291</v>
      </c>
      <c r="P243" s="2" t="str">
        <f>HYPERLINK("https://www.facebook.com/100002213960769")</f>
        <v>https://www.facebook.com/100002213960769</v>
      </c>
      <c r="Q243">
        <v>217</v>
      </c>
      <c r="R243" t="s">
        <v>6067</v>
      </c>
      <c r="S243" t="s">
        <v>6073</v>
      </c>
    </row>
    <row r="244" spans="1:19" ht="14.25" customHeight="1" x14ac:dyDescent="0.3">
      <c r="A244" t="s">
        <v>629</v>
      </c>
      <c r="B244" t="s">
        <v>422</v>
      </c>
      <c r="C244" t="s">
        <v>95</v>
      </c>
      <c r="D244" t="s">
        <v>370</v>
      </c>
      <c r="E244" t="s">
        <v>371</v>
      </c>
      <c r="F244" t="s">
        <v>6058</v>
      </c>
      <c r="G244" s="2" t="str">
        <f>HYPERLINK("https://www.facebook.com/100002476486049/posts/1653483478077519")</f>
        <v>https://www.facebook.com/100002476486049/posts/1653483478077519</v>
      </c>
      <c r="H244" t="s">
        <v>6062</v>
      </c>
      <c r="I244" t="s">
        <v>1820</v>
      </c>
      <c r="J244" s="2" t="str">
        <f>HYPERLINK("https://www.facebook.com/100002476486049")</f>
        <v>https://www.facebook.com/100002476486049</v>
      </c>
      <c r="K244">
        <v>475</v>
      </c>
      <c r="L244" t="s">
        <v>6064</v>
      </c>
      <c r="N244" t="s">
        <v>13</v>
      </c>
      <c r="O244" t="s">
        <v>1820</v>
      </c>
      <c r="P244" s="2" t="str">
        <f>HYPERLINK("https://www.facebook.com/100002476486049")</f>
        <v>https://www.facebook.com/100002476486049</v>
      </c>
      <c r="Q244">
        <v>475</v>
      </c>
      <c r="R244" t="s">
        <v>6067</v>
      </c>
      <c r="S244" t="s">
        <v>6073</v>
      </c>
    </row>
    <row r="245" spans="1:19" ht="14.25" customHeight="1" x14ac:dyDescent="0.3">
      <c r="A245" t="s">
        <v>5409</v>
      </c>
      <c r="B245" t="s">
        <v>5229</v>
      </c>
      <c r="C245" t="s">
        <v>3538</v>
      </c>
      <c r="D245" t="s">
        <v>3757</v>
      </c>
      <c r="E245" t="s">
        <v>5767</v>
      </c>
      <c r="F245" t="s">
        <v>6059</v>
      </c>
      <c r="G245" s="2" t="str">
        <f>HYPERLINK("https://www.facebook.com/1676376791/posts/10209685538090004?comment_id=10209686602636617")</f>
        <v>https://www.facebook.com/1676376791/posts/10209685538090004?comment_id=10209686602636617</v>
      </c>
      <c r="H245" t="s">
        <v>6062</v>
      </c>
      <c r="I245" t="s">
        <v>3760</v>
      </c>
      <c r="J245" s="2" t="str">
        <f>HYPERLINK("https://www.facebook.com/1676376791")</f>
        <v>https://www.facebook.com/1676376791</v>
      </c>
      <c r="K245">
        <v>4013</v>
      </c>
      <c r="L245" t="s">
        <v>6064</v>
      </c>
      <c r="M245">
        <v>41</v>
      </c>
      <c r="N245" t="s">
        <v>13</v>
      </c>
      <c r="O245" t="s">
        <v>3760</v>
      </c>
      <c r="P245" s="2" t="str">
        <f>HYPERLINK("https://www.facebook.com/1676376791")</f>
        <v>https://www.facebook.com/1676376791</v>
      </c>
      <c r="Q245">
        <v>4013</v>
      </c>
      <c r="R245" t="s">
        <v>6067</v>
      </c>
      <c r="S245" t="s">
        <v>6073</v>
      </c>
    </row>
    <row r="246" spans="1:19" ht="14.25" customHeight="1" x14ac:dyDescent="0.3">
      <c r="A246" t="s">
        <v>5409</v>
      </c>
      <c r="B246" t="s">
        <v>4360</v>
      </c>
      <c r="C246" t="s">
        <v>3538</v>
      </c>
      <c r="D246" t="s">
        <v>3757</v>
      </c>
      <c r="E246" t="s">
        <v>5963</v>
      </c>
      <c r="F246" t="s">
        <v>6057</v>
      </c>
      <c r="G246" s="2" t="str">
        <f>HYPERLINK("https://www.facebook.com/1676376791/posts/10209685538090004")</f>
        <v>https://www.facebook.com/1676376791/posts/10209685538090004</v>
      </c>
      <c r="H246" t="s">
        <v>6062</v>
      </c>
      <c r="I246" t="s">
        <v>3760</v>
      </c>
      <c r="J246" s="2" t="str">
        <f>HYPERLINK("https://www.facebook.com/1676376791")</f>
        <v>https://www.facebook.com/1676376791</v>
      </c>
      <c r="K246">
        <v>4013</v>
      </c>
      <c r="L246" t="s">
        <v>6064</v>
      </c>
      <c r="M246">
        <v>41</v>
      </c>
      <c r="N246" t="s">
        <v>13</v>
      </c>
      <c r="O246" t="s">
        <v>3760</v>
      </c>
      <c r="P246" s="2" t="str">
        <f>HYPERLINK("https://www.facebook.com/1676376791")</f>
        <v>https://www.facebook.com/1676376791</v>
      </c>
      <c r="Q246">
        <v>4013</v>
      </c>
      <c r="R246" t="s">
        <v>6067</v>
      </c>
      <c r="S246" t="s">
        <v>6073</v>
      </c>
    </row>
    <row r="247" spans="1:19" ht="14.25" customHeight="1" x14ac:dyDescent="0.3">
      <c r="A247" t="s">
        <v>4439</v>
      </c>
      <c r="B247" t="s">
        <v>2113</v>
      </c>
      <c r="C247" t="s">
        <v>3538</v>
      </c>
      <c r="D247" t="s">
        <v>4468</v>
      </c>
      <c r="E247" t="s">
        <v>4922</v>
      </c>
      <c r="F247" t="s">
        <v>6059</v>
      </c>
      <c r="G247" s="2" t="str">
        <f>HYPERLINK("https://www.facebook.com/1529329267308888/posts/2058827921025684?comment_id=2059451880963288")</f>
        <v>https://www.facebook.com/1529329267308888/posts/2058827921025684?comment_id=2059451880963288</v>
      </c>
      <c r="H247" t="s">
        <v>6062</v>
      </c>
      <c r="I247" t="s">
        <v>4923</v>
      </c>
      <c r="J247" s="2" t="str">
        <f>HYPERLINK("https://www.facebook.com/100002932326604")</f>
        <v>https://www.facebook.com/100002932326604</v>
      </c>
      <c r="K247">
        <v>167</v>
      </c>
      <c r="L247" t="s">
        <v>6064</v>
      </c>
      <c r="N247" t="s">
        <v>13</v>
      </c>
      <c r="O247" t="s">
        <v>4471</v>
      </c>
      <c r="P247" s="2" t="str">
        <f>HYPERLINK("https://www.facebook.com/1529329267308888")</f>
        <v>https://www.facebook.com/1529329267308888</v>
      </c>
      <c r="R247" t="s">
        <v>6067</v>
      </c>
    </row>
    <row r="248" spans="1:19" ht="14.25" customHeight="1" x14ac:dyDescent="0.3">
      <c r="A248" t="s">
        <v>5409</v>
      </c>
      <c r="B248" t="s">
        <v>2034</v>
      </c>
      <c r="C248" t="s">
        <v>3538</v>
      </c>
      <c r="D248" t="s">
        <v>5937</v>
      </c>
      <c r="E248" t="s">
        <v>5938</v>
      </c>
      <c r="F248" t="s">
        <v>6059</v>
      </c>
      <c r="G248" s="2" t="str">
        <f>HYPERLINK("https://www.facebook.com/100009401553973/posts/2022913204698712?comment_id=2023081931348506")</f>
        <v>https://www.facebook.com/100009401553973/posts/2022913204698712?comment_id=2023081931348506</v>
      </c>
      <c r="H248" t="s">
        <v>6062</v>
      </c>
      <c r="I248" t="s">
        <v>5939</v>
      </c>
      <c r="J248" s="2" t="str">
        <f>HYPERLINK("https://www.facebook.com/100000048618051")</f>
        <v>https://www.facebook.com/100000048618051</v>
      </c>
      <c r="K248">
        <v>1734</v>
      </c>
      <c r="L248" t="s">
        <v>6064</v>
      </c>
      <c r="N248" t="s">
        <v>13</v>
      </c>
      <c r="O248" t="s">
        <v>5940</v>
      </c>
      <c r="P248" s="2" t="str">
        <f>HYPERLINK("https://www.facebook.com/100009401553973")</f>
        <v>https://www.facebook.com/100009401553973</v>
      </c>
      <c r="Q248">
        <v>1078</v>
      </c>
      <c r="R248" t="s">
        <v>6067</v>
      </c>
      <c r="S248" t="s">
        <v>6073</v>
      </c>
    </row>
    <row r="249" spans="1:19" ht="14.25" customHeight="1" x14ac:dyDescent="0.3">
      <c r="A249" t="s">
        <v>4439</v>
      </c>
      <c r="B249" t="s">
        <v>1615</v>
      </c>
      <c r="C249" t="s">
        <v>3538</v>
      </c>
      <c r="D249" t="s">
        <v>4801</v>
      </c>
      <c r="E249" t="s">
        <v>4802</v>
      </c>
      <c r="F249" t="s">
        <v>6059</v>
      </c>
      <c r="G249" s="2" t="str">
        <f>HYPERLINK("https://www.facebook.com/100000817437246/posts/1646973195339912?comment_id=1647351245302107")</f>
        <v>https://www.facebook.com/100000817437246/posts/1646973195339912?comment_id=1647351245302107</v>
      </c>
      <c r="H249" t="s">
        <v>6062</v>
      </c>
      <c r="I249" t="s">
        <v>4803</v>
      </c>
      <c r="J249" s="2" t="str">
        <f>HYPERLINK("https://www.facebook.com/100001562329588")</f>
        <v>https://www.facebook.com/100001562329588</v>
      </c>
      <c r="K249">
        <v>674</v>
      </c>
      <c r="L249" t="s">
        <v>6064</v>
      </c>
      <c r="N249" t="s">
        <v>13</v>
      </c>
      <c r="O249" t="s">
        <v>4804</v>
      </c>
      <c r="P249" s="2" t="str">
        <f>HYPERLINK("https://www.facebook.com/100000817437246")</f>
        <v>https://www.facebook.com/100000817437246</v>
      </c>
      <c r="Q249">
        <v>1821</v>
      </c>
      <c r="R249" t="s">
        <v>6067</v>
      </c>
      <c r="S249" t="s">
        <v>6073</v>
      </c>
    </row>
    <row r="250" spans="1:19" ht="14.25" customHeight="1" x14ac:dyDescent="0.3">
      <c r="A250" t="s">
        <v>4439</v>
      </c>
      <c r="B250" t="s">
        <v>4841</v>
      </c>
      <c r="C250" t="s">
        <v>3538</v>
      </c>
      <c r="D250" t="s">
        <v>4801</v>
      </c>
      <c r="E250" t="s">
        <v>4842</v>
      </c>
      <c r="F250" t="s">
        <v>6059</v>
      </c>
      <c r="G250" s="2" t="str">
        <f>HYPERLINK("https://www.facebook.com/100000817437246/posts/1646973195339912?comment_id=1647303441973554")</f>
        <v>https://www.facebook.com/100000817437246/posts/1646973195339912?comment_id=1647303441973554</v>
      </c>
      <c r="H250" t="s">
        <v>6062</v>
      </c>
      <c r="I250" t="s">
        <v>4803</v>
      </c>
      <c r="J250" s="2" t="str">
        <f>HYPERLINK("https://www.facebook.com/100001562329588")</f>
        <v>https://www.facebook.com/100001562329588</v>
      </c>
      <c r="K250">
        <v>674</v>
      </c>
      <c r="L250" t="s">
        <v>6064</v>
      </c>
      <c r="N250" t="s">
        <v>13</v>
      </c>
      <c r="O250" t="s">
        <v>4804</v>
      </c>
      <c r="P250" s="2" t="str">
        <f>HYPERLINK("https://www.facebook.com/100000817437246")</f>
        <v>https://www.facebook.com/100000817437246</v>
      </c>
      <c r="Q250">
        <v>1821</v>
      </c>
      <c r="R250" t="s">
        <v>6067</v>
      </c>
      <c r="S250" t="s">
        <v>6073</v>
      </c>
    </row>
    <row r="251" spans="1:19" ht="14.25" customHeight="1" x14ac:dyDescent="0.3">
      <c r="A251" t="s">
        <v>629</v>
      </c>
      <c r="B251" t="s">
        <v>468</v>
      </c>
      <c r="C251" t="s">
        <v>95</v>
      </c>
      <c r="D251" t="s">
        <v>370</v>
      </c>
      <c r="E251" t="s">
        <v>371</v>
      </c>
      <c r="F251" t="s">
        <v>6058</v>
      </c>
      <c r="G251" s="2" t="str">
        <f>HYPERLINK("https://www.facebook.com/100002354449727/posts/1698153743606424")</f>
        <v>https://www.facebook.com/100002354449727/posts/1698153743606424</v>
      </c>
      <c r="H251" t="s">
        <v>6062</v>
      </c>
      <c r="I251" t="s">
        <v>1983</v>
      </c>
      <c r="J251" s="2" t="str">
        <f>HYPERLINK("https://www.facebook.com/100002354449727")</f>
        <v>https://www.facebook.com/100002354449727</v>
      </c>
      <c r="K251">
        <v>497</v>
      </c>
      <c r="L251" t="s">
        <v>6064</v>
      </c>
      <c r="N251" t="s">
        <v>13</v>
      </c>
      <c r="O251" t="s">
        <v>1983</v>
      </c>
      <c r="P251" s="2" t="str">
        <f>HYPERLINK("https://www.facebook.com/100002354449727")</f>
        <v>https://www.facebook.com/100002354449727</v>
      </c>
      <c r="Q251">
        <v>497</v>
      </c>
      <c r="R251" t="s">
        <v>6067</v>
      </c>
      <c r="S251" t="s">
        <v>6091</v>
      </c>
    </row>
    <row r="252" spans="1:19" ht="14.25" customHeight="1" x14ac:dyDescent="0.3">
      <c r="A252" t="s">
        <v>2225</v>
      </c>
      <c r="B252" t="s">
        <v>2226</v>
      </c>
      <c r="C252" t="s">
        <v>95</v>
      </c>
      <c r="D252" t="s">
        <v>1310</v>
      </c>
      <c r="E252" t="s">
        <v>2229</v>
      </c>
      <c r="F252" t="s">
        <v>6059</v>
      </c>
      <c r="G252" s="2" t="str">
        <f>HYPERLINK("https://www.facebook.com/100002596202440/posts/1614339498662575?comment_id=1614348925328299")</f>
        <v>https://www.facebook.com/100002596202440/posts/1614339498662575?comment_id=1614348925328299</v>
      </c>
      <c r="H252" t="s">
        <v>6062</v>
      </c>
      <c r="I252" t="s">
        <v>2230</v>
      </c>
      <c r="J252" s="2" t="str">
        <f>HYPERLINK("https://www.facebook.com/100003743124110")</f>
        <v>https://www.facebook.com/100003743124110</v>
      </c>
      <c r="K252">
        <v>637</v>
      </c>
      <c r="L252" t="s">
        <v>6064</v>
      </c>
      <c r="N252" t="s">
        <v>13</v>
      </c>
      <c r="O252" t="s">
        <v>1312</v>
      </c>
      <c r="P252" s="2" t="str">
        <f>HYPERLINK("https://www.facebook.com/100002596202440")</f>
        <v>https://www.facebook.com/100002596202440</v>
      </c>
      <c r="Q252">
        <v>531</v>
      </c>
      <c r="R252" t="s">
        <v>6067</v>
      </c>
      <c r="S252" t="s">
        <v>6073</v>
      </c>
    </row>
    <row r="253" spans="1:19" ht="14.25" customHeight="1" x14ac:dyDescent="0.3">
      <c r="A253" t="s">
        <v>2225</v>
      </c>
      <c r="B253" t="s">
        <v>2904</v>
      </c>
      <c r="C253" t="s">
        <v>95</v>
      </c>
      <c r="D253" t="s">
        <v>1056</v>
      </c>
      <c r="E253" t="s">
        <v>2054</v>
      </c>
      <c r="F253" t="s">
        <v>6058</v>
      </c>
      <c r="G253" s="2" t="str">
        <f>HYPERLINK("https://www.facebook.com/100003946658842/posts/1135808146560730")</f>
        <v>https://www.facebook.com/100003946658842/posts/1135808146560730</v>
      </c>
      <c r="H253" t="s">
        <v>6062</v>
      </c>
      <c r="I253" t="s">
        <v>2908</v>
      </c>
      <c r="J253" s="2" t="str">
        <f>HYPERLINK("https://www.facebook.com/100003946658842")</f>
        <v>https://www.facebook.com/100003946658842</v>
      </c>
      <c r="K253">
        <v>841</v>
      </c>
      <c r="L253" t="s">
        <v>6064</v>
      </c>
      <c r="N253" t="s">
        <v>13</v>
      </c>
      <c r="O253" t="s">
        <v>2908</v>
      </c>
      <c r="P253" s="2" t="str">
        <f>HYPERLINK("https://www.facebook.com/100003946658842")</f>
        <v>https://www.facebook.com/100003946658842</v>
      </c>
      <c r="Q253">
        <v>841</v>
      </c>
      <c r="R253" t="s">
        <v>6067</v>
      </c>
      <c r="S253" t="s">
        <v>6073</v>
      </c>
    </row>
    <row r="254" spans="1:19" ht="14.25" customHeight="1" x14ac:dyDescent="0.3">
      <c r="A254" t="s">
        <v>629</v>
      </c>
      <c r="B254" t="s">
        <v>1043</v>
      </c>
      <c r="C254" t="s">
        <v>95</v>
      </c>
      <c r="D254" t="s">
        <v>10</v>
      </c>
      <c r="E254" t="s">
        <v>1044</v>
      </c>
      <c r="F254" t="s">
        <v>6059</v>
      </c>
      <c r="G254" s="2" t="str">
        <f>HYPERLINK("https://www.facebook.com/762053551/posts/10156366210158552?comment_id=10156366369573552")</f>
        <v>https://www.facebook.com/762053551/posts/10156366210158552?comment_id=10156366369573552</v>
      </c>
      <c r="H254" t="s">
        <v>6062</v>
      </c>
      <c r="I254" t="s">
        <v>1045</v>
      </c>
      <c r="J254" s="2" t="str">
        <f>HYPERLINK("https://www.facebook.com/100006199515976")</f>
        <v>https://www.facebook.com/100006199515976</v>
      </c>
      <c r="K254">
        <v>0</v>
      </c>
      <c r="L254" t="s">
        <v>6064</v>
      </c>
      <c r="N254" t="s">
        <v>13</v>
      </c>
      <c r="O254" t="s">
        <v>14</v>
      </c>
      <c r="P254" s="2" t="str">
        <f>HYPERLINK("https://www.facebook.com/762053551")</f>
        <v>https://www.facebook.com/762053551</v>
      </c>
      <c r="Q254">
        <v>102347</v>
      </c>
      <c r="R254" t="s">
        <v>6067</v>
      </c>
      <c r="S254" t="s">
        <v>6073</v>
      </c>
    </row>
    <row r="255" spans="1:19" ht="14.25" customHeight="1" x14ac:dyDescent="0.3">
      <c r="A255" t="s">
        <v>5409</v>
      </c>
      <c r="B255" t="s">
        <v>915</v>
      </c>
      <c r="C255" t="s">
        <v>3538</v>
      </c>
      <c r="D255" t="s">
        <v>5425</v>
      </c>
      <c r="E255" t="s">
        <v>5587</v>
      </c>
      <c r="F255" t="s">
        <v>6059</v>
      </c>
      <c r="G255" s="2" t="str">
        <f>HYPERLINK("https://www.facebook.com/1717320447/posts/10204642291893366?comment_id=10204646313713909")</f>
        <v>https://www.facebook.com/1717320447/posts/10204642291893366?comment_id=10204646313713909</v>
      </c>
      <c r="H255" t="s">
        <v>6062</v>
      </c>
      <c r="I255" t="s">
        <v>5588</v>
      </c>
      <c r="J255" s="2" t="str">
        <f>HYPERLINK("https://www.facebook.com/100007845607842")</f>
        <v>https://www.facebook.com/100007845607842</v>
      </c>
      <c r="K255">
        <v>1717</v>
      </c>
      <c r="L255" t="s">
        <v>6063</v>
      </c>
      <c r="N255" t="s">
        <v>13</v>
      </c>
      <c r="O255" t="s">
        <v>5427</v>
      </c>
      <c r="P255" s="2" t="str">
        <f>HYPERLINK("https://www.facebook.com/1717320447")</f>
        <v>https://www.facebook.com/1717320447</v>
      </c>
      <c r="Q255">
        <v>0</v>
      </c>
      <c r="R255" t="s">
        <v>6067</v>
      </c>
      <c r="S255" t="s">
        <v>6073</v>
      </c>
    </row>
    <row r="256" spans="1:19" ht="14.25" customHeight="1" x14ac:dyDescent="0.3">
      <c r="A256" t="s">
        <v>1</v>
      </c>
      <c r="B256" t="s">
        <v>8</v>
      </c>
      <c r="C256" t="s">
        <v>9</v>
      </c>
      <c r="D256" t="s">
        <v>10</v>
      </c>
      <c r="E256" t="s">
        <v>11</v>
      </c>
      <c r="F256" t="s">
        <v>6059</v>
      </c>
      <c r="G256" s="2" t="str">
        <f>HYPERLINK("https://www.facebook.com/762053551/posts/10156366210158552?comment_id=10156368619708552")</f>
        <v>https://www.facebook.com/762053551/posts/10156366210158552?comment_id=10156368619708552</v>
      </c>
      <c r="H256" t="s">
        <v>6062</v>
      </c>
      <c r="I256" t="s">
        <v>12</v>
      </c>
      <c r="J256" s="2" t="str">
        <f>HYPERLINK("https://www.facebook.com/100005494150090")</f>
        <v>https://www.facebook.com/100005494150090</v>
      </c>
      <c r="K256">
        <v>0</v>
      </c>
      <c r="L256" t="s">
        <v>6063</v>
      </c>
      <c r="M256">
        <v>40</v>
      </c>
      <c r="N256" t="s">
        <v>13</v>
      </c>
      <c r="O256" t="s">
        <v>14</v>
      </c>
      <c r="P256" s="2" t="str">
        <f>HYPERLINK("https://www.facebook.com/762053551")</f>
        <v>https://www.facebook.com/762053551</v>
      </c>
      <c r="Q256">
        <v>102347</v>
      </c>
      <c r="R256" t="s">
        <v>6067</v>
      </c>
      <c r="S256" t="s">
        <v>6104</v>
      </c>
    </row>
    <row r="257" spans="1:19" ht="14.25" customHeight="1" x14ac:dyDescent="0.3">
      <c r="A257" t="s">
        <v>629</v>
      </c>
      <c r="B257" t="s">
        <v>730</v>
      </c>
      <c r="C257" t="s">
        <v>95</v>
      </c>
      <c r="D257" t="s">
        <v>10</v>
      </c>
      <c r="E257" t="s">
        <v>732</v>
      </c>
      <c r="F257" t="s">
        <v>6059</v>
      </c>
      <c r="G257" s="2" t="str">
        <f>HYPERLINK("https://www.facebook.com/762053551/posts/10156366210158552?comment_id=10156367034828552")</f>
        <v>https://www.facebook.com/762053551/posts/10156366210158552?comment_id=10156367034828552</v>
      </c>
      <c r="H257" t="s">
        <v>6062</v>
      </c>
      <c r="I257" t="s">
        <v>12</v>
      </c>
      <c r="J257" s="2" t="str">
        <f>HYPERLINK("https://www.facebook.com/100005494150090")</f>
        <v>https://www.facebook.com/100005494150090</v>
      </c>
      <c r="K257">
        <v>0</v>
      </c>
      <c r="L257" t="s">
        <v>6063</v>
      </c>
      <c r="M257">
        <v>40</v>
      </c>
      <c r="N257" t="s">
        <v>13</v>
      </c>
      <c r="O257" t="s">
        <v>14</v>
      </c>
      <c r="P257" s="2" t="str">
        <f>HYPERLINK("https://www.facebook.com/762053551")</f>
        <v>https://www.facebook.com/762053551</v>
      </c>
      <c r="Q257">
        <v>102347</v>
      </c>
      <c r="R257" t="s">
        <v>6067</v>
      </c>
      <c r="S257" t="s">
        <v>6104</v>
      </c>
    </row>
    <row r="258" spans="1:19" ht="14.25" customHeight="1" x14ac:dyDescent="0.3">
      <c r="A258" t="s">
        <v>629</v>
      </c>
      <c r="B258" t="s">
        <v>1087</v>
      </c>
      <c r="C258" t="s">
        <v>95</v>
      </c>
      <c r="D258" t="s">
        <v>10</v>
      </c>
      <c r="E258" t="s">
        <v>1088</v>
      </c>
      <c r="F258" t="s">
        <v>6059</v>
      </c>
      <c r="G258" s="2" t="str">
        <f>HYPERLINK("https://www.facebook.com/762053551/posts/10156366210158552?comment_id=10156366330933552")</f>
        <v>https://www.facebook.com/762053551/posts/10156366210158552?comment_id=10156366330933552</v>
      </c>
      <c r="H258" t="s">
        <v>6062</v>
      </c>
      <c r="I258" t="s">
        <v>12</v>
      </c>
      <c r="J258" s="2" t="str">
        <f>HYPERLINK("https://www.facebook.com/100005494150090")</f>
        <v>https://www.facebook.com/100005494150090</v>
      </c>
      <c r="K258">
        <v>0</v>
      </c>
      <c r="L258" t="s">
        <v>6063</v>
      </c>
      <c r="M258">
        <v>40</v>
      </c>
      <c r="N258" t="s">
        <v>13</v>
      </c>
      <c r="O258" t="s">
        <v>14</v>
      </c>
      <c r="P258" s="2" t="str">
        <f>HYPERLINK("https://www.facebook.com/762053551")</f>
        <v>https://www.facebook.com/762053551</v>
      </c>
      <c r="Q258">
        <v>102347</v>
      </c>
      <c r="R258" t="s">
        <v>6067</v>
      </c>
      <c r="S258" t="s">
        <v>6104</v>
      </c>
    </row>
    <row r="259" spans="1:19" ht="14.25" customHeight="1" x14ac:dyDescent="0.3">
      <c r="A259" t="s">
        <v>1</v>
      </c>
      <c r="B259" t="s">
        <v>302</v>
      </c>
      <c r="C259" t="s">
        <v>95</v>
      </c>
      <c r="D259" t="s">
        <v>10</v>
      </c>
      <c r="E259" t="s">
        <v>305</v>
      </c>
      <c r="F259" t="s">
        <v>6059</v>
      </c>
      <c r="G259" s="2" t="str">
        <f>HYPERLINK("https://www.facebook.com/762053551/posts/10156366210158552?comment_id=10156368294178552")</f>
        <v>https://www.facebook.com/762053551/posts/10156366210158552?comment_id=10156368294178552</v>
      </c>
      <c r="H259" t="s">
        <v>6062</v>
      </c>
      <c r="I259" t="s">
        <v>306</v>
      </c>
      <c r="J259" s="2" t="str">
        <f>HYPERLINK("https://www.facebook.com/100023381783027")</f>
        <v>https://www.facebook.com/100023381783027</v>
      </c>
      <c r="K259">
        <v>0</v>
      </c>
      <c r="L259" t="s">
        <v>6063</v>
      </c>
      <c r="N259" t="s">
        <v>13</v>
      </c>
      <c r="O259" t="s">
        <v>14</v>
      </c>
      <c r="P259" s="2" t="str">
        <f>HYPERLINK("https://www.facebook.com/762053551")</f>
        <v>https://www.facebook.com/762053551</v>
      </c>
      <c r="Q259">
        <v>102347</v>
      </c>
      <c r="R259" t="s">
        <v>6067</v>
      </c>
      <c r="S259" t="s">
        <v>6073</v>
      </c>
    </row>
    <row r="260" spans="1:19" ht="14.25" customHeight="1" x14ac:dyDescent="0.3">
      <c r="A260" t="s">
        <v>5409</v>
      </c>
      <c r="B260" t="s">
        <v>3562</v>
      </c>
      <c r="C260" t="s">
        <v>3538</v>
      </c>
      <c r="D260" t="s">
        <v>5425</v>
      </c>
      <c r="E260" t="s">
        <v>5431</v>
      </c>
      <c r="F260" t="s">
        <v>6059</v>
      </c>
      <c r="G260" s="2" t="str">
        <f>HYPERLINK("https://www.facebook.com/1717320447/posts/10204642291893366?comment_id=10204646967610256")</f>
        <v>https://www.facebook.com/1717320447/posts/10204642291893366?comment_id=10204646967610256</v>
      </c>
      <c r="H260" t="s">
        <v>6062</v>
      </c>
      <c r="I260" t="s">
        <v>5432</v>
      </c>
      <c r="J260" s="2" t="str">
        <f>HYPERLINK("https://www.facebook.com/100002661205664")</f>
        <v>https://www.facebook.com/100002661205664</v>
      </c>
      <c r="K260">
        <v>708</v>
      </c>
      <c r="L260" t="s">
        <v>6063</v>
      </c>
      <c r="N260" t="s">
        <v>13</v>
      </c>
      <c r="O260" t="s">
        <v>5427</v>
      </c>
      <c r="P260" s="2" t="str">
        <f>HYPERLINK("https://www.facebook.com/1717320447")</f>
        <v>https://www.facebook.com/1717320447</v>
      </c>
      <c r="Q260">
        <v>0</v>
      </c>
      <c r="R260" t="s">
        <v>6067</v>
      </c>
      <c r="S260" t="s">
        <v>6073</v>
      </c>
    </row>
    <row r="261" spans="1:19" ht="14.25" customHeight="1" x14ac:dyDescent="0.3">
      <c r="A261" t="s">
        <v>3527</v>
      </c>
      <c r="B261" t="s">
        <v>2659</v>
      </c>
      <c r="C261" t="s">
        <v>95</v>
      </c>
      <c r="D261" t="s">
        <v>3689</v>
      </c>
      <c r="E261" t="s">
        <v>3690</v>
      </c>
      <c r="F261" t="s">
        <v>6056</v>
      </c>
      <c r="G261" s="2" t="str">
        <f>HYPERLINK("https://www.facebook.com/100001749975570/posts/1678008392267477")</f>
        <v>https://www.facebook.com/100001749975570/posts/1678008392267477</v>
      </c>
      <c r="H261" t="s">
        <v>6062</v>
      </c>
      <c r="I261" t="s">
        <v>3691</v>
      </c>
      <c r="J261" s="2" t="str">
        <f>HYPERLINK("https://www.facebook.com/100001749975570")</f>
        <v>https://www.facebook.com/100001749975570</v>
      </c>
      <c r="K261">
        <v>644</v>
      </c>
      <c r="L261" t="s">
        <v>6063</v>
      </c>
      <c r="N261" t="s">
        <v>13</v>
      </c>
      <c r="O261" t="s">
        <v>3691</v>
      </c>
      <c r="P261" s="2" t="str">
        <f>HYPERLINK("https://www.facebook.com/100001749975570")</f>
        <v>https://www.facebook.com/100001749975570</v>
      </c>
      <c r="Q261">
        <v>644</v>
      </c>
      <c r="R261" t="s">
        <v>6067</v>
      </c>
      <c r="S261" t="s">
        <v>6073</v>
      </c>
    </row>
    <row r="262" spans="1:19" ht="14.25" customHeight="1" x14ac:dyDescent="0.3">
      <c r="A262" t="s">
        <v>3527</v>
      </c>
      <c r="B262" t="s">
        <v>4413</v>
      </c>
      <c r="C262" t="s">
        <v>3538</v>
      </c>
      <c r="D262" t="s">
        <v>4414</v>
      </c>
      <c r="E262" t="s">
        <v>4415</v>
      </c>
      <c r="F262" t="s">
        <v>6056</v>
      </c>
      <c r="G262" s="2" t="str">
        <f>HYPERLINK("https://www.facebook.com/100003119794650/posts/1595915287189116")</f>
        <v>https://www.facebook.com/100003119794650/posts/1595915287189116</v>
      </c>
      <c r="H262" t="s">
        <v>6062</v>
      </c>
      <c r="I262" t="s">
        <v>4416</v>
      </c>
      <c r="J262" s="2" t="str">
        <f>HYPERLINK("https://www.facebook.com/100003119794650")</f>
        <v>https://www.facebook.com/100003119794650</v>
      </c>
      <c r="K262">
        <v>64</v>
      </c>
      <c r="L262" t="s">
        <v>6063</v>
      </c>
      <c r="N262" t="s">
        <v>13</v>
      </c>
      <c r="O262" t="s">
        <v>4416</v>
      </c>
      <c r="P262" s="2" t="str">
        <f>HYPERLINK("https://www.facebook.com/100003119794650")</f>
        <v>https://www.facebook.com/100003119794650</v>
      </c>
      <c r="Q262">
        <v>64</v>
      </c>
      <c r="R262" t="s">
        <v>6067</v>
      </c>
      <c r="S262" t="s">
        <v>6073</v>
      </c>
    </row>
    <row r="263" spans="1:19" ht="14.25" customHeight="1" x14ac:dyDescent="0.3">
      <c r="A263" t="s">
        <v>2225</v>
      </c>
      <c r="B263" t="s">
        <v>1520</v>
      </c>
      <c r="C263" t="s">
        <v>95</v>
      </c>
      <c r="D263" t="s">
        <v>3206</v>
      </c>
      <c r="E263" t="s">
        <v>4</v>
      </c>
      <c r="F263" t="s">
        <v>6059</v>
      </c>
      <c r="G263" s="2" t="str">
        <f>HYPERLINK("https://www.facebook.com/100008934274771/posts/1810029789304813?comment_id=1810042425970216")</f>
        <v>https://www.facebook.com/100008934274771/posts/1810029789304813?comment_id=1810042425970216</v>
      </c>
      <c r="H263" t="s">
        <v>6062</v>
      </c>
      <c r="I263" t="s">
        <v>3368</v>
      </c>
      <c r="J263" s="2" t="str">
        <f>HYPERLINK("https://www.facebook.com/100003336196393")</f>
        <v>https://www.facebook.com/100003336196393</v>
      </c>
      <c r="K263">
        <v>2518</v>
      </c>
      <c r="L263" t="s">
        <v>6063</v>
      </c>
      <c r="N263" t="s">
        <v>13</v>
      </c>
      <c r="O263" t="s">
        <v>856</v>
      </c>
      <c r="P263" s="2" t="str">
        <f>HYPERLINK("https://www.facebook.com/100008934274771")</f>
        <v>https://www.facebook.com/100008934274771</v>
      </c>
      <c r="Q263">
        <v>10395</v>
      </c>
      <c r="R263" t="s">
        <v>6067</v>
      </c>
      <c r="S263" t="s">
        <v>6073</v>
      </c>
    </row>
    <row r="264" spans="1:19" ht="14.25" customHeight="1" x14ac:dyDescent="0.3">
      <c r="A264" t="s">
        <v>4995</v>
      </c>
      <c r="B264" t="s">
        <v>1186</v>
      </c>
      <c r="C264" t="s">
        <v>3538</v>
      </c>
      <c r="D264" t="s">
        <v>5113</v>
      </c>
      <c r="E264" t="s">
        <v>5191</v>
      </c>
      <c r="F264" t="s">
        <v>6056</v>
      </c>
      <c r="G264" s="2" t="str">
        <f>HYPERLINK("https://www.facebook.com/100002545728016/posts/1660681680693340")</f>
        <v>https://www.facebook.com/100002545728016/posts/1660681680693340</v>
      </c>
      <c r="H264" t="s">
        <v>6062</v>
      </c>
      <c r="I264" t="s">
        <v>5116</v>
      </c>
      <c r="J264" s="2" t="str">
        <f>HYPERLINK("https://www.facebook.com/100002545728016")</f>
        <v>https://www.facebook.com/100002545728016</v>
      </c>
      <c r="K264">
        <v>163</v>
      </c>
      <c r="L264" t="s">
        <v>6063</v>
      </c>
      <c r="N264" t="s">
        <v>13</v>
      </c>
      <c r="O264" t="s">
        <v>5116</v>
      </c>
      <c r="P264" s="2" t="str">
        <f>HYPERLINK("https://www.facebook.com/100002545728016")</f>
        <v>https://www.facebook.com/100002545728016</v>
      </c>
      <c r="Q264">
        <v>163</v>
      </c>
      <c r="R264" t="s">
        <v>6067</v>
      </c>
      <c r="S264" t="s">
        <v>6073</v>
      </c>
    </row>
    <row r="265" spans="1:19" ht="14.25" customHeight="1" x14ac:dyDescent="0.3">
      <c r="A265" t="s">
        <v>1</v>
      </c>
      <c r="B265" t="s">
        <v>504</v>
      </c>
      <c r="C265" t="s">
        <v>95</v>
      </c>
      <c r="D265" t="s">
        <v>500</v>
      </c>
      <c r="E265" t="s">
        <v>505</v>
      </c>
      <c r="F265" t="s">
        <v>6059</v>
      </c>
      <c r="G265" s="2" t="str">
        <f>HYPERLINK("https://www.facebook.com/640737916007917/posts/1754417284639969?comment_id=1754532451295119")</f>
        <v>https://www.facebook.com/640737916007917/posts/1754417284639969?comment_id=1754532451295119</v>
      </c>
      <c r="H265" t="s">
        <v>6062</v>
      </c>
      <c r="I265" t="s">
        <v>506</v>
      </c>
      <c r="J265" s="2" t="str">
        <f>HYPERLINK("https://www.facebook.com/100008235972222")</f>
        <v>https://www.facebook.com/100008235972222</v>
      </c>
      <c r="K265">
        <v>277</v>
      </c>
      <c r="L265" t="s">
        <v>6063</v>
      </c>
      <c r="N265" t="s">
        <v>13</v>
      </c>
      <c r="O265" t="s">
        <v>503</v>
      </c>
      <c r="P265" s="2" t="str">
        <f>HYPERLINK("https://www.facebook.com/640737916007917")</f>
        <v>https://www.facebook.com/640737916007917</v>
      </c>
      <c r="R265" t="s">
        <v>6067</v>
      </c>
      <c r="S265" t="s">
        <v>6073</v>
      </c>
    </row>
    <row r="266" spans="1:19" ht="14.25" customHeight="1" x14ac:dyDescent="0.3">
      <c r="A266" t="s">
        <v>1</v>
      </c>
      <c r="B266" t="s">
        <v>514</v>
      </c>
      <c r="C266" t="s">
        <v>95</v>
      </c>
      <c r="D266" t="s">
        <v>500</v>
      </c>
      <c r="E266" t="s">
        <v>515</v>
      </c>
      <c r="F266" t="s">
        <v>6059</v>
      </c>
      <c r="G266" s="2" t="str">
        <f>HYPERLINK("https://www.facebook.com/640737916007917/posts/1754417284639969?comment_id=1754529214628776")</f>
        <v>https://www.facebook.com/640737916007917/posts/1754417284639969?comment_id=1754529214628776</v>
      </c>
      <c r="H266" t="s">
        <v>6062</v>
      </c>
      <c r="I266" t="s">
        <v>506</v>
      </c>
      <c r="J266" s="2" t="str">
        <f>HYPERLINK("https://www.facebook.com/100008235972222")</f>
        <v>https://www.facebook.com/100008235972222</v>
      </c>
      <c r="K266">
        <v>277</v>
      </c>
      <c r="L266" t="s">
        <v>6063</v>
      </c>
      <c r="N266" t="s">
        <v>13</v>
      </c>
      <c r="O266" t="s">
        <v>503</v>
      </c>
      <c r="P266" s="2" t="str">
        <f>HYPERLINK("https://www.facebook.com/640737916007917")</f>
        <v>https://www.facebook.com/640737916007917</v>
      </c>
      <c r="R266" t="s">
        <v>6067</v>
      </c>
      <c r="S266" t="s">
        <v>6073</v>
      </c>
    </row>
    <row r="267" spans="1:19" ht="14.25" customHeight="1" x14ac:dyDescent="0.3">
      <c r="A267" t="s">
        <v>629</v>
      </c>
      <c r="B267" t="s">
        <v>1577</v>
      </c>
      <c r="C267" t="s">
        <v>95</v>
      </c>
      <c r="D267" t="s">
        <v>370</v>
      </c>
      <c r="E267" t="s">
        <v>371</v>
      </c>
      <c r="F267" t="s">
        <v>6058</v>
      </c>
      <c r="G267" s="2" t="str">
        <f>HYPERLINK("https://www.facebook.com/100004813660806/posts/714013898769059")</f>
        <v>https://www.facebook.com/100004813660806/posts/714013898769059</v>
      </c>
      <c r="H267" t="s">
        <v>6062</v>
      </c>
      <c r="I267" t="s">
        <v>1578</v>
      </c>
      <c r="J267" s="2" t="str">
        <f>HYPERLINK("https://www.facebook.com/100004813660806")</f>
        <v>https://www.facebook.com/100004813660806</v>
      </c>
      <c r="K267">
        <v>0</v>
      </c>
      <c r="L267" t="s">
        <v>6063</v>
      </c>
      <c r="N267" t="s">
        <v>13</v>
      </c>
      <c r="O267" t="s">
        <v>1578</v>
      </c>
      <c r="P267" s="2" t="str">
        <f>HYPERLINK("https://www.facebook.com/100004813660806")</f>
        <v>https://www.facebook.com/100004813660806</v>
      </c>
      <c r="Q267">
        <v>0</v>
      </c>
      <c r="R267" t="s">
        <v>6067</v>
      </c>
      <c r="S267" t="s">
        <v>6073</v>
      </c>
    </row>
    <row r="268" spans="1:19" ht="14.25" customHeight="1" x14ac:dyDescent="0.3">
      <c r="A268" t="s">
        <v>2225</v>
      </c>
      <c r="B268" t="s">
        <v>84</v>
      </c>
      <c r="C268" t="s">
        <v>95</v>
      </c>
      <c r="D268" t="s">
        <v>3231</v>
      </c>
      <c r="E268" t="s">
        <v>3232</v>
      </c>
      <c r="F268" t="s">
        <v>6058</v>
      </c>
      <c r="G268" s="2" t="str">
        <f>HYPERLINK("https://www.facebook.com/100000952239117/posts/1951367384904984")</f>
        <v>https://www.facebook.com/100000952239117/posts/1951367384904984</v>
      </c>
      <c r="H268" t="s">
        <v>6062</v>
      </c>
      <c r="I268" t="s">
        <v>3233</v>
      </c>
      <c r="J268" s="2" t="str">
        <f>HYPERLINK("https://www.facebook.com/100000952239117")</f>
        <v>https://www.facebook.com/100000952239117</v>
      </c>
      <c r="K268">
        <v>0</v>
      </c>
      <c r="L268" t="s">
        <v>6063</v>
      </c>
      <c r="N268" t="s">
        <v>13</v>
      </c>
      <c r="O268" t="s">
        <v>3233</v>
      </c>
      <c r="P268" s="2" t="str">
        <f>HYPERLINK("https://www.facebook.com/100000952239117")</f>
        <v>https://www.facebook.com/100000952239117</v>
      </c>
      <c r="Q268">
        <v>0</v>
      </c>
      <c r="R268" t="s">
        <v>6067</v>
      </c>
    </row>
    <row r="269" spans="1:19" ht="14.25" customHeight="1" x14ac:dyDescent="0.3">
      <c r="A269" t="s">
        <v>3527</v>
      </c>
      <c r="B269" t="s">
        <v>2264</v>
      </c>
      <c r="C269" t="s">
        <v>95</v>
      </c>
      <c r="D269" t="s">
        <v>3175</v>
      </c>
      <c r="E269" t="s">
        <v>3553</v>
      </c>
      <c r="F269" t="s">
        <v>6059</v>
      </c>
      <c r="G269" s="2" t="str">
        <f>HYPERLINK("https://www.facebook.com/100001787112815/posts/1612441262158762?comment_id=1614854231917465")</f>
        <v>https://www.facebook.com/100001787112815/posts/1612441262158762?comment_id=1614854231917465</v>
      </c>
      <c r="H269" t="s">
        <v>6062</v>
      </c>
      <c r="I269" t="s">
        <v>3554</v>
      </c>
      <c r="J269" s="2" t="str">
        <f>HYPERLINK("https://www.facebook.com/100000051830152")</f>
        <v>https://www.facebook.com/100000051830152</v>
      </c>
      <c r="K269">
        <v>536</v>
      </c>
      <c r="L269" t="s">
        <v>6063</v>
      </c>
      <c r="N269" t="s">
        <v>13</v>
      </c>
      <c r="O269" t="s">
        <v>3177</v>
      </c>
      <c r="P269" s="2" t="str">
        <f>HYPERLINK("https://www.facebook.com/100001787112815")</f>
        <v>https://www.facebook.com/100001787112815</v>
      </c>
      <c r="Q269">
        <v>652</v>
      </c>
      <c r="R269" t="s">
        <v>6067</v>
      </c>
      <c r="S269" t="s">
        <v>6073</v>
      </c>
    </row>
    <row r="270" spans="1:19" ht="14.25" customHeight="1" x14ac:dyDescent="0.3">
      <c r="A270" t="s">
        <v>2225</v>
      </c>
      <c r="B270" t="s">
        <v>2536</v>
      </c>
      <c r="C270" t="s">
        <v>95</v>
      </c>
      <c r="D270" t="s">
        <v>853</v>
      </c>
      <c r="E270" t="s">
        <v>2538</v>
      </c>
      <c r="F270" t="s">
        <v>6059</v>
      </c>
      <c r="G270" s="2" t="str">
        <f>HYPERLINK("https://www.facebook.com/100008934274771/posts/1810262525948206?comment_id=1810290575945401")</f>
        <v>https://www.facebook.com/100008934274771/posts/1810262525948206?comment_id=1810290575945401</v>
      </c>
      <c r="H270" t="s">
        <v>6062</v>
      </c>
      <c r="I270" t="s">
        <v>2539</v>
      </c>
      <c r="J270" s="2" t="str">
        <f>HYPERLINK("https://www.facebook.com/100002527690385")</f>
        <v>https://www.facebook.com/100002527690385</v>
      </c>
      <c r="K270">
        <v>0</v>
      </c>
      <c r="L270" t="s">
        <v>6063</v>
      </c>
      <c r="N270" t="s">
        <v>13</v>
      </c>
      <c r="O270" t="s">
        <v>856</v>
      </c>
      <c r="P270" s="2" t="str">
        <f>HYPERLINK("https://www.facebook.com/100008934274771")</f>
        <v>https://www.facebook.com/100008934274771</v>
      </c>
      <c r="Q270">
        <v>10395</v>
      </c>
      <c r="R270" t="s">
        <v>6067</v>
      </c>
      <c r="S270" t="s">
        <v>6088</v>
      </c>
    </row>
    <row r="271" spans="1:19" ht="14.25" customHeight="1" x14ac:dyDescent="0.3">
      <c r="A271" t="s">
        <v>2225</v>
      </c>
      <c r="B271" t="s">
        <v>2536</v>
      </c>
      <c r="C271" t="s">
        <v>95</v>
      </c>
      <c r="D271" t="s">
        <v>853</v>
      </c>
      <c r="E271" t="s">
        <v>2545</v>
      </c>
      <c r="F271" t="s">
        <v>6059</v>
      </c>
      <c r="G271" s="2" t="str">
        <f>HYPERLINK("https://www.facebook.com/100008934274771/posts/1810262525948206?comment_id=1810290409278751")</f>
        <v>https://www.facebook.com/100008934274771/posts/1810262525948206?comment_id=1810290409278751</v>
      </c>
      <c r="H271" t="s">
        <v>6062</v>
      </c>
      <c r="I271" t="s">
        <v>2539</v>
      </c>
      <c r="J271" s="2" t="str">
        <f>HYPERLINK("https://www.facebook.com/100002527690385")</f>
        <v>https://www.facebook.com/100002527690385</v>
      </c>
      <c r="K271">
        <v>0</v>
      </c>
      <c r="L271" t="s">
        <v>6063</v>
      </c>
      <c r="N271" t="s">
        <v>13</v>
      </c>
      <c r="O271" t="s">
        <v>856</v>
      </c>
      <c r="P271" s="2" t="str">
        <f>HYPERLINK("https://www.facebook.com/100008934274771")</f>
        <v>https://www.facebook.com/100008934274771</v>
      </c>
      <c r="Q271">
        <v>10395</v>
      </c>
      <c r="R271" t="s">
        <v>6067</v>
      </c>
      <c r="S271" t="s">
        <v>6088</v>
      </c>
    </row>
    <row r="272" spans="1:19" ht="14.25" customHeight="1" x14ac:dyDescent="0.3">
      <c r="A272" t="s">
        <v>2225</v>
      </c>
      <c r="B272" t="s">
        <v>2494</v>
      </c>
      <c r="C272" t="s">
        <v>95</v>
      </c>
      <c r="D272" t="s">
        <v>544</v>
      </c>
      <c r="E272" t="s">
        <v>545</v>
      </c>
      <c r="F272" t="s">
        <v>6058</v>
      </c>
      <c r="G272" s="2" t="str">
        <f>HYPERLINK("https://www.facebook.com/100010872948849/posts/552520955120331")</f>
        <v>https://www.facebook.com/100010872948849/posts/552520955120331</v>
      </c>
      <c r="H272" t="s">
        <v>6062</v>
      </c>
      <c r="I272" t="s">
        <v>2505</v>
      </c>
      <c r="J272" s="2" t="str">
        <f>HYPERLINK("https://www.facebook.com/100010872948849")</f>
        <v>https://www.facebook.com/100010872948849</v>
      </c>
      <c r="K272">
        <v>3130</v>
      </c>
      <c r="L272" t="s">
        <v>6063</v>
      </c>
      <c r="N272" t="s">
        <v>13</v>
      </c>
      <c r="O272" t="s">
        <v>2505</v>
      </c>
      <c r="P272" s="2" t="str">
        <f>HYPERLINK("https://www.facebook.com/100010872948849")</f>
        <v>https://www.facebook.com/100010872948849</v>
      </c>
      <c r="Q272">
        <v>3130</v>
      </c>
      <c r="R272" t="s">
        <v>6067</v>
      </c>
      <c r="S272" t="s">
        <v>6073</v>
      </c>
    </row>
    <row r="273" spans="1:19" ht="14.25" customHeight="1" x14ac:dyDescent="0.3">
      <c r="A273" t="s">
        <v>1</v>
      </c>
      <c r="B273" t="s">
        <v>283</v>
      </c>
      <c r="C273" t="s">
        <v>95</v>
      </c>
      <c r="D273" t="s">
        <v>33</v>
      </c>
      <c r="E273" t="s">
        <v>285</v>
      </c>
      <c r="F273" t="s">
        <v>6056</v>
      </c>
      <c r="G273" s="2" t="str">
        <f>HYPERLINK("https://www.facebook.com/161596737328565/posts/954678264687071")</f>
        <v>https://www.facebook.com/161596737328565/posts/954678264687071</v>
      </c>
      <c r="H273" t="s">
        <v>6062</v>
      </c>
      <c r="I273" t="s">
        <v>36</v>
      </c>
      <c r="J273" s="2" t="str">
        <f>HYPERLINK("https://www.facebook.com/161596737328565")</f>
        <v>https://www.facebook.com/161596737328565</v>
      </c>
      <c r="K273">
        <v>2433</v>
      </c>
      <c r="L273" t="s">
        <v>6065</v>
      </c>
      <c r="N273" t="s">
        <v>13</v>
      </c>
      <c r="O273" t="s">
        <v>36</v>
      </c>
      <c r="P273" s="2" t="str">
        <f>HYPERLINK("https://www.facebook.com/161596737328565")</f>
        <v>https://www.facebook.com/161596737328565</v>
      </c>
      <c r="Q273">
        <v>2433</v>
      </c>
      <c r="R273" t="s">
        <v>6067</v>
      </c>
      <c r="S273" t="s">
        <v>6073</v>
      </c>
    </row>
    <row r="274" spans="1:19" ht="14.25" customHeight="1" x14ac:dyDescent="0.3">
      <c r="A274" t="s">
        <v>5409</v>
      </c>
      <c r="B274" t="s">
        <v>1406</v>
      </c>
      <c r="C274" t="s">
        <v>3538</v>
      </c>
      <c r="D274" t="s">
        <v>3757</v>
      </c>
      <c r="E274" t="s">
        <v>5774</v>
      </c>
      <c r="F274" t="s">
        <v>6059</v>
      </c>
      <c r="G274" s="2" t="str">
        <f>HYPERLINK("https://www.facebook.com/1676376791/posts/10209685538090004?comment_id=10209686542915124")</f>
        <v>https://www.facebook.com/1676376791/posts/10209685538090004?comment_id=10209686542915124</v>
      </c>
      <c r="H274" t="s">
        <v>6062</v>
      </c>
      <c r="I274" t="s">
        <v>5752</v>
      </c>
      <c r="J274" s="2" t="str">
        <f>HYPERLINK("https://www.facebook.com/100001952374823")</f>
        <v>https://www.facebook.com/100001952374823</v>
      </c>
      <c r="K274">
        <v>81</v>
      </c>
      <c r="L274" t="s">
        <v>6063</v>
      </c>
      <c r="N274" t="s">
        <v>13</v>
      </c>
      <c r="O274" t="s">
        <v>3760</v>
      </c>
      <c r="P274" s="2" t="str">
        <f>HYPERLINK("https://www.facebook.com/1676376791")</f>
        <v>https://www.facebook.com/1676376791</v>
      </c>
      <c r="Q274">
        <v>4013</v>
      </c>
      <c r="R274" t="s">
        <v>6067</v>
      </c>
      <c r="S274" t="s">
        <v>6073</v>
      </c>
    </row>
    <row r="275" spans="1:19" ht="14.25" customHeight="1" x14ac:dyDescent="0.3">
      <c r="A275" t="s">
        <v>5409</v>
      </c>
      <c r="B275" t="s">
        <v>1387</v>
      </c>
      <c r="C275" t="s">
        <v>3538</v>
      </c>
      <c r="D275" t="s">
        <v>3757</v>
      </c>
      <c r="E275" t="s">
        <v>5751</v>
      </c>
      <c r="F275" t="s">
        <v>6059</v>
      </c>
      <c r="G275" s="2" t="str">
        <f>HYPERLINK("https://www.facebook.com/1676376791/posts/10209685538090004?comment_id=10209686716839472")</f>
        <v>https://www.facebook.com/1676376791/posts/10209685538090004?comment_id=10209686716839472</v>
      </c>
      <c r="H275" t="s">
        <v>6062</v>
      </c>
      <c r="I275" t="s">
        <v>5752</v>
      </c>
      <c r="J275" s="2" t="str">
        <f>HYPERLINK("https://www.facebook.com/100001952374823")</f>
        <v>https://www.facebook.com/100001952374823</v>
      </c>
      <c r="K275">
        <v>81</v>
      </c>
      <c r="L275" t="s">
        <v>6063</v>
      </c>
      <c r="N275" t="s">
        <v>13</v>
      </c>
      <c r="O275" t="s">
        <v>3760</v>
      </c>
      <c r="P275" s="2" t="str">
        <f>HYPERLINK("https://www.facebook.com/1676376791")</f>
        <v>https://www.facebook.com/1676376791</v>
      </c>
      <c r="Q275">
        <v>4013</v>
      </c>
      <c r="R275" t="s">
        <v>6067</v>
      </c>
      <c r="S275" t="s">
        <v>6073</v>
      </c>
    </row>
    <row r="276" spans="1:19" ht="14.25" customHeight="1" x14ac:dyDescent="0.3">
      <c r="A276" t="s">
        <v>629</v>
      </c>
      <c r="B276" t="s">
        <v>954</v>
      </c>
      <c r="C276" t="s">
        <v>95</v>
      </c>
      <c r="D276" t="s">
        <v>955</v>
      </c>
      <c r="E276" t="s">
        <v>956</v>
      </c>
      <c r="F276" t="s">
        <v>6059</v>
      </c>
      <c r="G276" s="2" t="str">
        <f>HYPERLINK("https://www.facebook.com/100003876501708/posts/1016694645136409?comment_id=1016695495136324")</f>
        <v>https://www.facebook.com/100003876501708/posts/1016694645136409?comment_id=1016695495136324</v>
      </c>
      <c r="H276" t="s">
        <v>6062</v>
      </c>
      <c r="I276" t="s">
        <v>957</v>
      </c>
      <c r="J276" s="2" t="str">
        <f>HYPERLINK("https://www.facebook.com/100004166221717")</f>
        <v>https://www.facebook.com/100004166221717</v>
      </c>
      <c r="K276">
        <v>0</v>
      </c>
      <c r="L276" t="s">
        <v>6063</v>
      </c>
      <c r="N276" t="s">
        <v>13</v>
      </c>
      <c r="O276" t="s">
        <v>958</v>
      </c>
      <c r="P276" s="2" t="str">
        <f>HYPERLINK("https://www.facebook.com/100003876501708")</f>
        <v>https://www.facebook.com/100003876501708</v>
      </c>
      <c r="Q276">
        <v>441</v>
      </c>
      <c r="R276" t="s">
        <v>6067</v>
      </c>
      <c r="S276" t="s">
        <v>6073</v>
      </c>
    </row>
    <row r="277" spans="1:19" ht="14.25" customHeight="1" x14ac:dyDescent="0.3">
      <c r="A277" t="s">
        <v>629</v>
      </c>
      <c r="B277" t="s">
        <v>1998</v>
      </c>
      <c r="C277" t="s">
        <v>95</v>
      </c>
      <c r="D277" t="s">
        <v>370</v>
      </c>
      <c r="E277" t="s">
        <v>371</v>
      </c>
      <c r="F277" t="s">
        <v>6058</v>
      </c>
      <c r="G277" s="2" t="str">
        <f>HYPERLINK("https://www.facebook.com/100023155881518/posts/189408801840981")</f>
        <v>https://www.facebook.com/100023155881518/posts/189408801840981</v>
      </c>
      <c r="H277" t="s">
        <v>6062</v>
      </c>
      <c r="I277" t="s">
        <v>1999</v>
      </c>
      <c r="J277" s="2" t="str">
        <f>HYPERLINK("https://www.facebook.com/100023155881518")</f>
        <v>https://www.facebook.com/100023155881518</v>
      </c>
      <c r="K277">
        <v>5007</v>
      </c>
      <c r="L277" t="s">
        <v>6063</v>
      </c>
      <c r="N277" t="s">
        <v>13</v>
      </c>
      <c r="O277" t="s">
        <v>1999</v>
      </c>
      <c r="P277" s="2" t="str">
        <f>HYPERLINK("https://www.facebook.com/100023155881518")</f>
        <v>https://www.facebook.com/100023155881518</v>
      </c>
      <c r="Q277">
        <v>5007</v>
      </c>
      <c r="R277" t="s">
        <v>6067</v>
      </c>
    </row>
    <row r="278" spans="1:19" ht="14.25" customHeight="1" x14ac:dyDescent="0.3">
      <c r="A278" t="s">
        <v>2225</v>
      </c>
      <c r="B278" t="s">
        <v>2620</v>
      </c>
      <c r="C278" t="s">
        <v>95</v>
      </c>
      <c r="D278" t="s">
        <v>802</v>
      </c>
      <c r="E278" t="s">
        <v>2621</v>
      </c>
      <c r="F278" t="s">
        <v>6059</v>
      </c>
      <c r="G278" s="2" t="str">
        <f>HYPERLINK("https://www.facebook.com/100001092565164/posts/1736272859752449?comment_id=1736290899750645")</f>
        <v>https://www.facebook.com/100001092565164/posts/1736272859752449?comment_id=1736290899750645</v>
      </c>
      <c r="H278" t="s">
        <v>6062</v>
      </c>
      <c r="I278" t="s">
        <v>2622</v>
      </c>
      <c r="J278" s="2" t="str">
        <f>HYPERLINK("https://www.facebook.com/100000475522161")</f>
        <v>https://www.facebook.com/100000475522161</v>
      </c>
      <c r="K278">
        <v>192</v>
      </c>
      <c r="L278" t="s">
        <v>6063</v>
      </c>
      <c r="N278" t="s">
        <v>13</v>
      </c>
      <c r="O278" t="s">
        <v>1764</v>
      </c>
      <c r="P278" s="2" t="str">
        <f>HYPERLINK("https://www.facebook.com/100001092565164")</f>
        <v>https://www.facebook.com/100001092565164</v>
      </c>
      <c r="Q278">
        <v>1397</v>
      </c>
      <c r="R278" t="s">
        <v>6067</v>
      </c>
      <c r="S278" t="s">
        <v>6073</v>
      </c>
    </row>
    <row r="279" spans="1:19" ht="14.25" customHeight="1" x14ac:dyDescent="0.3">
      <c r="A279" t="s">
        <v>2225</v>
      </c>
      <c r="B279" t="s">
        <v>795</v>
      </c>
      <c r="C279" t="s">
        <v>95</v>
      </c>
      <c r="D279" t="s">
        <v>1056</v>
      </c>
      <c r="E279" t="s">
        <v>1057</v>
      </c>
      <c r="F279" t="s">
        <v>6058</v>
      </c>
      <c r="G279" s="2" t="str">
        <f>HYPERLINK("https://www.facebook.com/100007102862185/posts/2093276080919134")</f>
        <v>https://www.facebook.com/100007102862185/posts/2093276080919134</v>
      </c>
      <c r="H279" t="s">
        <v>6062</v>
      </c>
      <c r="I279" t="s">
        <v>2921</v>
      </c>
      <c r="J279" s="2" t="str">
        <f>HYPERLINK("https://www.facebook.com/100007102862185")</f>
        <v>https://www.facebook.com/100007102862185</v>
      </c>
      <c r="K279">
        <v>14282</v>
      </c>
      <c r="L279" t="s">
        <v>6063</v>
      </c>
      <c r="N279" t="s">
        <v>13</v>
      </c>
      <c r="O279" t="s">
        <v>2921</v>
      </c>
      <c r="P279" s="2" t="str">
        <f>HYPERLINK("https://www.facebook.com/100007102862185")</f>
        <v>https://www.facebook.com/100007102862185</v>
      </c>
      <c r="Q279">
        <v>14282</v>
      </c>
      <c r="R279" t="s">
        <v>6067</v>
      </c>
      <c r="S279" t="s">
        <v>6073</v>
      </c>
    </row>
    <row r="280" spans="1:19" ht="14.25" customHeight="1" x14ac:dyDescent="0.3">
      <c r="A280" t="s">
        <v>4439</v>
      </c>
      <c r="B280" t="s">
        <v>4760</v>
      </c>
      <c r="C280" t="s">
        <v>3538</v>
      </c>
      <c r="D280" t="s">
        <v>4761</v>
      </c>
      <c r="E280" t="s">
        <v>4762</v>
      </c>
      <c r="F280" t="s">
        <v>6056</v>
      </c>
      <c r="G280" s="2" t="str">
        <f>HYPERLINK("https://www.facebook.com/100001128432998/posts/1566287153418884")</f>
        <v>https://www.facebook.com/100001128432998/posts/1566287153418884</v>
      </c>
      <c r="H280" t="s">
        <v>6062</v>
      </c>
      <c r="I280" t="s">
        <v>4763</v>
      </c>
      <c r="J280" s="2" t="str">
        <f>HYPERLINK("https://www.facebook.com/100001128432998")</f>
        <v>https://www.facebook.com/100001128432998</v>
      </c>
      <c r="K280">
        <v>570</v>
      </c>
      <c r="L280" t="s">
        <v>6063</v>
      </c>
      <c r="M280">
        <v>53</v>
      </c>
      <c r="N280" t="s">
        <v>13</v>
      </c>
      <c r="O280" t="s">
        <v>4763</v>
      </c>
      <c r="P280" s="2" t="str">
        <f>HYPERLINK("https://www.facebook.com/100001128432998")</f>
        <v>https://www.facebook.com/100001128432998</v>
      </c>
      <c r="Q280">
        <v>570</v>
      </c>
      <c r="R280" t="s">
        <v>6067</v>
      </c>
      <c r="S280" t="s">
        <v>6073</v>
      </c>
    </row>
    <row r="281" spans="1:19" ht="14.25" customHeight="1" x14ac:dyDescent="0.3">
      <c r="A281" t="s">
        <v>1</v>
      </c>
      <c r="B281" t="s">
        <v>547</v>
      </c>
      <c r="C281" t="s">
        <v>95</v>
      </c>
      <c r="D281" t="s">
        <v>370</v>
      </c>
      <c r="E281" t="s">
        <v>371</v>
      </c>
      <c r="F281" t="s">
        <v>6058</v>
      </c>
      <c r="G281" s="2" t="str">
        <f>HYPERLINK("https://www.facebook.com/1438195163/posts/10216827104936772")</f>
        <v>https://www.facebook.com/1438195163/posts/10216827104936772</v>
      </c>
      <c r="H281" t="s">
        <v>6062</v>
      </c>
      <c r="I281" t="s">
        <v>548</v>
      </c>
      <c r="J281" s="2" t="str">
        <f>HYPERLINK("https://www.facebook.com/1438195163")</f>
        <v>https://www.facebook.com/1438195163</v>
      </c>
      <c r="K281">
        <v>4995</v>
      </c>
      <c r="L281" t="s">
        <v>6064</v>
      </c>
      <c r="N281" t="s">
        <v>13</v>
      </c>
      <c r="O281" t="s">
        <v>548</v>
      </c>
      <c r="P281" s="2" t="str">
        <f>HYPERLINK("https://www.facebook.com/1438195163")</f>
        <v>https://www.facebook.com/1438195163</v>
      </c>
      <c r="Q281">
        <v>4995</v>
      </c>
      <c r="R281" t="s">
        <v>6067</v>
      </c>
      <c r="S281" t="s">
        <v>6073</v>
      </c>
    </row>
    <row r="282" spans="1:19" ht="14.25" customHeight="1" x14ac:dyDescent="0.3">
      <c r="A282" t="s">
        <v>629</v>
      </c>
      <c r="B282" t="s">
        <v>1596</v>
      </c>
      <c r="C282" t="s">
        <v>95</v>
      </c>
      <c r="D282" t="s">
        <v>370</v>
      </c>
      <c r="E282" t="s">
        <v>371</v>
      </c>
      <c r="F282" t="s">
        <v>6058</v>
      </c>
      <c r="G282" s="2" t="str">
        <f>HYPERLINK("https://www.facebook.com/100011250487686/posts/560283641023314")</f>
        <v>https://www.facebook.com/100011250487686/posts/560283641023314</v>
      </c>
      <c r="H282" t="s">
        <v>6062</v>
      </c>
      <c r="I282" t="s">
        <v>1597</v>
      </c>
      <c r="J282" s="2" t="str">
        <f>HYPERLINK("https://www.facebook.com/100011250487686")</f>
        <v>https://www.facebook.com/100011250487686</v>
      </c>
      <c r="K282">
        <v>94</v>
      </c>
      <c r="L282" t="s">
        <v>6063</v>
      </c>
      <c r="N282" t="s">
        <v>13</v>
      </c>
      <c r="O282" t="s">
        <v>1597</v>
      </c>
      <c r="P282" s="2" t="str">
        <f>HYPERLINK("https://www.facebook.com/100011250487686")</f>
        <v>https://www.facebook.com/100011250487686</v>
      </c>
      <c r="Q282">
        <v>94</v>
      </c>
      <c r="R282" t="s">
        <v>6067</v>
      </c>
      <c r="S282" t="s">
        <v>6073</v>
      </c>
    </row>
    <row r="283" spans="1:19" ht="14.25" customHeight="1" x14ac:dyDescent="0.3">
      <c r="A283" t="s">
        <v>2225</v>
      </c>
      <c r="B283" t="s">
        <v>2831</v>
      </c>
      <c r="C283" t="s">
        <v>95</v>
      </c>
      <c r="D283" t="s">
        <v>544</v>
      </c>
      <c r="E283" t="s">
        <v>545</v>
      </c>
      <c r="F283" t="s">
        <v>6058</v>
      </c>
      <c r="G283" s="2" t="str">
        <f>HYPERLINK("https://www.facebook.com/100009059159214/posts/1955485011430118")</f>
        <v>https://www.facebook.com/100009059159214/posts/1955485011430118</v>
      </c>
      <c r="H283" t="s">
        <v>6062</v>
      </c>
      <c r="I283" t="s">
        <v>2834</v>
      </c>
      <c r="J283" s="2" t="str">
        <f>HYPERLINK("https://www.facebook.com/100009059159214")</f>
        <v>https://www.facebook.com/100009059159214</v>
      </c>
      <c r="K283">
        <v>0</v>
      </c>
      <c r="L283" t="s">
        <v>6064</v>
      </c>
      <c r="N283" t="s">
        <v>13</v>
      </c>
      <c r="O283" t="s">
        <v>2834</v>
      </c>
      <c r="P283" s="2" t="str">
        <f>HYPERLINK("https://www.facebook.com/100009059159214")</f>
        <v>https://www.facebook.com/100009059159214</v>
      </c>
      <c r="Q283">
        <v>0</v>
      </c>
      <c r="R283" t="s">
        <v>6067</v>
      </c>
      <c r="S283" t="s">
        <v>6073</v>
      </c>
    </row>
    <row r="284" spans="1:19" ht="14.25" customHeight="1" x14ac:dyDescent="0.3">
      <c r="A284" t="s">
        <v>2225</v>
      </c>
      <c r="B284" t="s">
        <v>3024</v>
      </c>
      <c r="C284" t="s">
        <v>95</v>
      </c>
      <c r="D284" t="s">
        <v>3027</v>
      </c>
      <c r="E284" t="s">
        <v>3028</v>
      </c>
      <c r="F284" t="s">
        <v>6059</v>
      </c>
      <c r="G284" s="2" t="str">
        <f>HYPERLINK("https://www.facebook.com/100001552089271/posts/1778768468851539?comment_id=1780209042040815")</f>
        <v>https://www.facebook.com/100001552089271/posts/1778768468851539?comment_id=1780209042040815</v>
      </c>
      <c r="H284" t="s">
        <v>6062</v>
      </c>
      <c r="I284" t="s">
        <v>3029</v>
      </c>
      <c r="J284" s="2" t="str">
        <f>HYPERLINK("https://www.facebook.com/100001203228947")</f>
        <v>https://www.facebook.com/100001203228947</v>
      </c>
      <c r="K284">
        <v>268</v>
      </c>
      <c r="L284" t="s">
        <v>6064</v>
      </c>
      <c r="M284">
        <v>28</v>
      </c>
      <c r="N284" t="s">
        <v>13</v>
      </c>
      <c r="O284" t="s">
        <v>3030</v>
      </c>
      <c r="P284" s="2" t="str">
        <f>HYPERLINK("https://www.facebook.com/100001552089271")</f>
        <v>https://www.facebook.com/100001552089271</v>
      </c>
      <c r="Q284">
        <v>115</v>
      </c>
      <c r="R284" t="s">
        <v>6067</v>
      </c>
      <c r="S284" t="s">
        <v>6073</v>
      </c>
    </row>
    <row r="285" spans="1:19" ht="14.25" customHeight="1" x14ac:dyDescent="0.3">
      <c r="A285" t="s">
        <v>629</v>
      </c>
      <c r="B285" t="s">
        <v>1567</v>
      </c>
      <c r="C285" t="s">
        <v>95</v>
      </c>
      <c r="D285" t="s">
        <v>370</v>
      </c>
      <c r="E285" t="s">
        <v>371</v>
      </c>
      <c r="F285" t="s">
        <v>6058</v>
      </c>
      <c r="G285" s="2" t="str">
        <f>HYPERLINK("https://www.facebook.com/100002593882045/posts/1611499448946502")</f>
        <v>https://www.facebook.com/100002593882045/posts/1611499448946502</v>
      </c>
      <c r="H285" t="s">
        <v>6062</v>
      </c>
      <c r="I285" t="s">
        <v>1569</v>
      </c>
      <c r="J285" s="2" t="str">
        <f>HYPERLINK("https://www.facebook.com/100002593882045")</f>
        <v>https://www.facebook.com/100002593882045</v>
      </c>
      <c r="K285">
        <v>511</v>
      </c>
      <c r="L285" t="s">
        <v>6063</v>
      </c>
      <c r="N285" t="s">
        <v>13</v>
      </c>
      <c r="O285" t="s">
        <v>1569</v>
      </c>
      <c r="P285" s="2" t="str">
        <f>HYPERLINK("https://www.facebook.com/100002593882045")</f>
        <v>https://www.facebook.com/100002593882045</v>
      </c>
      <c r="Q285">
        <v>511</v>
      </c>
      <c r="R285" t="s">
        <v>6067</v>
      </c>
      <c r="S285" t="s">
        <v>6088</v>
      </c>
    </row>
    <row r="286" spans="1:19" ht="14.25" customHeight="1" x14ac:dyDescent="0.3">
      <c r="A286" t="s">
        <v>5409</v>
      </c>
      <c r="B286" t="s">
        <v>1548</v>
      </c>
      <c r="C286" t="s">
        <v>3538</v>
      </c>
      <c r="D286" t="s">
        <v>5425</v>
      </c>
      <c r="E286" t="s">
        <v>5840</v>
      </c>
      <c r="F286" t="s">
        <v>6059</v>
      </c>
      <c r="G286" s="2" t="str">
        <f>HYPERLINK("https://www.facebook.com/1717320447/posts/10204642291893366?comment_id=10204642379735562")</f>
        <v>https://www.facebook.com/1717320447/posts/10204642291893366?comment_id=10204642379735562</v>
      </c>
      <c r="H286" t="s">
        <v>6062</v>
      </c>
      <c r="I286" t="s">
        <v>5841</v>
      </c>
      <c r="J286" s="2" t="str">
        <f>HYPERLINK("https://www.facebook.com/650399038")</f>
        <v>https://www.facebook.com/650399038</v>
      </c>
      <c r="K286">
        <v>501</v>
      </c>
      <c r="L286" t="s">
        <v>6063</v>
      </c>
      <c r="N286" t="s">
        <v>13</v>
      </c>
      <c r="O286" t="s">
        <v>5427</v>
      </c>
      <c r="P286" s="2" t="str">
        <f>HYPERLINK("https://www.facebook.com/1717320447")</f>
        <v>https://www.facebook.com/1717320447</v>
      </c>
      <c r="Q286">
        <v>0</v>
      </c>
      <c r="R286" t="s">
        <v>6067</v>
      </c>
      <c r="S286" t="s">
        <v>6073</v>
      </c>
    </row>
    <row r="287" spans="1:19" ht="14.25" customHeight="1" x14ac:dyDescent="0.3">
      <c r="A287" t="s">
        <v>3527</v>
      </c>
      <c r="B287" t="s">
        <v>2422</v>
      </c>
      <c r="C287" t="s">
        <v>95</v>
      </c>
      <c r="D287" t="s">
        <v>3483</v>
      </c>
      <c r="E287" t="s">
        <v>3484</v>
      </c>
      <c r="F287" t="s">
        <v>6056</v>
      </c>
      <c r="G287" s="2" t="str">
        <f>HYPERLINK("https://www.facebook.com/100002965377965/posts/1507687119340119")</f>
        <v>https://www.facebook.com/100002965377965/posts/1507687119340119</v>
      </c>
      <c r="H287" t="s">
        <v>6062</v>
      </c>
      <c r="I287" t="s">
        <v>2281</v>
      </c>
      <c r="J287" s="2" t="str">
        <f>HYPERLINK("https://www.facebook.com/100002965377965")</f>
        <v>https://www.facebook.com/100002965377965</v>
      </c>
      <c r="K287">
        <v>6126</v>
      </c>
      <c r="L287" t="s">
        <v>6063</v>
      </c>
      <c r="N287" t="s">
        <v>13</v>
      </c>
      <c r="O287" t="s">
        <v>2281</v>
      </c>
      <c r="P287" s="2" t="str">
        <f>HYPERLINK("https://www.facebook.com/100002965377965")</f>
        <v>https://www.facebook.com/100002965377965</v>
      </c>
      <c r="Q287">
        <v>6126</v>
      </c>
      <c r="R287" t="s">
        <v>6067</v>
      </c>
      <c r="S287" t="s">
        <v>6073</v>
      </c>
    </row>
    <row r="288" spans="1:19" ht="14.25" customHeight="1" x14ac:dyDescent="0.3">
      <c r="A288" t="s">
        <v>629</v>
      </c>
      <c r="B288" t="s">
        <v>1146</v>
      </c>
      <c r="C288" t="s">
        <v>95</v>
      </c>
      <c r="D288" t="s">
        <v>1099</v>
      </c>
      <c r="E288" t="s">
        <v>1147</v>
      </c>
      <c r="F288" t="s">
        <v>6059</v>
      </c>
      <c r="G288" s="2" t="str">
        <f>HYPERLINK("https://www.facebook.com/100002489064006/posts/1666923993400553?comment_id=1670513299708289")</f>
        <v>https://www.facebook.com/100002489064006/posts/1666923993400553?comment_id=1670513299708289</v>
      </c>
      <c r="H288" t="s">
        <v>6062</v>
      </c>
      <c r="I288" t="s">
        <v>1148</v>
      </c>
      <c r="J288" s="2" t="str">
        <f>HYPERLINK("https://www.facebook.com/100005707741796")</f>
        <v>https://www.facebook.com/100005707741796</v>
      </c>
      <c r="K288">
        <v>111</v>
      </c>
      <c r="L288" t="s">
        <v>6063</v>
      </c>
      <c r="N288" t="s">
        <v>13</v>
      </c>
      <c r="O288" t="s">
        <v>1101</v>
      </c>
      <c r="P288" s="2" t="str">
        <f>HYPERLINK("https://www.facebook.com/100002489064006")</f>
        <v>https://www.facebook.com/100002489064006</v>
      </c>
      <c r="Q288">
        <v>2089</v>
      </c>
      <c r="R288" t="s">
        <v>6067</v>
      </c>
      <c r="S288" t="s">
        <v>6073</v>
      </c>
    </row>
    <row r="289" spans="1:19" ht="14.25" customHeight="1" x14ac:dyDescent="0.3">
      <c r="A289" t="s">
        <v>629</v>
      </c>
      <c r="B289" t="s">
        <v>1418</v>
      </c>
      <c r="C289" t="s">
        <v>95</v>
      </c>
      <c r="D289" t="s">
        <v>464</v>
      </c>
      <c r="E289" t="s">
        <v>1419</v>
      </c>
      <c r="F289" t="s">
        <v>6059</v>
      </c>
      <c r="G289" s="2" t="str">
        <f>HYPERLINK("https://www.facebook.com/1362386453/posts/10216460219362335?comment_id=10216466936450258")</f>
        <v>https://www.facebook.com/1362386453/posts/10216460219362335?comment_id=10216466936450258</v>
      </c>
      <c r="H289" t="s">
        <v>6062</v>
      </c>
      <c r="I289" t="s">
        <v>1420</v>
      </c>
      <c r="J289" s="2" t="str">
        <f>HYPERLINK("https://www.facebook.com/100001479368296")</f>
        <v>https://www.facebook.com/100001479368296</v>
      </c>
      <c r="K289">
        <v>0</v>
      </c>
      <c r="L289" t="s">
        <v>6063</v>
      </c>
      <c r="N289" t="s">
        <v>13</v>
      </c>
      <c r="O289" t="s">
        <v>467</v>
      </c>
      <c r="P289" s="2" t="str">
        <f>HYPERLINK("https://www.facebook.com/1362386453")</f>
        <v>https://www.facebook.com/1362386453</v>
      </c>
      <c r="Q289">
        <v>3896</v>
      </c>
      <c r="R289" t="s">
        <v>6067</v>
      </c>
      <c r="S289" t="s">
        <v>6073</v>
      </c>
    </row>
    <row r="290" spans="1:19" ht="14.25" customHeight="1" x14ac:dyDescent="0.3">
      <c r="A290" t="s">
        <v>5409</v>
      </c>
      <c r="B290" t="s">
        <v>343</v>
      </c>
      <c r="C290" t="s">
        <v>3538</v>
      </c>
      <c r="D290" t="s">
        <v>5847</v>
      </c>
      <c r="E290" t="s">
        <v>5848</v>
      </c>
      <c r="F290" t="s">
        <v>6058</v>
      </c>
      <c r="G290" s="2" t="str">
        <f>HYPERLINK("https://www.facebook.com/100001555581442/posts/1744776128917556")</f>
        <v>https://www.facebook.com/100001555581442/posts/1744776128917556</v>
      </c>
      <c r="H290" t="s">
        <v>6062</v>
      </c>
      <c r="I290" t="s">
        <v>5849</v>
      </c>
      <c r="J290" s="2" t="str">
        <f>HYPERLINK("https://www.facebook.com/100001555581442")</f>
        <v>https://www.facebook.com/100001555581442</v>
      </c>
      <c r="K290">
        <v>591</v>
      </c>
      <c r="L290" t="s">
        <v>6063</v>
      </c>
      <c r="N290" t="s">
        <v>13</v>
      </c>
      <c r="O290" t="s">
        <v>5849</v>
      </c>
      <c r="P290" s="2" t="str">
        <f>HYPERLINK("https://www.facebook.com/100001555581442")</f>
        <v>https://www.facebook.com/100001555581442</v>
      </c>
      <c r="Q290">
        <v>591</v>
      </c>
      <c r="R290" t="s">
        <v>6067</v>
      </c>
      <c r="S290" t="s">
        <v>6073</v>
      </c>
    </row>
    <row r="291" spans="1:19" ht="14.25" customHeight="1" x14ac:dyDescent="0.3">
      <c r="A291" t="s">
        <v>2225</v>
      </c>
      <c r="B291" t="s">
        <v>2494</v>
      </c>
      <c r="C291" t="s">
        <v>95</v>
      </c>
      <c r="D291" t="s">
        <v>853</v>
      </c>
      <c r="E291" t="s">
        <v>2495</v>
      </c>
      <c r="F291" t="s">
        <v>6059</v>
      </c>
      <c r="G291" s="2" t="str">
        <f>HYPERLINK("https://www.facebook.com/100008934274771/posts/1810262525948206?comment_id=1810291912611934")</f>
        <v>https://www.facebook.com/100008934274771/posts/1810262525948206?comment_id=1810291912611934</v>
      </c>
      <c r="H291" t="s">
        <v>6062</v>
      </c>
      <c r="I291" t="s">
        <v>2496</v>
      </c>
      <c r="J291" s="2" t="str">
        <f>HYPERLINK("https://www.facebook.com/100015479828225")</f>
        <v>https://www.facebook.com/100015479828225</v>
      </c>
      <c r="K291">
        <v>111</v>
      </c>
      <c r="L291" t="s">
        <v>6063</v>
      </c>
      <c r="N291" t="s">
        <v>13</v>
      </c>
      <c r="O291" t="s">
        <v>856</v>
      </c>
      <c r="P291" s="2" t="str">
        <f>HYPERLINK("https://www.facebook.com/100008934274771")</f>
        <v>https://www.facebook.com/100008934274771</v>
      </c>
      <c r="Q291">
        <v>10395</v>
      </c>
      <c r="R291" t="s">
        <v>6067</v>
      </c>
      <c r="S291" t="s">
        <v>6073</v>
      </c>
    </row>
    <row r="292" spans="1:19" ht="14.25" customHeight="1" x14ac:dyDescent="0.3">
      <c r="A292" t="s">
        <v>2225</v>
      </c>
      <c r="B292" t="s">
        <v>2620</v>
      </c>
      <c r="C292" t="s">
        <v>95</v>
      </c>
      <c r="D292" t="s">
        <v>544</v>
      </c>
      <c r="E292" t="s">
        <v>545</v>
      </c>
      <c r="F292" t="s">
        <v>6058</v>
      </c>
      <c r="G292" s="2" t="str">
        <f>HYPERLINK("https://www.facebook.com/100007684184307/posts/2012115655721221")</f>
        <v>https://www.facebook.com/100007684184307/posts/2012115655721221</v>
      </c>
      <c r="H292" t="s">
        <v>6062</v>
      </c>
      <c r="I292" t="s">
        <v>1888</v>
      </c>
      <c r="J292" s="2" t="str">
        <f>HYPERLINK("https://www.facebook.com/100007684184307")</f>
        <v>https://www.facebook.com/100007684184307</v>
      </c>
      <c r="K292">
        <v>123</v>
      </c>
      <c r="L292" t="s">
        <v>6064</v>
      </c>
      <c r="N292" t="s">
        <v>13</v>
      </c>
      <c r="O292" t="s">
        <v>1888</v>
      </c>
      <c r="P292" s="2" t="str">
        <f>HYPERLINK("https://www.facebook.com/100007684184307")</f>
        <v>https://www.facebook.com/100007684184307</v>
      </c>
      <c r="Q292">
        <v>123</v>
      </c>
      <c r="R292" t="s">
        <v>6067</v>
      </c>
      <c r="S292" t="s">
        <v>6073</v>
      </c>
    </row>
    <row r="293" spans="1:19" ht="14.25" customHeight="1" x14ac:dyDescent="0.3">
      <c r="A293" t="s">
        <v>629</v>
      </c>
      <c r="B293" t="s">
        <v>457</v>
      </c>
      <c r="C293" t="s">
        <v>95</v>
      </c>
      <c r="D293" t="s">
        <v>370</v>
      </c>
      <c r="E293" t="s">
        <v>371</v>
      </c>
      <c r="F293" t="s">
        <v>6058</v>
      </c>
      <c r="G293" s="2" t="str">
        <f>HYPERLINK("https://www.facebook.com/100007684184307/posts/2012342645698522")</f>
        <v>https://www.facebook.com/100007684184307/posts/2012342645698522</v>
      </c>
      <c r="H293" t="s">
        <v>6062</v>
      </c>
      <c r="I293" t="s">
        <v>1888</v>
      </c>
      <c r="J293" s="2" t="str">
        <f>HYPERLINK("https://www.facebook.com/100007684184307")</f>
        <v>https://www.facebook.com/100007684184307</v>
      </c>
      <c r="K293">
        <v>123</v>
      </c>
      <c r="L293" t="s">
        <v>6064</v>
      </c>
      <c r="N293" t="s">
        <v>13</v>
      </c>
      <c r="O293" t="s">
        <v>1888</v>
      </c>
      <c r="P293" s="2" t="str">
        <f>HYPERLINK("https://www.facebook.com/100007684184307")</f>
        <v>https://www.facebook.com/100007684184307</v>
      </c>
      <c r="Q293">
        <v>123</v>
      </c>
      <c r="R293" t="s">
        <v>6067</v>
      </c>
      <c r="S293" t="s">
        <v>6073</v>
      </c>
    </row>
    <row r="294" spans="1:19" ht="14.25" customHeight="1" x14ac:dyDescent="0.3">
      <c r="A294" t="s">
        <v>2225</v>
      </c>
      <c r="B294" t="s">
        <v>2741</v>
      </c>
      <c r="C294" t="s">
        <v>95</v>
      </c>
      <c r="D294" t="s">
        <v>2746</v>
      </c>
      <c r="E294" t="s">
        <v>2747</v>
      </c>
      <c r="F294" t="s">
        <v>6059</v>
      </c>
      <c r="G294" s="2" t="str">
        <f>HYPERLINK("https://www.facebook.com/1213507716/posts/10216075938990604?comment_id=10216077882959202")</f>
        <v>https://www.facebook.com/1213507716/posts/10216075938990604?comment_id=10216077882959202</v>
      </c>
      <c r="H294" t="s">
        <v>6062</v>
      </c>
      <c r="I294" t="s">
        <v>2748</v>
      </c>
      <c r="J294" s="2" t="str">
        <f>HYPERLINK("https://www.facebook.com/100000860628187")</f>
        <v>https://www.facebook.com/100000860628187</v>
      </c>
      <c r="K294">
        <v>868</v>
      </c>
      <c r="L294" t="s">
        <v>6063</v>
      </c>
      <c r="N294" t="s">
        <v>13</v>
      </c>
      <c r="O294" t="s">
        <v>2749</v>
      </c>
      <c r="P294" s="2" t="str">
        <f>HYPERLINK("https://www.facebook.com/1213507716")</f>
        <v>https://www.facebook.com/1213507716</v>
      </c>
      <c r="Q294">
        <v>7017</v>
      </c>
      <c r="R294" t="s">
        <v>6067</v>
      </c>
      <c r="S294" t="s">
        <v>6073</v>
      </c>
    </row>
    <row r="295" spans="1:19" ht="14.25" customHeight="1" x14ac:dyDescent="0.3">
      <c r="A295" t="s">
        <v>629</v>
      </c>
      <c r="B295" t="s">
        <v>848</v>
      </c>
      <c r="C295" t="s">
        <v>95</v>
      </c>
      <c r="D295" t="s">
        <v>374</v>
      </c>
      <c r="E295" t="s">
        <v>849</v>
      </c>
      <c r="F295" t="s">
        <v>6059</v>
      </c>
      <c r="G295" s="2" t="str">
        <f>HYPERLINK("https://www.facebook.com/100014853937648/posts/359792187859243?comment_id=360291681142627")</f>
        <v>https://www.facebook.com/100014853937648/posts/359792187859243?comment_id=360291681142627</v>
      </c>
      <c r="H295" t="s">
        <v>6062</v>
      </c>
      <c r="I295" t="s">
        <v>841</v>
      </c>
      <c r="J295" s="2" t="str">
        <f>HYPERLINK("https://www.facebook.com/100009515451828")</f>
        <v>https://www.facebook.com/100009515451828</v>
      </c>
      <c r="K295">
        <v>0</v>
      </c>
      <c r="L295" t="s">
        <v>6063</v>
      </c>
      <c r="N295" t="s">
        <v>13</v>
      </c>
      <c r="O295" t="s">
        <v>842</v>
      </c>
      <c r="P295" s="2" t="str">
        <f>HYPERLINK("https://www.facebook.com/100014853937648")</f>
        <v>https://www.facebook.com/100014853937648</v>
      </c>
      <c r="Q295">
        <v>1115</v>
      </c>
      <c r="R295" t="s">
        <v>6067</v>
      </c>
      <c r="S295" t="s">
        <v>6073</v>
      </c>
    </row>
    <row r="296" spans="1:19" ht="14.25" customHeight="1" x14ac:dyDescent="0.3">
      <c r="A296" t="s">
        <v>629</v>
      </c>
      <c r="B296" t="s">
        <v>838</v>
      </c>
      <c r="C296" t="s">
        <v>95</v>
      </c>
      <c r="D296" t="s">
        <v>374</v>
      </c>
      <c r="E296" t="s">
        <v>840</v>
      </c>
      <c r="F296" t="s">
        <v>6059</v>
      </c>
      <c r="G296" s="2" t="str">
        <f>HYPERLINK("https://www.facebook.com/100014853937648/posts/359792187859243?comment_id=360292347809227")</f>
        <v>https://www.facebook.com/100014853937648/posts/359792187859243?comment_id=360292347809227</v>
      </c>
      <c r="H296" t="s">
        <v>6062</v>
      </c>
      <c r="I296" t="s">
        <v>841</v>
      </c>
      <c r="J296" s="2" t="str">
        <f>HYPERLINK("https://www.facebook.com/100009515451828")</f>
        <v>https://www.facebook.com/100009515451828</v>
      </c>
      <c r="K296">
        <v>0</v>
      </c>
      <c r="L296" t="s">
        <v>6063</v>
      </c>
      <c r="N296" t="s">
        <v>13</v>
      </c>
      <c r="O296" t="s">
        <v>842</v>
      </c>
      <c r="P296" s="2" t="str">
        <f>HYPERLINK("https://www.facebook.com/100014853937648")</f>
        <v>https://www.facebook.com/100014853937648</v>
      </c>
      <c r="Q296">
        <v>1115</v>
      </c>
      <c r="R296" t="s">
        <v>6067</v>
      </c>
      <c r="S296" t="s">
        <v>6073</v>
      </c>
    </row>
    <row r="297" spans="1:19" ht="14.25" customHeight="1" x14ac:dyDescent="0.3">
      <c r="A297" t="s">
        <v>4439</v>
      </c>
      <c r="B297" t="s">
        <v>3550</v>
      </c>
      <c r="C297" t="s">
        <v>3538</v>
      </c>
      <c r="D297" t="s">
        <v>4442</v>
      </c>
      <c r="E297" t="s">
        <v>4443</v>
      </c>
      <c r="F297" t="s">
        <v>6057</v>
      </c>
      <c r="G297" s="2" t="str">
        <f>HYPERLINK("https://www.facebook.com/1412114536/posts/10216244798058595")</f>
        <v>https://www.facebook.com/1412114536/posts/10216244798058595</v>
      </c>
      <c r="H297" t="s">
        <v>6062</v>
      </c>
      <c r="I297" t="s">
        <v>4441</v>
      </c>
      <c r="J297" s="2" t="str">
        <f>HYPERLINK("https://www.facebook.com/1412114536")</f>
        <v>https://www.facebook.com/1412114536</v>
      </c>
      <c r="K297">
        <v>776</v>
      </c>
      <c r="L297" t="s">
        <v>6063</v>
      </c>
      <c r="N297" t="s">
        <v>13</v>
      </c>
      <c r="O297" t="s">
        <v>4441</v>
      </c>
      <c r="P297" s="2" t="str">
        <f>HYPERLINK("https://www.facebook.com/1412114536")</f>
        <v>https://www.facebook.com/1412114536</v>
      </c>
      <c r="Q297">
        <v>776</v>
      </c>
      <c r="R297" t="s">
        <v>6067</v>
      </c>
      <c r="S297" t="s">
        <v>6073</v>
      </c>
    </row>
    <row r="298" spans="1:19" ht="14.25" customHeight="1" x14ac:dyDescent="0.3">
      <c r="A298" t="s">
        <v>629</v>
      </c>
      <c r="B298" t="s">
        <v>393</v>
      </c>
      <c r="C298" t="s">
        <v>95</v>
      </c>
      <c r="D298" t="s">
        <v>370</v>
      </c>
      <c r="E298" t="s">
        <v>371</v>
      </c>
      <c r="F298" t="s">
        <v>6058</v>
      </c>
      <c r="G298" s="2" t="str">
        <f>HYPERLINK("https://www.facebook.com/100006216605908/posts/2011713409045860")</f>
        <v>https://www.facebook.com/100006216605908/posts/2011713409045860</v>
      </c>
      <c r="H298" t="s">
        <v>6062</v>
      </c>
      <c r="I298" t="s">
        <v>1687</v>
      </c>
      <c r="J298" s="2" t="str">
        <f>HYPERLINK("https://www.facebook.com/100006216605908")</f>
        <v>https://www.facebook.com/100006216605908</v>
      </c>
      <c r="K298">
        <v>2147</v>
      </c>
      <c r="L298" t="s">
        <v>6063</v>
      </c>
      <c r="N298" t="s">
        <v>13</v>
      </c>
      <c r="O298" t="s">
        <v>1687</v>
      </c>
      <c r="P298" s="2" t="str">
        <f>HYPERLINK("https://www.facebook.com/100006216605908")</f>
        <v>https://www.facebook.com/100006216605908</v>
      </c>
      <c r="Q298">
        <v>2147</v>
      </c>
      <c r="R298" t="s">
        <v>6067</v>
      </c>
      <c r="S298" t="s">
        <v>6072</v>
      </c>
    </row>
    <row r="299" spans="1:19" ht="14.25" customHeight="1" x14ac:dyDescent="0.3">
      <c r="A299" t="s">
        <v>629</v>
      </c>
      <c r="B299" t="s">
        <v>1292</v>
      </c>
      <c r="C299" t="s">
        <v>95</v>
      </c>
      <c r="D299" t="s">
        <v>10</v>
      </c>
      <c r="E299" t="s">
        <v>1293</v>
      </c>
      <c r="F299" t="s">
        <v>6059</v>
      </c>
      <c r="G299" s="2" t="str">
        <f>HYPERLINK("https://www.facebook.com/762053551/posts/10156366210158552?comment_id=10156366215868552")</f>
        <v>https://www.facebook.com/762053551/posts/10156366210158552?comment_id=10156366215868552</v>
      </c>
      <c r="H299" t="s">
        <v>6062</v>
      </c>
      <c r="I299" t="s">
        <v>1294</v>
      </c>
      <c r="J299" s="2" t="str">
        <f>HYPERLINK("https://www.facebook.com/100001959279663")</f>
        <v>https://www.facebook.com/100001959279663</v>
      </c>
      <c r="K299">
        <v>597</v>
      </c>
      <c r="L299" t="s">
        <v>6063</v>
      </c>
      <c r="N299" t="s">
        <v>13</v>
      </c>
      <c r="O299" t="s">
        <v>14</v>
      </c>
      <c r="P299" s="2" t="str">
        <f>HYPERLINK("https://www.facebook.com/762053551")</f>
        <v>https://www.facebook.com/762053551</v>
      </c>
      <c r="Q299">
        <v>102347</v>
      </c>
      <c r="R299" t="s">
        <v>6067</v>
      </c>
      <c r="S299" t="s">
        <v>6073</v>
      </c>
    </row>
    <row r="300" spans="1:19" ht="14.25" customHeight="1" x14ac:dyDescent="0.3">
      <c r="A300" t="s">
        <v>4439</v>
      </c>
      <c r="B300" t="s">
        <v>2302</v>
      </c>
      <c r="C300" t="s">
        <v>3538</v>
      </c>
      <c r="D300" t="s">
        <v>4468</v>
      </c>
      <c r="E300" t="s">
        <v>4469</v>
      </c>
      <c r="F300" t="s">
        <v>6059</v>
      </c>
      <c r="G300" s="2" t="str">
        <f>HYPERLINK("https://www.facebook.com/1529329267308888/posts/2058827921025684?comment_id=2059864940921982")</f>
        <v>https://www.facebook.com/1529329267308888/posts/2058827921025684?comment_id=2059864940921982</v>
      </c>
      <c r="H300" t="s">
        <v>6062</v>
      </c>
      <c r="I300" t="s">
        <v>4470</v>
      </c>
      <c r="J300" s="2" t="str">
        <f>HYPERLINK("https://www.facebook.com/100000641943310")</f>
        <v>https://www.facebook.com/100000641943310</v>
      </c>
      <c r="K300">
        <v>746</v>
      </c>
      <c r="L300" t="s">
        <v>6063</v>
      </c>
      <c r="N300" t="s">
        <v>13</v>
      </c>
      <c r="O300" t="s">
        <v>4471</v>
      </c>
      <c r="P300" s="2" t="str">
        <f>HYPERLINK("https://www.facebook.com/1529329267308888")</f>
        <v>https://www.facebook.com/1529329267308888</v>
      </c>
      <c r="R300" t="s">
        <v>6067</v>
      </c>
      <c r="S300" t="s">
        <v>6073</v>
      </c>
    </row>
    <row r="301" spans="1:19" ht="14.25" customHeight="1" x14ac:dyDescent="0.3">
      <c r="A301" t="s">
        <v>629</v>
      </c>
      <c r="B301" t="s">
        <v>1155</v>
      </c>
      <c r="C301" t="s">
        <v>95</v>
      </c>
      <c r="D301" t="s">
        <v>10</v>
      </c>
      <c r="E301" t="s">
        <v>1156</v>
      </c>
      <c r="F301" t="s">
        <v>6059</v>
      </c>
      <c r="G301" s="2" t="str">
        <f>HYPERLINK("https://www.facebook.com/762053551/posts/10156366210158552?comment_id=10156366276358552")</f>
        <v>https://www.facebook.com/762053551/posts/10156366210158552?comment_id=10156366276358552</v>
      </c>
      <c r="H301" t="s">
        <v>6062</v>
      </c>
      <c r="I301" t="s">
        <v>1157</v>
      </c>
      <c r="J301" s="2" t="str">
        <f>HYPERLINK("https://www.facebook.com/100000888911256")</f>
        <v>https://www.facebook.com/100000888911256</v>
      </c>
      <c r="K301">
        <v>0</v>
      </c>
      <c r="L301" t="s">
        <v>6063</v>
      </c>
      <c r="N301" t="s">
        <v>13</v>
      </c>
      <c r="O301" t="s">
        <v>14</v>
      </c>
      <c r="P301" s="2" t="str">
        <f>HYPERLINK("https://www.facebook.com/762053551")</f>
        <v>https://www.facebook.com/762053551</v>
      </c>
      <c r="Q301">
        <v>102347</v>
      </c>
      <c r="R301" t="s">
        <v>6067</v>
      </c>
      <c r="S301" t="s">
        <v>6073</v>
      </c>
    </row>
    <row r="302" spans="1:19" ht="14.25" customHeight="1" x14ac:dyDescent="0.3">
      <c r="A302" t="s">
        <v>629</v>
      </c>
      <c r="B302" t="s">
        <v>1160</v>
      </c>
      <c r="C302" t="s">
        <v>95</v>
      </c>
      <c r="D302" t="s">
        <v>10</v>
      </c>
      <c r="E302" t="s">
        <v>1161</v>
      </c>
      <c r="F302" t="s">
        <v>6059</v>
      </c>
      <c r="G302" s="2" t="str">
        <f>HYPERLINK("https://www.facebook.com/762053551/posts/10156366210158552?comment_id=10156366273703552")</f>
        <v>https://www.facebook.com/762053551/posts/10156366210158552?comment_id=10156366273703552</v>
      </c>
      <c r="H302" t="s">
        <v>6062</v>
      </c>
      <c r="I302" t="s">
        <v>1157</v>
      </c>
      <c r="J302" s="2" t="str">
        <f>HYPERLINK("https://www.facebook.com/100000888911256")</f>
        <v>https://www.facebook.com/100000888911256</v>
      </c>
      <c r="K302">
        <v>0</v>
      </c>
      <c r="L302" t="s">
        <v>6063</v>
      </c>
      <c r="N302" t="s">
        <v>13</v>
      </c>
      <c r="O302" t="s">
        <v>14</v>
      </c>
      <c r="P302" s="2" t="str">
        <f>HYPERLINK("https://www.facebook.com/762053551")</f>
        <v>https://www.facebook.com/762053551</v>
      </c>
      <c r="Q302">
        <v>102347</v>
      </c>
      <c r="R302" t="s">
        <v>6067</v>
      </c>
      <c r="S302" t="s">
        <v>6073</v>
      </c>
    </row>
    <row r="303" spans="1:19" ht="14.25" customHeight="1" x14ac:dyDescent="0.3">
      <c r="A303" t="s">
        <v>2225</v>
      </c>
      <c r="B303" t="s">
        <v>2771</v>
      </c>
      <c r="C303" t="s">
        <v>95</v>
      </c>
      <c r="D303" t="s">
        <v>544</v>
      </c>
      <c r="E303" t="s">
        <v>2778</v>
      </c>
      <c r="F303" t="s">
        <v>6057</v>
      </c>
      <c r="G303" s="2" t="str">
        <f>HYPERLINK("https://www.facebook.com/1389561319/posts/10216419342181337")</f>
        <v>https://www.facebook.com/1389561319/posts/10216419342181337</v>
      </c>
      <c r="H303" t="s">
        <v>6062</v>
      </c>
      <c r="I303" t="s">
        <v>2779</v>
      </c>
      <c r="J303" s="2" t="str">
        <f>HYPERLINK("https://www.facebook.com/1389561319")</f>
        <v>https://www.facebook.com/1389561319</v>
      </c>
      <c r="K303">
        <v>0</v>
      </c>
      <c r="L303" t="s">
        <v>6063</v>
      </c>
      <c r="N303" t="s">
        <v>13</v>
      </c>
      <c r="O303" t="s">
        <v>2779</v>
      </c>
      <c r="P303" s="2" t="str">
        <f>HYPERLINK("https://www.facebook.com/1389561319")</f>
        <v>https://www.facebook.com/1389561319</v>
      </c>
      <c r="Q303">
        <v>0</v>
      </c>
      <c r="R303" t="s">
        <v>6067</v>
      </c>
      <c r="S303" t="s">
        <v>6072</v>
      </c>
    </row>
    <row r="304" spans="1:19" ht="14.25" customHeight="1" x14ac:dyDescent="0.3">
      <c r="A304" t="s">
        <v>5409</v>
      </c>
      <c r="B304" t="s">
        <v>5710</v>
      </c>
      <c r="C304" t="s">
        <v>3538</v>
      </c>
      <c r="D304" t="s">
        <v>4675</v>
      </c>
      <c r="E304" t="s">
        <v>5711</v>
      </c>
      <c r="F304" t="s">
        <v>6059</v>
      </c>
      <c r="G304" s="2" t="str">
        <f>HYPERLINK("https://www.facebook.com/1439247584/posts/10217349741762401?comment_id=10217356440969877")</f>
        <v>https://www.facebook.com/1439247584/posts/10217349741762401?comment_id=10217356440969877</v>
      </c>
      <c r="H304" t="s">
        <v>6062</v>
      </c>
      <c r="I304" t="s">
        <v>5707</v>
      </c>
      <c r="J304" s="2" t="str">
        <f>HYPERLINK("https://www.facebook.com/100001162941030")</f>
        <v>https://www.facebook.com/100001162941030</v>
      </c>
      <c r="K304">
        <v>0</v>
      </c>
      <c r="L304" t="s">
        <v>6063</v>
      </c>
      <c r="N304" t="s">
        <v>13</v>
      </c>
      <c r="O304" t="s">
        <v>4678</v>
      </c>
      <c r="P304" s="2" t="str">
        <f>HYPERLINK("https://www.facebook.com/1439247584")</f>
        <v>https://www.facebook.com/1439247584</v>
      </c>
      <c r="Q304">
        <v>54</v>
      </c>
      <c r="R304" t="s">
        <v>6067</v>
      </c>
      <c r="S304" t="s">
        <v>6073</v>
      </c>
    </row>
    <row r="305" spans="1:19" ht="14.25" customHeight="1" x14ac:dyDescent="0.3">
      <c r="A305" t="s">
        <v>5409</v>
      </c>
      <c r="B305" t="s">
        <v>6033</v>
      </c>
      <c r="C305" t="s">
        <v>3538</v>
      </c>
      <c r="D305" t="s">
        <v>4675</v>
      </c>
      <c r="E305" t="s">
        <v>6034</v>
      </c>
      <c r="F305" t="s">
        <v>6059</v>
      </c>
      <c r="G305" s="2" t="str">
        <f>HYPERLINK("https://www.facebook.com/1439247584/posts/10217349741762401?comment_id=10217350881710899")</f>
        <v>https://www.facebook.com/1439247584/posts/10217349741762401?comment_id=10217350881710899</v>
      </c>
      <c r="H305" t="s">
        <v>6062</v>
      </c>
      <c r="I305" t="s">
        <v>5707</v>
      </c>
      <c r="J305" s="2" t="str">
        <f>HYPERLINK("https://www.facebook.com/100001162941030")</f>
        <v>https://www.facebook.com/100001162941030</v>
      </c>
      <c r="K305">
        <v>0</v>
      </c>
      <c r="L305" t="s">
        <v>6063</v>
      </c>
      <c r="N305" t="s">
        <v>13</v>
      </c>
      <c r="O305" t="s">
        <v>4678</v>
      </c>
      <c r="P305" s="2" t="str">
        <f>HYPERLINK("https://www.facebook.com/1439247584")</f>
        <v>https://www.facebook.com/1439247584</v>
      </c>
      <c r="Q305">
        <v>54</v>
      </c>
      <c r="R305" t="s">
        <v>6067</v>
      </c>
      <c r="S305" t="s">
        <v>6073</v>
      </c>
    </row>
    <row r="306" spans="1:19" ht="14.25" customHeight="1" x14ac:dyDescent="0.3">
      <c r="A306" t="s">
        <v>629</v>
      </c>
      <c r="B306" t="s">
        <v>441</v>
      </c>
      <c r="C306" t="s">
        <v>95</v>
      </c>
      <c r="D306" t="s">
        <v>370</v>
      </c>
      <c r="E306" t="s">
        <v>371</v>
      </c>
      <c r="F306" t="s">
        <v>6058</v>
      </c>
      <c r="G306" s="2" t="str">
        <f>HYPERLINK("https://www.facebook.com/100003740006733/posts/1283645458436775")</f>
        <v>https://www.facebook.com/100003740006733/posts/1283645458436775</v>
      </c>
      <c r="H306" t="s">
        <v>6062</v>
      </c>
      <c r="I306" t="s">
        <v>1865</v>
      </c>
      <c r="J306" s="2" t="str">
        <f>HYPERLINK("https://www.facebook.com/100003740006733")</f>
        <v>https://www.facebook.com/100003740006733</v>
      </c>
      <c r="K306">
        <v>1680</v>
      </c>
      <c r="L306" t="s">
        <v>6063</v>
      </c>
      <c r="N306" t="s">
        <v>13</v>
      </c>
      <c r="O306" t="s">
        <v>1865</v>
      </c>
      <c r="P306" s="2" t="str">
        <f>HYPERLINK("https://www.facebook.com/100003740006733")</f>
        <v>https://www.facebook.com/100003740006733</v>
      </c>
      <c r="Q306">
        <v>1680</v>
      </c>
      <c r="R306" t="s">
        <v>6067</v>
      </c>
      <c r="S306" t="s">
        <v>6073</v>
      </c>
    </row>
    <row r="307" spans="1:19" ht="14.25" customHeight="1" x14ac:dyDescent="0.3">
      <c r="A307" t="s">
        <v>2225</v>
      </c>
      <c r="B307" t="s">
        <v>3426</v>
      </c>
      <c r="C307" t="s">
        <v>95</v>
      </c>
      <c r="D307" t="s">
        <v>3427</v>
      </c>
      <c r="E307" t="s">
        <v>3428</v>
      </c>
      <c r="F307" t="s">
        <v>6057</v>
      </c>
      <c r="G307" s="2" t="str">
        <f>HYPERLINK("https://www.facebook.com/100001981037415/posts/1602265533182799")</f>
        <v>https://www.facebook.com/100001981037415/posts/1602265533182799</v>
      </c>
      <c r="H307" t="s">
        <v>6062</v>
      </c>
      <c r="I307" t="s">
        <v>3429</v>
      </c>
      <c r="J307" s="2" t="str">
        <f>HYPERLINK("https://www.facebook.com/100001981037415")</f>
        <v>https://www.facebook.com/100001981037415</v>
      </c>
      <c r="K307">
        <v>626</v>
      </c>
      <c r="L307" t="s">
        <v>6063</v>
      </c>
      <c r="N307" t="s">
        <v>13</v>
      </c>
      <c r="O307" t="s">
        <v>3429</v>
      </c>
      <c r="P307" s="2" t="str">
        <f>HYPERLINK("https://www.facebook.com/100001981037415")</f>
        <v>https://www.facebook.com/100001981037415</v>
      </c>
      <c r="Q307">
        <v>626</v>
      </c>
      <c r="R307" t="s">
        <v>6067</v>
      </c>
      <c r="S307" t="s">
        <v>6073</v>
      </c>
    </row>
    <row r="308" spans="1:19" ht="14.25" customHeight="1" x14ac:dyDescent="0.3">
      <c r="A308" t="s">
        <v>2225</v>
      </c>
      <c r="B308" t="s">
        <v>3091</v>
      </c>
      <c r="C308" t="s">
        <v>95</v>
      </c>
      <c r="D308" t="s">
        <v>464</v>
      </c>
      <c r="E308" t="s">
        <v>3093</v>
      </c>
      <c r="F308" t="s">
        <v>6059</v>
      </c>
      <c r="G308" s="2" t="str">
        <f>HYPERLINK("https://www.facebook.com/1362386453/posts/10216460219362335?comment_id=10216460491609141")</f>
        <v>https://www.facebook.com/1362386453/posts/10216460219362335?comment_id=10216460491609141</v>
      </c>
      <c r="H308" t="s">
        <v>6062</v>
      </c>
      <c r="I308" t="s">
        <v>3094</v>
      </c>
      <c r="J308" s="2" t="str">
        <f>HYPERLINK("https://www.facebook.com/100001507308371")</f>
        <v>https://www.facebook.com/100001507308371</v>
      </c>
      <c r="K308">
        <v>5776</v>
      </c>
      <c r="L308" t="s">
        <v>6063</v>
      </c>
      <c r="N308" t="s">
        <v>13</v>
      </c>
      <c r="O308" t="s">
        <v>467</v>
      </c>
      <c r="P308" s="2" t="str">
        <f>HYPERLINK("https://www.facebook.com/1362386453")</f>
        <v>https://www.facebook.com/1362386453</v>
      </c>
      <c r="Q308">
        <v>3896</v>
      </c>
      <c r="R308" t="s">
        <v>6067</v>
      </c>
      <c r="S308" t="s">
        <v>6073</v>
      </c>
    </row>
    <row r="309" spans="1:19" ht="14.25" customHeight="1" x14ac:dyDescent="0.3">
      <c r="A309" t="s">
        <v>2225</v>
      </c>
      <c r="B309" t="s">
        <v>1017</v>
      </c>
      <c r="C309" t="s">
        <v>95</v>
      </c>
      <c r="D309" t="s">
        <v>464</v>
      </c>
      <c r="E309" t="s">
        <v>3099</v>
      </c>
      <c r="F309" t="s">
        <v>6059</v>
      </c>
      <c r="G309" s="2" t="str">
        <f>HYPERLINK("https://www.facebook.com/1362386453/posts/10216460219362335?comment_id=10216460410527114")</f>
        <v>https://www.facebook.com/1362386453/posts/10216460219362335?comment_id=10216460410527114</v>
      </c>
      <c r="H309" t="s">
        <v>6062</v>
      </c>
      <c r="I309" t="s">
        <v>3094</v>
      </c>
      <c r="J309" s="2" t="str">
        <f>HYPERLINK("https://www.facebook.com/100001507308371")</f>
        <v>https://www.facebook.com/100001507308371</v>
      </c>
      <c r="K309">
        <v>5776</v>
      </c>
      <c r="L309" t="s">
        <v>6063</v>
      </c>
      <c r="N309" t="s">
        <v>13</v>
      </c>
      <c r="O309" t="s">
        <v>467</v>
      </c>
      <c r="P309" s="2" t="str">
        <f>HYPERLINK("https://www.facebook.com/1362386453")</f>
        <v>https://www.facebook.com/1362386453</v>
      </c>
      <c r="Q309">
        <v>3896</v>
      </c>
      <c r="R309" t="s">
        <v>6067</v>
      </c>
      <c r="S309" t="s">
        <v>6073</v>
      </c>
    </row>
    <row r="310" spans="1:19" ht="14.25" customHeight="1" x14ac:dyDescent="0.3">
      <c r="A310" t="s">
        <v>2225</v>
      </c>
      <c r="B310" t="s">
        <v>1356</v>
      </c>
      <c r="C310" t="s">
        <v>95</v>
      </c>
      <c r="D310" t="s">
        <v>3241</v>
      </c>
      <c r="E310" t="s">
        <v>3242</v>
      </c>
      <c r="F310" t="s">
        <v>6059</v>
      </c>
      <c r="G310" s="2" t="str">
        <f>HYPERLINK("https://www.facebook.com/100000538983327/posts/2120112121350067?comment_id=2122721621089117")</f>
        <v>https://www.facebook.com/100000538983327/posts/2120112121350067?comment_id=2122721621089117</v>
      </c>
      <c r="H310" t="s">
        <v>6062</v>
      </c>
      <c r="I310" t="s">
        <v>3243</v>
      </c>
      <c r="J310" s="2" t="str">
        <f>HYPERLINK("https://www.facebook.com/100006266024324")</f>
        <v>https://www.facebook.com/100006266024324</v>
      </c>
      <c r="K310">
        <v>209</v>
      </c>
      <c r="L310" t="s">
        <v>6063</v>
      </c>
      <c r="N310" t="s">
        <v>13</v>
      </c>
      <c r="O310" t="s">
        <v>3244</v>
      </c>
      <c r="P310" s="2" t="str">
        <f>HYPERLINK("https://www.facebook.com/100000538983327")</f>
        <v>https://www.facebook.com/100000538983327</v>
      </c>
      <c r="Q310">
        <v>1466</v>
      </c>
      <c r="R310" t="s">
        <v>6067</v>
      </c>
      <c r="S310" t="s">
        <v>6073</v>
      </c>
    </row>
    <row r="311" spans="1:19" ht="14.25" customHeight="1" x14ac:dyDescent="0.3">
      <c r="A311" t="s">
        <v>5409</v>
      </c>
      <c r="B311" t="s">
        <v>3828</v>
      </c>
      <c r="C311" t="s">
        <v>3538</v>
      </c>
      <c r="D311" t="s">
        <v>5461</v>
      </c>
      <c r="E311" t="s">
        <v>5540</v>
      </c>
      <c r="F311" t="s">
        <v>6059</v>
      </c>
      <c r="G311" s="2" t="str">
        <f>HYPERLINK("https://www.facebook.com/100001099400755/posts/1723763517670278?comment_id=1723816804331616")</f>
        <v>https://www.facebook.com/100001099400755/posts/1723763517670278?comment_id=1723816804331616</v>
      </c>
      <c r="H311" t="s">
        <v>6062</v>
      </c>
      <c r="I311" t="s">
        <v>5541</v>
      </c>
      <c r="J311" s="2" t="str">
        <f>HYPERLINK("https://www.facebook.com/100000617749244")</f>
        <v>https://www.facebook.com/100000617749244</v>
      </c>
      <c r="K311">
        <v>0</v>
      </c>
      <c r="L311" t="s">
        <v>6063</v>
      </c>
      <c r="N311" t="s">
        <v>13</v>
      </c>
      <c r="O311" t="s">
        <v>5463</v>
      </c>
      <c r="P311" s="2" t="str">
        <f>HYPERLINK("https://www.facebook.com/100001099400755")</f>
        <v>https://www.facebook.com/100001099400755</v>
      </c>
      <c r="Q311">
        <v>0</v>
      </c>
      <c r="R311" t="s">
        <v>6067</v>
      </c>
      <c r="S311" t="s">
        <v>6073</v>
      </c>
    </row>
    <row r="312" spans="1:19" ht="14.25" customHeight="1" x14ac:dyDescent="0.3">
      <c r="A312" t="s">
        <v>2225</v>
      </c>
      <c r="B312" t="s">
        <v>1020</v>
      </c>
      <c r="C312" t="s">
        <v>95</v>
      </c>
      <c r="D312" t="s">
        <v>464</v>
      </c>
      <c r="E312" t="s">
        <v>3102</v>
      </c>
      <c r="F312" t="s">
        <v>6059</v>
      </c>
      <c r="G312" s="2" t="str">
        <f>HYPERLINK("https://www.facebook.com/1362386453/posts/10216460219362335?comment_id=10216460398206806")</f>
        <v>https://www.facebook.com/1362386453/posts/10216460219362335?comment_id=10216460398206806</v>
      </c>
      <c r="H312" t="s">
        <v>6062</v>
      </c>
      <c r="I312" t="s">
        <v>3103</v>
      </c>
      <c r="J312" s="2" t="str">
        <f>HYPERLINK("https://www.facebook.com/100002841442741")</f>
        <v>https://www.facebook.com/100002841442741</v>
      </c>
      <c r="K312">
        <v>251</v>
      </c>
      <c r="L312" t="s">
        <v>6063</v>
      </c>
      <c r="N312" t="s">
        <v>13</v>
      </c>
      <c r="O312" t="s">
        <v>467</v>
      </c>
      <c r="P312" s="2" t="str">
        <f>HYPERLINK("https://www.facebook.com/1362386453")</f>
        <v>https://www.facebook.com/1362386453</v>
      </c>
      <c r="Q312">
        <v>3896</v>
      </c>
      <c r="R312" t="s">
        <v>6067</v>
      </c>
      <c r="S312" t="s">
        <v>6073</v>
      </c>
    </row>
    <row r="313" spans="1:19" ht="14.25" customHeight="1" x14ac:dyDescent="0.3">
      <c r="A313" t="s">
        <v>2225</v>
      </c>
      <c r="B313" t="s">
        <v>742</v>
      </c>
      <c r="C313" t="s">
        <v>95</v>
      </c>
      <c r="D313" t="s">
        <v>544</v>
      </c>
      <c r="E313" t="s">
        <v>545</v>
      </c>
      <c r="F313" t="s">
        <v>6058</v>
      </c>
      <c r="G313" s="2" t="str">
        <f>HYPERLINK("https://www.facebook.com/100010647675889/posts/567307080300876")</f>
        <v>https://www.facebook.com/100010647675889/posts/567307080300876</v>
      </c>
      <c r="H313" t="s">
        <v>6062</v>
      </c>
      <c r="I313" t="s">
        <v>2667</v>
      </c>
      <c r="J313" s="2" t="str">
        <f>HYPERLINK("https://www.facebook.com/100010647675889")</f>
        <v>https://www.facebook.com/100010647675889</v>
      </c>
      <c r="K313">
        <v>1951</v>
      </c>
      <c r="L313" t="s">
        <v>6063</v>
      </c>
      <c r="N313" t="s">
        <v>13</v>
      </c>
      <c r="O313" t="s">
        <v>2667</v>
      </c>
      <c r="P313" s="2" t="str">
        <f>HYPERLINK("https://www.facebook.com/100010647675889")</f>
        <v>https://www.facebook.com/100010647675889</v>
      </c>
      <c r="Q313">
        <v>1951</v>
      </c>
      <c r="R313" t="s">
        <v>6067</v>
      </c>
      <c r="S313" t="s">
        <v>6073</v>
      </c>
    </row>
    <row r="314" spans="1:19" ht="14.25" customHeight="1" x14ac:dyDescent="0.3">
      <c r="A314" t="s">
        <v>1</v>
      </c>
      <c r="B314" t="s">
        <v>136</v>
      </c>
      <c r="C314" t="s">
        <v>95</v>
      </c>
      <c r="D314" t="s">
        <v>10</v>
      </c>
      <c r="E314" t="s">
        <v>137</v>
      </c>
      <c r="F314" t="s">
        <v>6059</v>
      </c>
      <c r="G314" s="2" t="str">
        <f>HYPERLINK("https://www.facebook.com/762053551/posts/10156366210158552?comment_id=10156368428348552")</f>
        <v>https://www.facebook.com/762053551/posts/10156366210158552?comment_id=10156368428348552</v>
      </c>
      <c r="H314" t="s">
        <v>6062</v>
      </c>
      <c r="I314" t="s">
        <v>138</v>
      </c>
      <c r="J314" s="2" t="str">
        <f>HYPERLINK("https://www.facebook.com/100005026816397")</f>
        <v>https://www.facebook.com/100005026816397</v>
      </c>
      <c r="K314">
        <v>233</v>
      </c>
      <c r="L314" t="s">
        <v>6063</v>
      </c>
      <c r="N314" t="s">
        <v>13</v>
      </c>
      <c r="O314" t="s">
        <v>14</v>
      </c>
      <c r="P314" s="2" t="str">
        <f>HYPERLINK("https://www.facebook.com/762053551")</f>
        <v>https://www.facebook.com/762053551</v>
      </c>
      <c r="Q314">
        <v>102347</v>
      </c>
      <c r="R314" t="s">
        <v>6067</v>
      </c>
      <c r="S314" t="s">
        <v>6073</v>
      </c>
    </row>
    <row r="315" spans="1:19" ht="14.25" customHeight="1" x14ac:dyDescent="0.3">
      <c r="A315" t="s">
        <v>2225</v>
      </c>
      <c r="B315" t="s">
        <v>3119</v>
      </c>
      <c r="C315" t="s">
        <v>95</v>
      </c>
      <c r="D315" t="s">
        <v>464</v>
      </c>
      <c r="E315" t="s">
        <v>3120</v>
      </c>
      <c r="F315" t="s">
        <v>6059</v>
      </c>
      <c r="G315" s="2" t="str">
        <f>HYPERLINK("https://www.facebook.com/1362386453/posts/10216460219362335?comment_id=10216460346765520")</f>
        <v>https://www.facebook.com/1362386453/posts/10216460219362335?comment_id=10216460346765520</v>
      </c>
      <c r="H315" t="s">
        <v>6062</v>
      </c>
      <c r="I315" t="s">
        <v>3115</v>
      </c>
      <c r="J315" s="2" t="str">
        <f>HYPERLINK("https://www.facebook.com/1397857161")</f>
        <v>https://www.facebook.com/1397857161</v>
      </c>
      <c r="K315">
        <v>98</v>
      </c>
      <c r="N315" t="s">
        <v>13</v>
      </c>
      <c r="O315" t="s">
        <v>467</v>
      </c>
      <c r="P315" s="2" t="str">
        <f>HYPERLINK("https://www.facebook.com/1362386453")</f>
        <v>https://www.facebook.com/1362386453</v>
      </c>
      <c r="Q315">
        <v>3896</v>
      </c>
      <c r="R315" t="s">
        <v>6067</v>
      </c>
      <c r="S315" t="s">
        <v>6073</v>
      </c>
    </row>
    <row r="316" spans="1:19" ht="14.25" customHeight="1" x14ac:dyDescent="0.3">
      <c r="A316" t="s">
        <v>2225</v>
      </c>
      <c r="B316" t="s">
        <v>3113</v>
      </c>
      <c r="C316" t="s">
        <v>95</v>
      </c>
      <c r="D316" t="s">
        <v>464</v>
      </c>
      <c r="E316" t="s">
        <v>3114</v>
      </c>
      <c r="F316" t="s">
        <v>6059</v>
      </c>
      <c r="G316" s="2" t="str">
        <f>HYPERLINK("https://www.facebook.com/1362386453/posts/10216460219362335?comment_id=10216460364885973")</f>
        <v>https://www.facebook.com/1362386453/posts/10216460219362335?comment_id=10216460364885973</v>
      </c>
      <c r="H316" t="s">
        <v>6062</v>
      </c>
      <c r="I316" t="s">
        <v>3115</v>
      </c>
      <c r="J316" s="2" t="str">
        <f>HYPERLINK("https://www.facebook.com/1397857161")</f>
        <v>https://www.facebook.com/1397857161</v>
      </c>
      <c r="K316">
        <v>98</v>
      </c>
      <c r="N316" t="s">
        <v>13</v>
      </c>
      <c r="O316" t="s">
        <v>467</v>
      </c>
      <c r="P316" s="2" t="str">
        <f>HYPERLINK("https://www.facebook.com/1362386453")</f>
        <v>https://www.facebook.com/1362386453</v>
      </c>
      <c r="Q316">
        <v>3896</v>
      </c>
      <c r="R316" t="s">
        <v>6067</v>
      </c>
      <c r="S316" t="s">
        <v>6073</v>
      </c>
    </row>
    <row r="317" spans="1:19" ht="14.25" customHeight="1" x14ac:dyDescent="0.3">
      <c r="A317" t="s">
        <v>629</v>
      </c>
      <c r="B317" t="s">
        <v>947</v>
      </c>
      <c r="C317" t="s">
        <v>95</v>
      </c>
      <c r="D317" t="s">
        <v>10</v>
      </c>
      <c r="E317" t="s">
        <v>948</v>
      </c>
      <c r="F317" t="s">
        <v>6059</v>
      </c>
      <c r="G317" s="2" t="str">
        <f>HYPERLINK("https://www.facebook.com/762053551/posts/10156366210158552?comment_id=10156366522203552")</f>
        <v>https://www.facebook.com/762053551/posts/10156366210158552?comment_id=10156366522203552</v>
      </c>
      <c r="H317" t="s">
        <v>6062</v>
      </c>
      <c r="I317" t="s">
        <v>949</v>
      </c>
      <c r="J317" s="2" t="str">
        <f>HYPERLINK("https://www.facebook.com/100004300001195")</f>
        <v>https://www.facebook.com/100004300001195</v>
      </c>
      <c r="K317">
        <v>180</v>
      </c>
      <c r="L317" t="s">
        <v>6063</v>
      </c>
      <c r="N317" t="s">
        <v>13</v>
      </c>
      <c r="O317" t="s">
        <v>14</v>
      </c>
      <c r="P317" s="2" t="str">
        <f>HYPERLINK("https://www.facebook.com/762053551")</f>
        <v>https://www.facebook.com/762053551</v>
      </c>
      <c r="Q317">
        <v>102347</v>
      </c>
      <c r="R317" t="s">
        <v>6067</v>
      </c>
      <c r="S317" t="s">
        <v>6075</v>
      </c>
    </row>
    <row r="318" spans="1:19" ht="14.25" customHeight="1" x14ac:dyDescent="0.3">
      <c r="A318" t="s">
        <v>629</v>
      </c>
      <c r="B318" t="s">
        <v>1251</v>
      </c>
      <c r="C318" t="s">
        <v>95</v>
      </c>
      <c r="D318" t="s">
        <v>10</v>
      </c>
      <c r="E318" t="s">
        <v>1252</v>
      </c>
      <c r="F318" t="s">
        <v>6059</v>
      </c>
      <c r="G318" s="2" t="str">
        <f>HYPERLINK("https://www.facebook.com/762053551/posts/10156366210158552?comment_id=10156366233278552")</f>
        <v>https://www.facebook.com/762053551/posts/10156366210158552?comment_id=10156366233278552</v>
      </c>
      <c r="H318" t="s">
        <v>6062</v>
      </c>
      <c r="I318" t="s">
        <v>949</v>
      </c>
      <c r="J318" s="2" t="str">
        <f>HYPERLINK("https://www.facebook.com/100004300001195")</f>
        <v>https://www.facebook.com/100004300001195</v>
      </c>
      <c r="K318">
        <v>180</v>
      </c>
      <c r="L318" t="s">
        <v>6063</v>
      </c>
      <c r="N318" t="s">
        <v>13</v>
      </c>
      <c r="O318" t="s">
        <v>14</v>
      </c>
      <c r="P318" s="2" t="str">
        <f>HYPERLINK("https://www.facebook.com/762053551")</f>
        <v>https://www.facebook.com/762053551</v>
      </c>
      <c r="Q318">
        <v>102347</v>
      </c>
      <c r="R318" t="s">
        <v>6067</v>
      </c>
      <c r="S318" t="s">
        <v>6075</v>
      </c>
    </row>
    <row r="319" spans="1:19" ht="14.25" customHeight="1" x14ac:dyDescent="0.3">
      <c r="A319" t="s">
        <v>629</v>
      </c>
      <c r="B319" t="s">
        <v>19</v>
      </c>
      <c r="C319" t="s">
        <v>95</v>
      </c>
      <c r="D319" t="s">
        <v>10</v>
      </c>
      <c r="E319" t="s">
        <v>1272</v>
      </c>
      <c r="F319" t="s">
        <v>6059</v>
      </c>
      <c r="G319" s="2" t="str">
        <f>HYPERLINK("https://www.facebook.com/762053551/posts/10156366210158552?comment_id=10156366225083552")</f>
        <v>https://www.facebook.com/762053551/posts/10156366210158552?comment_id=10156366225083552</v>
      </c>
      <c r="H319" t="s">
        <v>6062</v>
      </c>
      <c r="I319" t="s">
        <v>949</v>
      </c>
      <c r="J319" s="2" t="str">
        <f>HYPERLINK("https://www.facebook.com/100004300001195")</f>
        <v>https://www.facebook.com/100004300001195</v>
      </c>
      <c r="K319">
        <v>180</v>
      </c>
      <c r="L319" t="s">
        <v>6063</v>
      </c>
      <c r="N319" t="s">
        <v>13</v>
      </c>
      <c r="O319" t="s">
        <v>14</v>
      </c>
      <c r="P319" s="2" t="str">
        <f>HYPERLINK("https://www.facebook.com/762053551")</f>
        <v>https://www.facebook.com/762053551</v>
      </c>
      <c r="Q319">
        <v>102347</v>
      </c>
      <c r="R319" t="s">
        <v>6067</v>
      </c>
      <c r="S319" t="s">
        <v>6075</v>
      </c>
    </row>
    <row r="320" spans="1:19" ht="14.25" customHeight="1" x14ac:dyDescent="0.3">
      <c r="A320" t="s">
        <v>629</v>
      </c>
      <c r="B320" t="s">
        <v>1277</v>
      </c>
      <c r="C320" t="s">
        <v>95</v>
      </c>
      <c r="D320" t="s">
        <v>10</v>
      </c>
      <c r="E320" t="s">
        <v>1278</v>
      </c>
      <c r="F320" t="s">
        <v>6059</v>
      </c>
      <c r="G320" s="2" t="str">
        <f>HYPERLINK("https://www.facebook.com/762053551/posts/10156366210158552?comment_id=10156366221493552")</f>
        <v>https://www.facebook.com/762053551/posts/10156366210158552?comment_id=10156366221493552</v>
      </c>
      <c r="H320" t="s">
        <v>6062</v>
      </c>
      <c r="I320" t="s">
        <v>949</v>
      </c>
      <c r="J320" s="2" t="str">
        <f>HYPERLINK("https://www.facebook.com/100004300001195")</f>
        <v>https://www.facebook.com/100004300001195</v>
      </c>
      <c r="K320">
        <v>180</v>
      </c>
      <c r="L320" t="s">
        <v>6063</v>
      </c>
      <c r="N320" t="s">
        <v>13</v>
      </c>
      <c r="O320" t="s">
        <v>14</v>
      </c>
      <c r="P320" s="2" t="str">
        <f>HYPERLINK("https://www.facebook.com/762053551")</f>
        <v>https://www.facebook.com/762053551</v>
      </c>
      <c r="Q320">
        <v>102347</v>
      </c>
      <c r="R320" t="s">
        <v>6067</v>
      </c>
      <c r="S320" t="s">
        <v>6075</v>
      </c>
    </row>
    <row r="321" spans="1:19" ht="14.25" customHeight="1" x14ac:dyDescent="0.3">
      <c r="A321" t="s">
        <v>4995</v>
      </c>
      <c r="B321" t="s">
        <v>1801</v>
      </c>
      <c r="C321" t="s">
        <v>3538</v>
      </c>
      <c r="D321" t="s">
        <v>4434</v>
      </c>
      <c r="E321" t="s">
        <v>5322</v>
      </c>
      <c r="F321" t="s">
        <v>6059</v>
      </c>
      <c r="G321" s="2" t="str">
        <f>HYPERLINK("https://www.facebook.com/762053551/posts/10156304176878552?comment_id=10156355316303552")</f>
        <v>https://www.facebook.com/762053551/posts/10156304176878552?comment_id=10156355316303552</v>
      </c>
      <c r="H321" t="s">
        <v>6062</v>
      </c>
      <c r="I321" t="s">
        <v>5323</v>
      </c>
      <c r="J321" s="2" t="str">
        <f>HYPERLINK("https://www.facebook.com/100003652638514")</f>
        <v>https://www.facebook.com/100003652638514</v>
      </c>
      <c r="K321">
        <v>439</v>
      </c>
      <c r="L321" t="s">
        <v>6063</v>
      </c>
      <c r="N321" t="s">
        <v>13</v>
      </c>
      <c r="O321" t="s">
        <v>14</v>
      </c>
      <c r="P321" s="2" t="str">
        <f>HYPERLINK("https://www.facebook.com/762053551")</f>
        <v>https://www.facebook.com/762053551</v>
      </c>
      <c r="Q321">
        <v>102347</v>
      </c>
      <c r="R321" t="s">
        <v>6067</v>
      </c>
      <c r="S321" t="s">
        <v>6073</v>
      </c>
    </row>
    <row r="322" spans="1:19" ht="14.25" customHeight="1" x14ac:dyDescent="0.3">
      <c r="A322" t="s">
        <v>2225</v>
      </c>
      <c r="B322" t="s">
        <v>2389</v>
      </c>
      <c r="C322" t="s">
        <v>95</v>
      </c>
      <c r="D322" t="s">
        <v>544</v>
      </c>
      <c r="E322" t="s">
        <v>545</v>
      </c>
      <c r="F322" t="s">
        <v>6058</v>
      </c>
      <c r="G322" s="2" t="str">
        <f>HYPERLINK("https://www.facebook.com/100017286125136/posts/207915779794625")</f>
        <v>https://www.facebook.com/100017286125136/posts/207915779794625</v>
      </c>
      <c r="H322" t="s">
        <v>6062</v>
      </c>
      <c r="I322" t="s">
        <v>2390</v>
      </c>
      <c r="J322" s="2" t="str">
        <f>HYPERLINK("https://www.facebook.com/100017286125136")</f>
        <v>https://www.facebook.com/100017286125136</v>
      </c>
      <c r="K322">
        <v>1887</v>
      </c>
      <c r="L322" t="s">
        <v>6064</v>
      </c>
      <c r="N322" t="s">
        <v>13</v>
      </c>
      <c r="O322" t="s">
        <v>2390</v>
      </c>
      <c r="P322" s="2" t="str">
        <f>HYPERLINK("https://www.facebook.com/100017286125136")</f>
        <v>https://www.facebook.com/100017286125136</v>
      </c>
      <c r="Q322">
        <v>1887</v>
      </c>
      <c r="R322" t="s">
        <v>6067</v>
      </c>
      <c r="S322" t="s">
        <v>6073</v>
      </c>
    </row>
    <row r="323" spans="1:19" ht="14.25" customHeight="1" x14ac:dyDescent="0.3">
      <c r="A323" t="s">
        <v>2225</v>
      </c>
      <c r="B323" t="s">
        <v>2581</v>
      </c>
      <c r="C323" t="s">
        <v>95</v>
      </c>
      <c r="D323" t="s">
        <v>544</v>
      </c>
      <c r="E323" t="s">
        <v>545</v>
      </c>
      <c r="F323" t="s">
        <v>6058</v>
      </c>
      <c r="G323" s="2" t="str">
        <f>HYPERLINK("https://www.facebook.com/100004344275916/posts/985131468308320")</f>
        <v>https://www.facebook.com/100004344275916/posts/985131468308320</v>
      </c>
      <c r="H323" t="s">
        <v>6062</v>
      </c>
      <c r="I323" t="s">
        <v>1497</v>
      </c>
      <c r="J323" s="2" t="str">
        <f>HYPERLINK("https://www.facebook.com/100004344275916")</f>
        <v>https://www.facebook.com/100004344275916</v>
      </c>
      <c r="K323">
        <v>524</v>
      </c>
      <c r="L323" t="s">
        <v>6064</v>
      </c>
      <c r="M323">
        <v>22</v>
      </c>
      <c r="N323" t="s">
        <v>13</v>
      </c>
      <c r="O323" t="s">
        <v>1497</v>
      </c>
      <c r="P323" s="2" t="str">
        <f>HYPERLINK("https://www.facebook.com/100004344275916")</f>
        <v>https://www.facebook.com/100004344275916</v>
      </c>
      <c r="Q323">
        <v>524</v>
      </c>
      <c r="R323" t="s">
        <v>6067</v>
      </c>
      <c r="S323" t="s">
        <v>6073</v>
      </c>
    </row>
    <row r="324" spans="1:19" ht="14.25" customHeight="1" x14ac:dyDescent="0.3">
      <c r="A324" t="s">
        <v>629</v>
      </c>
      <c r="B324" t="s">
        <v>1496</v>
      </c>
      <c r="C324" t="s">
        <v>95</v>
      </c>
      <c r="D324" t="s">
        <v>370</v>
      </c>
      <c r="E324" t="s">
        <v>371</v>
      </c>
      <c r="F324" t="s">
        <v>6058</v>
      </c>
      <c r="G324" s="2" t="str">
        <f>HYPERLINK("https://www.facebook.com/100004344275916/posts/985396461615154")</f>
        <v>https://www.facebook.com/100004344275916/posts/985396461615154</v>
      </c>
      <c r="H324" t="s">
        <v>6062</v>
      </c>
      <c r="I324" t="s">
        <v>1497</v>
      </c>
      <c r="J324" s="2" t="str">
        <f>HYPERLINK("https://www.facebook.com/100004344275916")</f>
        <v>https://www.facebook.com/100004344275916</v>
      </c>
      <c r="K324">
        <v>524</v>
      </c>
      <c r="L324" t="s">
        <v>6064</v>
      </c>
      <c r="M324">
        <v>22</v>
      </c>
      <c r="N324" t="s">
        <v>13</v>
      </c>
      <c r="O324" t="s">
        <v>1497</v>
      </c>
      <c r="P324" s="2" t="str">
        <f>HYPERLINK("https://www.facebook.com/100004344275916")</f>
        <v>https://www.facebook.com/100004344275916</v>
      </c>
      <c r="Q324">
        <v>524</v>
      </c>
      <c r="R324" t="s">
        <v>6067</v>
      </c>
      <c r="S324" t="s">
        <v>6073</v>
      </c>
    </row>
    <row r="325" spans="1:19" ht="14.25" customHeight="1" x14ac:dyDescent="0.3">
      <c r="A325" t="s">
        <v>2225</v>
      </c>
      <c r="B325" t="s">
        <v>2766</v>
      </c>
      <c r="C325" t="s">
        <v>95</v>
      </c>
      <c r="D325" t="s">
        <v>853</v>
      </c>
      <c r="E325" t="s">
        <v>2768</v>
      </c>
      <c r="F325" t="s">
        <v>6059</v>
      </c>
      <c r="G325" s="2" t="str">
        <f>HYPERLINK("https://www.facebook.com/100008934274771/posts/1810262525948206?comment_id=1810271309280661")</f>
        <v>https://www.facebook.com/100008934274771/posts/1810262525948206?comment_id=1810271309280661</v>
      </c>
      <c r="H325" t="s">
        <v>6062</v>
      </c>
      <c r="I325" t="s">
        <v>2769</v>
      </c>
      <c r="J325" s="2" t="str">
        <f>HYPERLINK("https://www.facebook.com/100006341948297")</f>
        <v>https://www.facebook.com/100006341948297</v>
      </c>
      <c r="K325">
        <v>4211</v>
      </c>
      <c r="L325" t="s">
        <v>6064</v>
      </c>
      <c r="N325" t="s">
        <v>13</v>
      </c>
      <c r="O325" t="s">
        <v>856</v>
      </c>
      <c r="P325" s="2" t="str">
        <f>HYPERLINK("https://www.facebook.com/100008934274771")</f>
        <v>https://www.facebook.com/100008934274771</v>
      </c>
      <c r="Q325">
        <v>10395</v>
      </c>
      <c r="R325" t="s">
        <v>6067</v>
      </c>
      <c r="S325" t="s">
        <v>6073</v>
      </c>
    </row>
    <row r="326" spans="1:19" ht="14.25" customHeight="1" x14ac:dyDescent="0.3">
      <c r="A326" t="s">
        <v>629</v>
      </c>
      <c r="B326" t="s">
        <v>474</v>
      </c>
      <c r="C326" t="s">
        <v>95</v>
      </c>
      <c r="D326" t="s">
        <v>370</v>
      </c>
      <c r="E326" t="s">
        <v>371</v>
      </c>
      <c r="F326" t="s">
        <v>6058</v>
      </c>
      <c r="G326" s="2" t="str">
        <f>HYPERLINK("https://www.facebook.com/100005173983141/posts/952662628249528")</f>
        <v>https://www.facebook.com/100005173983141/posts/952662628249528</v>
      </c>
      <c r="H326" t="s">
        <v>6062</v>
      </c>
      <c r="I326" t="s">
        <v>1989</v>
      </c>
      <c r="J326" s="2" t="str">
        <f>HYPERLINK("https://www.facebook.com/100005173983141")</f>
        <v>https://www.facebook.com/100005173983141</v>
      </c>
      <c r="K326">
        <v>0</v>
      </c>
      <c r="L326" t="s">
        <v>6064</v>
      </c>
      <c r="N326" t="s">
        <v>13</v>
      </c>
      <c r="O326" t="s">
        <v>1989</v>
      </c>
      <c r="P326" s="2" t="str">
        <f>HYPERLINK("https://www.facebook.com/100005173983141")</f>
        <v>https://www.facebook.com/100005173983141</v>
      </c>
      <c r="Q326">
        <v>0</v>
      </c>
      <c r="R326" t="s">
        <v>6067</v>
      </c>
    </row>
    <row r="327" spans="1:19" ht="14.25" customHeight="1" x14ac:dyDescent="0.3">
      <c r="A327" t="s">
        <v>629</v>
      </c>
      <c r="B327" t="s">
        <v>1813</v>
      </c>
      <c r="C327" t="s">
        <v>95</v>
      </c>
      <c r="D327" t="s">
        <v>370</v>
      </c>
      <c r="E327" t="s">
        <v>371</v>
      </c>
      <c r="F327" t="s">
        <v>6058</v>
      </c>
      <c r="G327" s="2" t="str">
        <f>HYPERLINK("https://www.facebook.com/100005776117635/posts/733880800147784")</f>
        <v>https://www.facebook.com/100005776117635/posts/733880800147784</v>
      </c>
      <c r="H327" t="s">
        <v>6062</v>
      </c>
      <c r="I327" t="s">
        <v>1817</v>
      </c>
      <c r="J327" s="2" t="str">
        <f>HYPERLINK("https://www.facebook.com/100005776117635")</f>
        <v>https://www.facebook.com/100005776117635</v>
      </c>
      <c r="K327">
        <v>23</v>
      </c>
      <c r="L327" t="s">
        <v>6064</v>
      </c>
      <c r="N327" t="s">
        <v>13</v>
      </c>
      <c r="O327" t="s">
        <v>1817</v>
      </c>
      <c r="P327" s="2" t="str">
        <f>HYPERLINK("https://www.facebook.com/100005776117635")</f>
        <v>https://www.facebook.com/100005776117635</v>
      </c>
      <c r="Q327">
        <v>23</v>
      </c>
      <c r="R327" t="s">
        <v>6067</v>
      </c>
      <c r="S327" t="s">
        <v>6084</v>
      </c>
    </row>
    <row r="328" spans="1:19" ht="14.25" customHeight="1" x14ac:dyDescent="0.3">
      <c r="A328" t="s">
        <v>629</v>
      </c>
      <c r="B328" t="s">
        <v>1830</v>
      </c>
      <c r="C328" t="s">
        <v>95</v>
      </c>
      <c r="D328" t="s">
        <v>370</v>
      </c>
      <c r="E328" t="s">
        <v>371</v>
      </c>
      <c r="F328" t="s">
        <v>6058</v>
      </c>
      <c r="G328" s="2" t="str">
        <f>HYPERLINK("https://www.facebook.com/100005776117635/posts/733878090148055")</f>
        <v>https://www.facebook.com/100005776117635/posts/733878090148055</v>
      </c>
      <c r="H328" t="s">
        <v>6062</v>
      </c>
      <c r="I328" t="s">
        <v>1817</v>
      </c>
      <c r="J328" s="2" t="str">
        <f>HYPERLINK("https://www.facebook.com/100005776117635")</f>
        <v>https://www.facebook.com/100005776117635</v>
      </c>
      <c r="K328">
        <v>23</v>
      </c>
      <c r="L328" t="s">
        <v>6064</v>
      </c>
      <c r="N328" t="s">
        <v>13</v>
      </c>
      <c r="O328" t="s">
        <v>1817</v>
      </c>
      <c r="P328" s="2" t="str">
        <f>HYPERLINK("https://www.facebook.com/100005776117635")</f>
        <v>https://www.facebook.com/100005776117635</v>
      </c>
      <c r="Q328">
        <v>23</v>
      </c>
      <c r="R328" t="s">
        <v>6067</v>
      </c>
      <c r="S328" t="s">
        <v>6084</v>
      </c>
    </row>
    <row r="329" spans="1:19" ht="14.25" customHeight="1" x14ac:dyDescent="0.3">
      <c r="A329" t="s">
        <v>1</v>
      </c>
      <c r="B329" t="s">
        <v>609</v>
      </c>
      <c r="C329" t="s">
        <v>95</v>
      </c>
      <c r="D329" t="s">
        <v>611</v>
      </c>
      <c r="E329" t="s">
        <v>612</v>
      </c>
      <c r="F329" t="s">
        <v>6059</v>
      </c>
      <c r="G329" s="2" t="str">
        <f>HYPERLINK("https://www.facebook.com/100002984030427/posts/1509354512507335?comment_id=1509892905786829")</f>
        <v>https://www.facebook.com/100002984030427/posts/1509354512507335?comment_id=1509892905786829</v>
      </c>
      <c r="H329" t="s">
        <v>6062</v>
      </c>
      <c r="I329" t="s">
        <v>613</v>
      </c>
      <c r="J329" s="2" t="str">
        <f>HYPERLINK("https://www.facebook.com/100008337219959")</f>
        <v>https://www.facebook.com/100008337219959</v>
      </c>
      <c r="K329">
        <v>530</v>
      </c>
      <c r="L329" t="s">
        <v>6064</v>
      </c>
      <c r="N329" t="s">
        <v>13</v>
      </c>
      <c r="O329" t="s">
        <v>614</v>
      </c>
      <c r="P329" s="2" t="str">
        <f>HYPERLINK("https://www.facebook.com/100002984030427")</f>
        <v>https://www.facebook.com/100002984030427</v>
      </c>
      <c r="Q329">
        <v>58</v>
      </c>
      <c r="R329" t="s">
        <v>6067</v>
      </c>
      <c r="S329" t="s">
        <v>6073</v>
      </c>
    </row>
    <row r="330" spans="1:19" ht="14.25" customHeight="1" x14ac:dyDescent="0.3">
      <c r="A330" t="s">
        <v>629</v>
      </c>
      <c r="B330" t="s">
        <v>1490</v>
      </c>
      <c r="C330" t="s">
        <v>95</v>
      </c>
      <c r="D330" t="s">
        <v>370</v>
      </c>
      <c r="E330" t="s">
        <v>371</v>
      </c>
      <c r="F330" t="s">
        <v>6058</v>
      </c>
      <c r="G330" s="2" t="str">
        <f>HYPERLINK("https://www.facebook.com/100023038607947/posts/216391455805473")</f>
        <v>https://www.facebook.com/100023038607947/posts/216391455805473</v>
      </c>
      <c r="H330" t="s">
        <v>6062</v>
      </c>
      <c r="I330" t="s">
        <v>1495</v>
      </c>
      <c r="J330" s="2" t="str">
        <f>HYPERLINK("https://www.facebook.com/100023038607947")</f>
        <v>https://www.facebook.com/100023038607947</v>
      </c>
      <c r="K330">
        <v>395</v>
      </c>
      <c r="L330" t="s">
        <v>6064</v>
      </c>
      <c r="M330">
        <v>52</v>
      </c>
      <c r="N330" t="s">
        <v>13</v>
      </c>
      <c r="O330" t="s">
        <v>1495</v>
      </c>
      <c r="P330" s="2" t="str">
        <f>HYPERLINK("https://www.facebook.com/100023038607947")</f>
        <v>https://www.facebook.com/100023038607947</v>
      </c>
      <c r="Q330">
        <v>395</v>
      </c>
      <c r="R330" t="s">
        <v>6067</v>
      </c>
      <c r="S330" t="s">
        <v>6091</v>
      </c>
    </row>
    <row r="331" spans="1:19" ht="14.25" customHeight="1" x14ac:dyDescent="0.3">
      <c r="A331" t="s">
        <v>5409</v>
      </c>
      <c r="B331" t="s">
        <v>94</v>
      </c>
      <c r="C331" t="s">
        <v>3538</v>
      </c>
      <c r="D331" t="s">
        <v>4318</v>
      </c>
      <c r="E331" t="s">
        <v>5429</v>
      </c>
      <c r="F331" t="s">
        <v>6058</v>
      </c>
      <c r="G331" s="2" t="str">
        <f>HYPERLINK("https://www.facebook.com/100001283353265/posts/1795609680491793")</f>
        <v>https://www.facebook.com/100001283353265/posts/1795609680491793</v>
      </c>
      <c r="H331" t="s">
        <v>6062</v>
      </c>
      <c r="I331" t="s">
        <v>5738</v>
      </c>
      <c r="J331" s="2" t="str">
        <f>HYPERLINK("https://www.facebook.com/100001283353265")</f>
        <v>https://www.facebook.com/100001283353265</v>
      </c>
      <c r="K331">
        <v>422</v>
      </c>
      <c r="L331" t="s">
        <v>6064</v>
      </c>
      <c r="N331" t="s">
        <v>13</v>
      </c>
      <c r="O331" t="s">
        <v>5738</v>
      </c>
      <c r="P331" s="2" t="str">
        <f>HYPERLINK("https://www.facebook.com/100001283353265")</f>
        <v>https://www.facebook.com/100001283353265</v>
      </c>
      <c r="Q331">
        <v>422</v>
      </c>
      <c r="R331" t="s">
        <v>6067</v>
      </c>
      <c r="S331" t="s">
        <v>6073</v>
      </c>
    </row>
    <row r="332" spans="1:19" ht="14.25" customHeight="1" x14ac:dyDescent="0.3">
      <c r="A332" t="s">
        <v>4439</v>
      </c>
      <c r="B332" t="s">
        <v>4460</v>
      </c>
      <c r="C332" t="s">
        <v>3538</v>
      </c>
      <c r="D332" t="s">
        <v>2047</v>
      </c>
      <c r="E332" t="s">
        <v>2048</v>
      </c>
      <c r="F332" t="s">
        <v>6058</v>
      </c>
      <c r="G332" s="2" t="str">
        <f>HYPERLINK("https://www.facebook.com/100000334342536/posts/1790104201010707")</f>
        <v>https://www.facebook.com/100000334342536/posts/1790104201010707</v>
      </c>
      <c r="H332" t="s">
        <v>6062</v>
      </c>
      <c r="I332" t="s">
        <v>4461</v>
      </c>
      <c r="J332" s="2" t="str">
        <f>HYPERLINK("https://www.facebook.com/100000334342536")</f>
        <v>https://www.facebook.com/100000334342536</v>
      </c>
      <c r="K332">
        <v>135</v>
      </c>
      <c r="L332" t="s">
        <v>6064</v>
      </c>
      <c r="N332" t="s">
        <v>13</v>
      </c>
      <c r="O332" t="s">
        <v>4461</v>
      </c>
      <c r="P332" s="2" t="str">
        <f>HYPERLINK("https://www.facebook.com/100000334342536")</f>
        <v>https://www.facebook.com/100000334342536</v>
      </c>
      <c r="Q332">
        <v>135</v>
      </c>
      <c r="R332" t="s">
        <v>6067</v>
      </c>
    </row>
    <row r="333" spans="1:19" ht="14.25" customHeight="1" x14ac:dyDescent="0.3">
      <c r="A333" t="s">
        <v>5409</v>
      </c>
      <c r="B333" t="s">
        <v>2009</v>
      </c>
      <c r="C333" t="s">
        <v>3538</v>
      </c>
      <c r="D333" t="s">
        <v>5913</v>
      </c>
      <c r="E333" t="s">
        <v>5931</v>
      </c>
      <c r="F333" t="s">
        <v>6059</v>
      </c>
      <c r="G333" s="2" t="str">
        <f>HYPERLINK("https://www.facebook.com/1130867597/posts/10214595940868821?comment_id=10214619115048161")</f>
        <v>https://www.facebook.com/1130867597/posts/10214595940868821?comment_id=10214619115048161</v>
      </c>
      <c r="H333" t="s">
        <v>6062</v>
      </c>
      <c r="I333" t="s">
        <v>5915</v>
      </c>
      <c r="J333" s="2" t="str">
        <f>HYPERLINK("https://www.facebook.com/100010298174429")</f>
        <v>https://www.facebook.com/100010298174429</v>
      </c>
      <c r="K333">
        <v>0</v>
      </c>
      <c r="L333" t="s">
        <v>6064</v>
      </c>
      <c r="N333" t="s">
        <v>13</v>
      </c>
      <c r="O333" t="s">
        <v>5916</v>
      </c>
      <c r="P333" s="2" t="str">
        <f>HYPERLINK("https://www.facebook.com/1130867597")</f>
        <v>https://www.facebook.com/1130867597</v>
      </c>
      <c r="Q333">
        <v>0</v>
      </c>
      <c r="R333" t="s">
        <v>6067</v>
      </c>
      <c r="S333" t="s">
        <v>6073</v>
      </c>
    </row>
    <row r="334" spans="1:19" ht="14.25" customHeight="1" x14ac:dyDescent="0.3">
      <c r="A334" t="s">
        <v>629</v>
      </c>
      <c r="B334" t="s">
        <v>2075</v>
      </c>
      <c r="C334" t="s">
        <v>95</v>
      </c>
      <c r="D334" t="s">
        <v>544</v>
      </c>
      <c r="E334" t="s">
        <v>545</v>
      </c>
      <c r="F334" t="s">
        <v>6058</v>
      </c>
      <c r="G334" s="2" t="str">
        <f>HYPERLINK("https://www.facebook.com/100001934178857/posts/1869051509835970")</f>
        <v>https://www.facebook.com/100001934178857/posts/1869051509835970</v>
      </c>
      <c r="H334" t="s">
        <v>6062</v>
      </c>
      <c r="I334" t="s">
        <v>2076</v>
      </c>
      <c r="J334" s="2" t="str">
        <f>HYPERLINK("https://www.facebook.com/100001934178857")</f>
        <v>https://www.facebook.com/100001934178857</v>
      </c>
      <c r="K334">
        <v>1720</v>
      </c>
      <c r="L334" t="s">
        <v>6064</v>
      </c>
      <c r="N334" t="s">
        <v>13</v>
      </c>
      <c r="O334" t="s">
        <v>2076</v>
      </c>
      <c r="P334" s="2" t="str">
        <f>HYPERLINK("https://www.facebook.com/100001934178857")</f>
        <v>https://www.facebook.com/100001934178857</v>
      </c>
      <c r="Q334">
        <v>1720</v>
      </c>
      <c r="R334" t="s">
        <v>6067</v>
      </c>
      <c r="S334" t="s">
        <v>6073</v>
      </c>
    </row>
    <row r="335" spans="1:19" ht="14.25" customHeight="1" x14ac:dyDescent="0.3">
      <c r="A335" t="s">
        <v>629</v>
      </c>
      <c r="B335" t="s">
        <v>1804</v>
      </c>
      <c r="C335" t="s">
        <v>95</v>
      </c>
      <c r="D335" t="s">
        <v>370</v>
      </c>
      <c r="E335" t="s">
        <v>371</v>
      </c>
      <c r="F335" t="s">
        <v>6058</v>
      </c>
      <c r="G335" s="2" t="str">
        <f>HYPERLINK("https://www.facebook.com/100005440895169/posts/805768912947798")</f>
        <v>https://www.facebook.com/100005440895169/posts/805768912947798</v>
      </c>
      <c r="H335" t="s">
        <v>6062</v>
      </c>
      <c r="I335" t="s">
        <v>1806</v>
      </c>
      <c r="J335" s="2" t="str">
        <f>HYPERLINK("https://www.facebook.com/100005440895169")</f>
        <v>https://www.facebook.com/100005440895169</v>
      </c>
      <c r="K335">
        <v>0</v>
      </c>
      <c r="L335" t="s">
        <v>6064</v>
      </c>
      <c r="N335" t="s">
        <v>13</v>
      </c>
      <c r="O335" t="s">
        <v>1806</v>
      </c>
      <c r="P335" s="2" t="str">
        <f>HYPERLINK("https://www.facebook.com/100005440895169")</f>
        <v>https://www.facebook.com/100005440895169</v>
      </c>
      <c r="Q335">
        <v>0</v>
      </c>
      <c r="R335" t="s">
        <v>6067</v>
      </c>
      <c r="S335" t="s">
        <v>6073</v>
      </c>
    </row>
    <row r="336" spans="1:19" ht="14.25" customHeight="1" x14ac:dyDescent="0.3">
      <c r="A336" t="s">
        <v>3527</v>
      </c>
      <c r="B336" t="s">
        <v>4427</v>
      </c>
      <c r="C336" t="s">
        <v>3538</v>
      </c>
      <c r="D336" t="s">
        <v>4171</v>
      </c>
      <c r="E336" t="s">
        <v>4172</v>
      </c>
      <c r="F336" t="s">
        <v>6058</v>
      </c>
      <c r="G336" s="2" t="str">
        <f>HYPERLINK("https://www.facebook.com/100004362272317/posts/1017138088441591")</f>
        <v>https://www.facebook.com/100004362272317/posts/1017138088441591</v>
      </c>
      <c r="H336" t="s">
        <v>6062</v>
      </c>
      <c r="I336" t="s">
        <v>1407</v>
      </c>
      <c r="J336" s="2" t="str">
        <f>HYPERLINK("https://www.facebook.com/100004362272317")</f>
        <v>https://www.facebook.com/100004362272317</v>
      </c>
      <c r="K336">
        <v>1075</v>
      </c>
      <c r="L336" t="s">
        <v>6064</v>
      </c>
      <c r="N336" t="s">
        <v>13</v>
      </c>
      <c r="O336" t="s">
        <v>1407</v>
      </c>
      <c r="P336" s="2" t="str">
        <f>HYPERLINK("https://www.facebook.com/100004362272317")</f>
        <v>https://www.facebook.com/100004362272317</v>
      </c>
      <c r="Q336">
        <v>1075</v>
      </c>
      <c r="R336" t="s">
        <v>6067</v>
      </c>
    </row>
    <row r="337" spans="1:19" ht="14.25" customHeight="1" x14ac:dyDescent="0.3">
      <c r="A337" t="s">
        <v>629</v>
      </c>
      <c r="B337" t="s">
        <v>1406</v>
      </c>
      <c r="C337" t="s">
        <v>95</v>
      </c>
      <c r="D337" t="s">
        <v>370</v>
      </c>
      <c r="E337" t="s">
        <v>371</v>
      </c>
      <c r="F337" t="s">
        <v>6058</v>
      </c>
      <c r="G337" s="2" t="str">
        <f>HYPERLINK("https://www.facebook.com/100004362272317/posts/1018501928305207")</f>
        <v>https://www.facebook.com/100004362272317/posts/1018501928305207</v>
      </c>
      <c r="H337" t="s">
        <v>6062</v>
      </c>
      <c r="I337" t="s">
        <v>1407</v>
      </c>
      <c r="J337" s="2" t="str">
        <f>HYPERLINK("https://www.facebook.com/100004362272317")</f>
        <v>https://www.facebook.com/100004362272317</v>
      </c>
      <c r="K337">
        <v>1075</v>
      </c>
      <c r="L337" t="s">
        <v>6064</v>
      </c>
      <c r="N337" t="s">
        <v>13</v>
      </c>
      <c r="O337" t="s">
        <v>1407</v>
      </c>
      <c r="P337" s="2" t="str">
        <f>HYPERLINK("https://www.facebook.com/100004362272317")</f>
        <v>https://www.facebook.com/100004362272317</v>
      </c>
      <c r="Q337">
        <v>1075</v>
      </c>
      <c r="R337" t="s">
        <v>6067</v>
      </c>
    </row>
    <row r="338" spans="1:19" ht="14.25" customHeight="1" x14ac:dyDescent="0.3">
      <c r="A338" t="s">
        <v>629</v>
      </c>
      <c r="B338" t="s">
        <v>162</v>
      </c>
      <c r="C338" t="s">
        <v>95</v>
      </c>
      <c r="D338" t="s">
        <v>370</v>
      </c>
      <c r="E338" t="s">
        <v>371</v>
      </c>
      <c r="F338" t="s">
        <v>6058</v>
      </c>
      <c r="G338" s="2" t="str">
        <f>HYPERLINK("https://www.facebook.com/100004362272317/posts/1018497581638975")</f>
        <v>https://www.facebook.com/100004362272317/posts/1018497581638975</v>
      </c>
      <c r="H338" t="s">
        <v>6062</v>
      </c>
      <c r="I338" t="s">
        <v>1407</v>
      </c>
      <c r="J338" s="2" t="str">
        <f>HYPERLINK("https://www.facebook.com/100004362272317")</f>
        <v>https://www.facebook.com/100004362272317</v>
      </c>
      <c r="K338">
        <v>1075</v>
      </c>
      <c r="L338" t="s">
        <v>6064</v>
      </c>
      <c r="N338" t="s">
        <v>13</v>
      </c>
      <c r="O338" t="s">
        <v>1407</v>
      </c>
      <c r="P338" s="2" t="str">
        <f>HYPERLINK("https://www.facebook.com/100004362272317")</f>
        <v>https://www.facebook.com/100004362272317</v>
      </c>
      <c r="Q338">
        <v>1075</v>
      </c>
      <c r="R338" t="s">
        <v>6067</v>
      </c>
    </row>
    <row r="339" spans="1:19" ht="14.25" customHeight="1" x14ac:dyDescent="0.3">
      <c r="A339" t="s">
        <v>629</v>
      </c>
      <c r="B339" t="s">
        <v>1486</v>
      </c>
      <c r="C339" t="s">
        <v>95</v>
      </c>
      <c r="D339" t="s">
        <v>370</v>
      </c>
      <c r="E339" t="s">
        <v>371</v>
      </c>
      <c r="F339" t="s">
        <v>6058</v>
      </c>
      <c r="G339" s="2" t="str">
        <f>HYPERLINK("https://www.facebook.com/100001799622471/posts/1885378578198778")</f>
        <v>https://www.facebook.com/100001799622471/posts/1885378578198778</v>
      </c>
      <c r="H339" t="s">
        <v>6062</v>
      </c>
      <c r="I339" t="s">
        <v>1489</v>
      </c>
      <c r="J339" s="2" t="str">
        <f>HYPERLINK("https://www.facebook.com/100001799622471")</f>
        <v>https://www.facebook.com/100001799622471</v>
      </c>
      <c r="K339">
        <v>100</v>
      </c>
      <c r="L339" t="s">
        <v>6064</v>
      </c>
      <c r="N339" t="s">
        <v>13</v>
      </c>
      <c r="O339" t="s">
        <v>1489</v>
      </c>
      <c r="P339" s="2" t="str">
        <f>HYPERLINK("https://www.facebook.com/100001799622471")</f>
        <v>https://www.facebook.com/100001799622471</v>
      </c>
      <c r="Q339">
        <v>100</v>
      </c>
      <c r="R339" t="s">
        <v>6067</v>
      </c>
      <c r="S339" t="s">
        <v>6073</v>
      </c>
    </row>
    <row r="340" spans="1:19" ht="14.25" customHeight="1" x14ac:dyDescent="0.3">
      <c r="A340" t="s">
        <v>629</v>
      </c>
      <c r="B340" t="s">
        <v>417</v>
      </c>
      <c r="C340" t="s">
        <v>95</v>
      </c>
      <c r="D340" t="s">
        <v>370</v>
      </c>
      <c r="E340" t="s">
        <v>371</v>
      </c>
      <c r="F340" t="s">
        <v>6058</v>
      </c>
      <c r="G340" s="2" t="str">
        <f>HYPERLINK("https://www.facebook.com/100001199022182/posts/1635280063188612")</f>
        <v>https://www.facebook.com/100001199022182/posts/1635280063188612</v>
      </c>
      <c r="H340" t="s">
        <v>6062</v>
      </c>
      <c r="I340" t="s">
        <v>1793</v>
      </c>
      <c r="J340" s="2" t="str">
        <f>HYPERLINK("https://www.facebook.com/100001199022182")</f>
        <v>https://www.facebook.com/100001199022182</v>
      </c>
      <c r="K340">
        <v>0</v>
      </c>
      <c r="L340" t="s">
        <v>6064</v>
      </c>
      <c r="N340" t="s">
        <v>13</v>
      </c>
      <c r="O340" t="s">
        <v>1793</v>
      </c>
      <c r="P340" s="2" t="str">
        <f>HYPERLINK("https://www.facebook.com/100001199022182")</f>
        <v>https://www.facebook.com/100001199022182</v>
      </c>
      <c r="Q340">
        <v>0</v>
      </c>
      <c r="R340" t="s">
        <v>6067</v>
      </c>
      <c r="S340" t="s">
        <v>6073</v>
      </c>
    </row>
    <row r="341" spans="1:19" ht="14.25" customHeight="1" x14ac:dyDescent="0.3">
      <c r="A341" t="s">
        <v>2225</v>
      </c>
      <c r="B341" t="s">
        <v>245</v>
      </c>
      <c r="C341" t="s">
        <v>95</v>
      </c>
      <c r="D341" t="s">
        <v>1099</v>
      </c>
      <c r="E341" t="s">
        <v>3336</v>
      </c>
      <c r="F341" t="s">
        <v>6059</v>
      </c>
      <c r="G341" s="2" t="str">
        <f>HYPERLINK("https://www.facebook.com/100002489064006/posts/1666923993400553?comment_id=1667335226692763")</f>
        <v>https://www.facebook.com/100002489064006/posts/1666923993400553?comment_id=1667335226692763</v>
      </c>
      <c r="H341" t="s">
        <v>6062</v>
      </c>
      <c r="I341" t="s">
        <v>3337</v>
      </c>
      <c r="J341" s="2" t="str">
        <f>HYPERLINK("https://www.facebook.com/100000137606321")</f>
        <v>https://www.facebook.com/100000137606321</v>
      </c>
      <c r="K341">
        <v>0</v>
      </c>
      <c r="L341" t="s">
        <v>6063</v>
      </c>
      <c r="N341" t="s">
        <v>13</v>
      </c>
      <c r="O341" t="s">
        <v>1101</v>
      </c>
      <c r="P341" s="2" t="str">
        <f>HYPERLINK("https://www.facebook.com/100002489064006")</f>
        <v>https://www.facebook.com/100002489064006</v>
      </c>
      <c r="Q341">
        <v>2089</v>
      </c>
      <c r="R341" t="s">
        <v>6067</v>
      </c>
      <c r="S341" t="s">
        <v>6073</v>
      </c>
    </row>
    <row r="342" spans="1:19" ht="14.25" customHeight="1" x14ac:dyDescent="0.3">
      <c r="A342" t="s">
        <v>4439</v>
      </c>
      <c r="B342" t="s">
        <v>2370</v>
      </c>
      <c r="C342" t="s">
        <v>3538</v>
      </c>
      <c r="D342" t="s">
        <v>3241</v>
      </c>
      <c r="E342" t="s">
        <v>4474</v>
      </c>
      <c r="F342" t="s">
        <v>6059</v>
      </c>
      <c r="G342" s="2" t="str">
        <f>HYPERLINK("https://www.facebook.com/100000538983327/posts/2120112121350067?comment_id=2120713454623267")</f>
        <v>https://www.facebook.com/100000538983327/posts/2120112121350067?comment_id=2120713454623267</v>
      </c>
      <c r="H342" t="s">
        <v>6062</v>
      </c>
      <c r="I342" t="s">
        <v>4475</v>
      </c>
      <c r="J342" s="2" t="str">
        <f>HYPERLINK("https://www.facebook.com/100002273027926")</f>
        <v>https://www.facebook.com/100002273027926</v>
      </c>
      <c r="K342">
        <v>151</v>
      </c>
      <c r="L342" t="s">
        <v>6063</v>
      </c>
      <c r="N342" t="s">
        <v>13</v>
      </c>
      <c r="O342" t="s">
        <v>3244</v>
      </c>
      <c r="P342" s="2" t="str">
        <f>HYPERLINK("https://www.facebook.com/100000538983327")</f>
        <v>https://www.facebook.com/100000538983327</v>
      </c>
      <c r="Q342">
        <v>1466</v>
      </c>
      <c r="R342" t="s">
        <v>6067</v>
      </c>
      <c r="S342" t="s">
        <v>6073</v>
      </c>
    </row>
    <row r="343" spans="1:19" ht="14.25" customHeight="1" x14ac:dyDescent="0.3">
      <c r="A343" t="s">
        <v>2225</v>
      </c>
      <c r="B343" t="s">
        <v>643</v>
      </c>
      <c r="C343" t="s">
        <v>95</v>
      </c>
      <c r="D343" t="s">
        <v>2239</v>
      </c>
      <c r="E343" t="s">
        <v>2240</v>
      </c>
      <c r="F343" t="s">
        <v>6059</v>
      </c>
      <c r="G343" s="2" t="str">
        <f>HYPERLINK("https://www.facebook.com/100005959599476/posts/872836799591632?comment_id=872865542922091")</f>
        <v>https://www.facebook.com/100005959599476/posts/872836799591632?comment_id=872865542922091</v>
      </c>
      <c r="H343" t="s">
        <v>6062</v>
      </c>
      <c r="I343" t="s">
        <v>2241</v>
      </c>
      <c r="J343" s="2" t="str">
        <f>HYPERLINK("https://www.facebook.com/100000518693563")</f>
        <v>https://www.facebook.com/100000518693563</v>
      </c>
      <c r="K343">
        <v>856</v>
      </c>
      <c r="L343" t="s">
        <v>6063</v>
      </c>
      <c r="N343" t="s">
        <v>13</v>
      </c>
      <c r="O343" t="s">
        <v>2242</v>
      </c>
      <c r="P343" s="2" t="str">
        <f>HYPERLINK("https://www.facebook.com/100005959599476")</f>
        <v>https://www.facebook.com/100005959599476</v>
      </c>
      <c r="Q343">
        <v>3325</v>
      </c>
      <c r="R343" t="s">
        <v>6067</v>
      </c>
      <c r="S343" t="s">
        <v>6073</v>
      </c>
    </row>
    <row r="344" spans="1:19" ht="14.25" customHeight="1" x14ac:dyDescent="0.3">
      <c r="A344" t="s">
        <v>629</v>
      </c>
      <c r="B344" t="s">
        <v>1404</v>
      </c>
      <c r="C344" t="s">
        <v>95</v>
      </c>
      <c r="D344" t="s">
        <v>667</v>
      </c>
      <c r="E344" t="s">
        <v>668</v>
      </c>
      <c r="F344" t="s">
        <v>6058</v>
      </c>
      <c r="G344" s="2" t="str">
        <f>HYPERLINK("https://www.facebook.com/100002252914128/posts/1970439696374442")</f>
        <v>https://www.facebook.com/100002252914128/posts/1970439696374442</v>
      </c>
      <c r="H344" t="s">
        <v>6062</v>
      </c>
      <c r="I344" t="s">
        <v>1405</v>
      </c>
      <c r="J344" s="2" t="str">
        <f>HYPERLINK("https://www.facebook.com/100002252914128")</f>
        <v>https://www.facebook.com/100002252914128</v>
      </c>
      <c r="K344">
        <v>108</v>
      </c>
      <c r="L344" t="s">
        <v>6063</v>
      </c>
      <c r="N344" t="s">
        <v>13</v>
      </c>
      <c r="O344" t="s">
        <v>1405</v>
      </c>
      <c r="P344" s="2" t="str">
        <f>HYPERLINK("https://www.facebook.com/100002252914128")</f>
        <v>https://www.facebook.com/100002252914128</v>
      </c>
      <c r="Q344">
        <v>108</v>
      </c>
      <c r="R344" t="s">
        <v>6067</v>
      </c>
    </row>
    <row r="345" spans="1:19" ht="14.25" customHeight="1" x14ac:dyDescent="0.3">
      <c r="A345" t="s">
        <v>2225</v>
      </c>
      <c r="B345" t="s">
        <v>1391</v>
      </c>
      <c r="C345" t="s">
        <v>95</v>
      </c>
      <c r="D345" t="s">
        <v>2196</v>
      </c>
      <c r="E345" t="s">
        <v>3269</v>
      </c>
      <c r="F345" t="s">
        <v>6059</v>
      </c>
      <c r="G345" s="2" t="str">
        <f>HYPERLINK("https://www.facebook.com/100001415260849/posts/1744734525583706?comment_id=1745902102133615")</f>
        <v>https://www.facebook.com/100001415260849/posts/1744734525583706?comment_id=1745902102133615</v>
      </c>
      <c r="H345" t="s">
        <v>6062</v>
      </c>
      <c r="I345" t="s">
        <v>2317</v>
      </c>
      <c r="J345" s="2" t="str">
        <f>HYPERLINK("https://www.facebook.com/100000289016679")</f>
        <v>https://www.facebook.com/100000289016679</v>
      </c>
      <c r="K345">
        <v>701</v>
      </c>
      <c r="L345" t="s">
        <v>6063</v>
      </c>
      <c r="N345" t="s">
        <v>13</v>
      </c>
      <c r="O345" t="s">
        <v>2199</v>
      </c>
      <c r="P345" s="2" t="str">
        <f>HYPERLINK("https://www.facebook.com/100001415260849")</f>
        <v>https://www.facebook.com/100001415260849</v>
      </c>
      <c r="Q345">
        <v>0</v>
      </c>
      <c r="R345" t="s">
        <v>6067</v>
      </c>
      <c r="S345" t="s">
        <v>6073</v>
      </c>
    </row>
    <row r="346" spans="1:19" ht="14.25" customHeight="1" x14ac:dyDescent="0.3">
      <c r="A346" t="s">
        <v>5409</v>
      </c>
      <c r="B346" t="s">
        <v>115</v>
      </c>
      <c r="C346" t="s">
        <v>3538</v>
      </c>
      <c r="D346" t="s">
        <v>3757</v>
      </c>
      <c r="E346" t="s">
        <v>5766</v>
      </c>
      <c r="F346" t="s">
        <v>6059</v>
      </c>
      <c r="G346" s="2" t="str">
        <f>HYPERLINK("https://www.facebook.com/1676376791/posts/10209685538090004?comment_id=10209686643717644")</f>
        <v>https://www.facebook.com/1676376791/posts/10209685538090004?comment_id=10209686643717644</v>
      </c>
      <c r="H346" t="s">
        <v>6062</v>
      </c>
      <c r="I346" t="s">
        <v>5742</v>
      </c>
      <c r="J346" s="2" t="str">
        <f>HYPERLINK("https://www.facebook.com/100000267656355")</f>
        <v>https://www.facebook.com/100000267656355</v>
      </c>
      <c r="K346">
        <v>497</v>
      </c>
      <c r="L346" t="s">
        <v>6063</v>
      </c>
      <c r="N346" t="s">
        <v>13</v>
      </c>
      <c r="O346" t="s">
        <v>3760</v>
      </c>
      <c r="P346" s="2" t="str">
        <f>HYPERLINK("https://www.facebook.com/1676376791")</f>
        <v>https://www.facebook.com/1676376791</v>
      </c>
      <c r="Q346">
        <v>4013</v>
      </c>
      <c r="R346" t="s">
        <v>6067</v>
      </c>
      <c r="S346" t="s">
        <v>6073</v>
      </c>
    </row>
    <row r="347" spans="1:19" ht="14.25" customHeight="1" x14ac:dyDescent="0.3">
      <c r="A347" t="s">
        <v>629</v>
      </c>
      <c r="B347" t="s">
        <v>352</v>
      </c>
      <c r="C347" t="s">
        <v>95</v>
      </c>
      <c r="D347" t="s">
        <v>568</v>
      </c>
      <c r="E347" t="s">
        <v>1588</v>
      </c>
      <c r="F347" t="s">
        <v>6059</v>
      </c>
      <c r="G347" s="2" t="str">
        <f>HYPERLINK("https://www.facebook.com/100010421106042/posts/579987695691929?comment_id=580117875678911")</f>
        <v>https://www.facebook.com/100010421106042/posts/579987695691929?comment_id=580117875678911</v>
      </c>
      <c r="H347" t="s">
        <v>6062</v>
      </c>
      <c r="I347" t="s">
        <v>1589</v>
      </c>
      <c r="J347" s="2" t="str">
        <f>HYPERLINK("https://www.facebook.com/100002454950224")</f>
        <v>https://www.facebook.com/100002454950224</v>
      </c>
      <c r="K347">
        <v>0</v>
      </c>
      <c r="L347" t="s">
        <v>6063</v>
      </c>
      <c r="N347" t="s">
        <v>13</v>
      </c>
      <c r="O347" t="s">
        <v>571</v>
      </c>
      <c r="P347" s="2" t="str">
        <f>HYPERLINK("https://www.facebook.com/100010421106042")</f>
        <v>https://www.facebook.com/100010421106042</v>
      </c>
      <c r="Q347">
        <v>2614</v>
      </c>
      <c r="R347" t="s">
        <v>6067</v>
      </c>
    </row>
    <row r="348" spans="1:19" ht="14.25" customHeight="1" x14ac:dyDescent="0.3">
      <c r="A348" t="s">
        <v>2225</v>
      </c>
      <c r="B348" t="s">
        <v>1429</v>
      </c>
      <c r="C348" t="s">
        <v>95</v>
      </c>
      <c r="D348" t="s">
        <v>1099</v>
      </c>
      <c r="E348" t="s">
        <v>3328</v>
      </c>
      <c r="F348" t="s">
        <v>6059</v>
      </c>
      <c r="G348" s="2" t="str">
        <f>HYPERLINK("https://www.facebook.com/100002489064006/posts/1666923993400553?comment_id=1667376676688618")</f>
        <v>https://www.facebook.com/100002489064006/posts/1666923993400553?comment_id=1667376676688618</v>
      </c>
      <c r="H348" t="s">
        <v>6062</v>
      </c>
      <c r="I348" t="s">
        <v>3329</v>
      </c>
      <c r="J348" s="2" t="str">
        <f>HYPERLINK("https://www.facebook.com/100024401762977")</f>
        <v>https://www.facebook.com/100024401762977</v>
      </c>
      <c r="K348">
        <v>272</v>
      </c>
      <c r="L348" t="s">
        <v>6064</v>
      </c>
      <c r="N348" t="s">
        <v>13</v>
      </c>
      <c r="O348" t="s">
        <v>1101</v>
      </c>
      <c r="P348" s="2" t="str">
        <f>HYPERLINK("https://www.facebook.com/100002489064006")</f>
        <v>https://www.facebook.com/100002489064006</v>
      </c>
      <c r="Q348">
        <v>2089</v>
      </c>
      <c r="R348" t="s">
        <v>6067</v>
      </c>
      <c r="S348" t="s">
        <v>6073</v>
      </c>
    </row>
    <row r="349" spans="1:19" ht="14.25" customHeight="1" x14ac:dyDescent="0.3">
      <c r="A349" t="s">
        <v>2225</v>
      </c>
      <c r="B349" t="s">
        <v>720</v>
      </c>
      <c r="C349" t="s">
        <v>95</v>
      </c>
      <c r="D349" t="s">
        <v>853</v>
      </c>
      <c r="E349" t="s">
        <v>2408</v>
      </c>
      <c r="F349" t="s">
        <v>6059</v>
      </c>
      <c r="G349" s="2" t="str">
        <f>HYPERLINK("https://www.facebook.com/100008934274771/posts/1810262525948206?comment_id=1810297039278088")</f>
        <v>https://www.facebook.com/100008934274771/posts/1810262525948206?comment_id=1810297039278088</v>
      </c>
      <c r="H349" t="s">
        <v>6062</v>
      </c>
      <c r="I349" t="s">
        <v>2409</v>
      </c>
      <c r="J349" s="2" t="str">
        <f>HYPERLINK("https://www.facebook.com/100007896792499")</f>
        <v>https://www.facebook.com/100007896792499</v>
      </c>
      <c r="K349">
        <v>37</v>
      </c>
      <c r="L349" t="s">
        <v>6064</v>
      </c>
      <c r="N349" t="s">
        <v>13</v>
      </c>
      <c r="O349" t="s">
        <v>856</v>
      </c>
      <c r="P349" s="2" t="str">
        <f>HYPERLINK("https://www.facebook.com/100008934274771")</f>
        <v>https://www.facebook.com/100008934274771</v>
      </c>
      <c r="Q349">
        <v>10395</v>
      </c>
      <c r="R349" t="s">
        <v>6067</v>
      </c>
      <c r="S349" t="s">
        <v>6073</v>
      </c>
    </row>
    <row r="350" spans="1:19" ht="14.25" customHeight="1" x14ac:dyDescent="0.3">
      <c r="A350" t="s">
        <v>629</v>
      </c>
      <c r="B350" t="s">
        <v>1010</v>
      </c>
      <c r="C350" t="s">
        <v>95</v>
      </c>
      <c r="D350" t="s">
        <v>10</v>
      </c>
      <c r="E350" t="s">
        <v>1012</v>
      </c>
      <c r="F350" t="s">
        <v>6059</v>
      </c>
      <c r="G350" s="2" t="str">
        <f>HYPERLINK("https://www.facebook.com/762053551/posts/10156366210158552?comment_id=10156366399443552")</f>
        <v>https://www.facebook.com/762053551/posts/10156366210158552?comment_id=10156366399443552</v>
      </c>
      <c r="H350" t="s">
        <v>6062</v>
      </c>
      <c r="I350" t="s">
        <v>1013</v>
      </c>
      <c r="J350" s="2" t="str">
        <f>HYPERLINK("https://www.facebook.com/100008211015523")</f>
        <v>https://www.facebook.com/100008211015523</v>
      </c>
      <c r="K350">
        <v>0</v>
      </c>
      <c r="L350" t="s">
        <v>6063</v>
      </c>
      <c r="N350" t="s">
        <v>13</v>
      </c>
      <c r="O350" t="s">
        <v>14</v>
      </c>
      <c r="P350" s="2" t="str">
        <f>HYPERLINK("https://www.facebook.com/762053551")</f>
        <v>https://www.facebook.com/762053551</v>
      </c>
      <c r="Q350">
        <v>102347</v>
      </c>
      <c r="R350" t="s">
        <v>6067</v>
      </c>
      <c r="S350" t="s">
        <v>6073</v>
      </c>
    </row>
    <row r="351" spans="1:19" ht="14.25" customHeight="1" x14ac:dyDescent="0.3">
      <c r="A351" t="s">
        <v>629</v>
      </c>
      <c r="B351" t="s">
        <v>1105</v>
      </c>
      <c r="C351" t="s">
        <v>95</v>
      </c>
      <c r="D351" t="s">
        <v>10</v>
      </c>
      <c r="E351" t="s">
        <v>1106</v>
      </c>
      <c r="F351" t="s">
        <v>6059</v>
      </c>
      <c r="G351" s="2" t="str">
        <f>HYPERLINK("https://www.facebook.com/762053551/posts/10156366210158552?comment_id=10156366320338552")</f>
        <v>https://www.facebook.com/762053551/posts/10156366210158552?comment_id=10156366320338552</v>
      </c>
      <c r="H351" t="s">
        <v>6062</v>
      </c>
      <c r="I351" t="s">
        <v>1013</v>
      </c>
      <c r="J351" s="2" t="str">
        <f>HYPERLINK("https://www.facebook.com/100008211015523")</f>
        <v>https://www.facebook.com/100008211015523</v>
      </c>
      <c r="K351">
        <v>0</v>
      </c>
      <c r="L351" t="s">
        <v>6063</v>
      </c>
      <c r="N351" t="s">
        <v>13</v>
      </c>
      <c r="O351" t="s">
        <v>14</v>
      </c>
      <c r="P351" s="2" t="str">
        <f>HYPERLINK("https://www.facebook.com/762053551")</f>
        <v>https://www.facebook.com/762053551</v>
      </c>
      <c r="Q351">
        <v>102347</v>
      </c>
      <c r="R351" t="s">
        <v>6067</v>
      </c>
      <c r="S351" t="s">
        <v>6073</v>
      </c>
    </row>
    <row r="352" spans="1:19" ht="14.25" customHeight="1" x14ac:dyDescent="0.3">
      <c r="A352" t="s">
        <v>629</v>
      </c>
      <c r="B352" t="s">
        <v>1183</v>
      </c>
      <c r="C352" t="s">
        <v>95</v>
      </c>
      <c r="D352" t="s">
        <v>10</v>
      </c>
      <c r="E352" t="s">
        <v>1184</v>
      </c>
      <c r="F352" t="s">
        <v>6059</v>
      </c>
      <c r="G352" s="2" t="str">
        <f>HYPERLINK("https://www.facebook.com/762053551/posts/10156366210158552?comment_id=10156366264363552")</f>
        <v>https://www.facebook.com/762053551/posts/10156366210158552?comment_id=10156366264363552</v>
      </c>
      <c r="H352" t="s">
        <v>6062</v>
      </c>
      <c r="I352" t="s">
        <v>1013</v>
      </c>
      <c r="J352" s="2" t="str">
        <f>HYPERLINK("https://www.facebook.com/100008211015523")</f>
        <v>https://www.facebook.com/100008211015523</v>
      </c>
      <c r="K352">
        <v>0</v>
      </c>
      <c r="L352" t="s">
        <v>6063</v>
      </c>
      <c r="N352" t="s">
        <v>13</v>
      </c>
      <c r="O352" t="s">
        <v>14</v>
      </c>
      <c r="P352" s="2" t="str">
        <f>HYPERLINK("https://www.facebook.com/762053551")</f>
        <v>https://www.facebook.com/762053551</v>
      </c>
      <c r="Q352">
        <v>102347</v>
      </c>
      <c r="R352" t="s">
        <v>6067</v>
      </c>
      <c r="S352" t="s">
        <v>6073</v>
      </c>
    </row>
    <row r="353" spans="1:19" ht="14.25" customHeight="1" x14ac:dyDescent="0.3">
      <c r="A353" t="s">
        <v>3527</v>
      </c>
      <c r="B353" t="s">
        <v>2348</v>
      </c>
      <c r="C353" t="s">
        <v>95</v>
      </c>
      <c r="D353" t="s">
        <v>2196</v>
      </c>
      <c r="E353" t="s">
        <v>3633</v>
      </c>
      <c r="F353" t="s">
        <v>6059</v>
      </c>
      <c r="G353" s="2" t="str">
        <f>HYPERLINK("https://www.facebook.com/100001415260849/posts/1744734525583706?comment_id=1745221162201709")</f>
        <v>https://www.facebook.com/100001415260849/posts/1744734525583706?comment_id=1745221162201709</v>
      </c>
      <c r="H353" t="s">
        <v>6062</v>
      </c>
      <c r="I353" t="s">
        <v>3634</v>
      </c>
      <c r="J353" s="2" t="str">
        <f>HYPERLINK("https://www.facebook.com/100003670164359")</f>
        <v>https://www.facebook.com/100003670164359</v>
      </c>
      <c r="K353">
        <v>727</v>
      </c>
      <c r="L353" t="s">
        <v>6063</v>
      </c>
      <c r="N353" t="s">
        <v>13</v>
      </c>
      <c r="O353" t="s">
        <v>2199</v>
      </c>
      <c r="P353" s="2" t="str">
        <f>HYPERLINK("https://www.facebook.com/100001415260849")</f>
        <v>https://www.facebook.com/100001415260849</v>
      </c>
      <c r="Q353">
        <v>0</v>
      </c>
      <c r="R353" t="s">
        <v>6067</v>
      </c>
      <c r="S353" t="s">
        <v>6073</v>
      </c>
    </row>
    <row r="354" spans="1:19" ht="14.25" customHeight="1" x14ac:dyDescent="0.3">
      <c r="A354" t="s">
        <v>3527</v>
      </c>
      <c r="B354" t="s">
        <v>3639</v>
      </c>
      <c r="C354" t="s">
        <v>95</v>
      </c>
      <c r="D354" t="s">
        <v>2196</v>
      </c>
      <c r="E354" t="s">
        <v>3641</v>
      </c>
      <c r="F354" t="s">
        <v>6059</v>
      </c>
      <c r="G354" s="2" t="str">
        <f>HYPERLINK("https://www.facebook.com/100001415260849/posts/1744734525583706?comment_id=1745219438868548")</f>
        <v>https://www.facebook.com/100001415260849/posts/1744734525583706?comment_id=1745219438868548</v>
      </c>
      <c r="H354" t="s">
        <v>6062</v>
      </c>
      <c r="I354" t="s">
        <v>3634</v>
      </c>
      <c r="J354" s="2" t="str">
        <f>HYPERLINK("https://www.facebook.com/100003670164359")</f>
        <v>https://www.facebook.com/100003670164359</v>
      </c>
      <c r="K354">
        <v>727</v>
      </c>
      <c r="L354" t="s">
        <v>6063</v>
      </c>
      <c r="N354" t="s">
        <v>13</v>
      </c>
      <c r="O354" t="s">
        <v>2199</v>
      </c>
      <c r="P354" s="2" t="str">
        <f>HYPERLINK("https://www.facebook.com/100001415260849")</f>
        <v>https://www.facebook.com/100001415260849</v>
      </c>
      <c r="Q354">
        <v>0</v>
      </c>
      <c r="R354" t="s">
        <v>6067</v>
      </c>
      <c r="S354" t="s">
        <v>6073</v>
      </c>
    </row>
    <row r="355" spans="1:19" ht="14.25" customHeight="1" x14ac:dyDescent="0.3">
      <c r="A355" t="s">
        <v>3527</v>
      </c>
      <c r="B355" t="s">
        <v>2372</v>
      </c>
      <c r="C355" t="s">
        <v>95</v>
      </c>
      <c r="D355" t="s">
        <v>2196</v>
      </c>
      <c r="E355" t="s">
        <v>3647</v>
      </c>
      <c r="F355" t="s">
        <v>6059</v>
      </c>
      <c r="G355" s="2" t="str">
        <f>HYPERLINK("https://www.facebook.com/100001415260849/posts/1744734525583706?comment_id=1745215052202320")</f>
        <v>https://www.facebook.com/100001415260849/posts/1744734525583706?comment_id=1745215052202320</v>
      </c>
      <c r="H355" t="s">
        <v>6062</v>
      </c>
      <c r="I355" t="s">
        <v>3634</v>
      </c>
      <c r="J355" s="2" t="str">
        <f>HYPERLINK("https://www.facebook.com/100003670164359")</f>
        <v>https://www.facebook.com/100003670164359</v>
      </c>
      <c r="K355">
        <v>727</v>
      </c>
      <c r="L355" t="s">
        <v>6063</v>
      </c>
      <c r="N355" t="s">
        <v>13</v>
      </c>
      <c r="O355" t="s">
        <v>2199</v>
      </c>
      <c r="P355" s="2" t="str">
        <f>HYPERLINK("https://www.facebook.com/100001415260849")</f>
        <v>https://www.facebook.com/100001415260849</v>
      </c>
      <c r="Q355">
        <v>0</v>
      </c>
      <c r="R355" t="s">
        <v>6067</v>
      </c>
      <c r="S355" t="s">
        <v>6073</v>
      </c>
    </row>
    <row r="356" spans="1:19" ht="14.25" customHeight="1" x14ac:dyDescent="0.3">
      <c r="A356" t="s">
        <v>3527</v>
      </c>
      <c r="B356" t="s">
        <v>2381</v>
      </c>
      <c r="C356" t="s">
        <v>95</v>
      </c>
      <c r="D356" t="s">
        <v>2196</v>
      </c>
      <c r="E356" t="s">
        <v>3655</v>
      </c>
      <c r="F356" t="s">
        <v>6059</v>
      </c>
      <c r="G356" s="2" t="str">
        <f>HYPERLINK("https://www.facebook.com/100001415260849/posts/1744734525583706?comment_id=1745212528869239")</f>
        <v>https://www.facebook.com/100001415260849/posts/1744734525583706?comment_id=1745212528869239</v>
      </c>
      <c r="H356" t="s">
        <v>6062</v>
      </c>
      <c r="I356" t="s">
        <v>3634</v>
      </c>
      <c r="J356" s="2" t="str">
        <f>HYPERLINK("https://www.facebook.com/100003670164359")</f>
        <v>https://www.facebook.com/100003670164359</v>
      </c>
      <c r="K356">
        <v>727</v>
      </c>
      <c r="L356" t="s">
        <v>6063</v>
      </c>
      <c r="N356" t="s">
        <v>13</v>
      </c>
      <c r="O356" t="s">
        <v>2199</v>
      </c>
      <c r="P356" s="2" t="str">
        <f>HYPERLINK("https://www.facebook.com/100001415260849")</f>
        <v>https://www.facebook.com/100001415260849</v>
      </c>
      <c r="Q356">
        <v>0</v>
      </c>
      <c r="R356" t="s">
        <v>6067</v>
      </c>
      <c r="S356" t="s">
        <v>6073</v>
      </c>
    </row>
    <row r="357" spans="1:19" ht="14.25" customHeight="1" x14ac:dyDescent="0.3">
      <c r="A357" t="s">
        <v>629</v>
      </c>
      <c r="B357" t="s">
        <v>1195</v>
      </c>
      <c r="C357" t="s">
        <v>95</v>
      </c>
      <c r="D357" t="s">
        <v>10</v>
      </c>
      <c r="E357" t="s">
        <v>1198</v>
      </c>
      <c r="F357" t="s">
        <v>6059</v>
      </c>
      <c r="G357" s="2" t="str">
        <f>HYPERLINK("https://www.facebook.com/762053551/posts/10156366210158552?comment_id=10156366253308552")</f>
        <v>https://www.facebook.com/762053551/posts/10156366210158552?comment_id=10156366253308552</v>
      </c>
      <c r="H357" t="s">
        <v>6062</v>
      </c>
      <c r="I357" t="s">
        <v>1199</v>
      </c>
      <c r="J357" s="2" t="str">
        <f>HYPERLINK("https://www.facebook.com/100004222963489")</f>
        <v>https://www.facebook.com/100004222963489</v>
      </c>
      <c r="K357">
        <v>159</v>
      </c>
      <c r="L357" t="s">
        <v>6063</v>
      </c>
      <c r="N357" t="s">
        <v>13</v>
      </c>
      <c r="O357" t="s">
        <v>14</v>
      </c>
      <c r="P357" s="2" t="str">
        <f>HYPERLINK("https://www.facebook.com/762053551")</f>
        <v>https://www.facebook.com/762053551</v>
      </c>
      <c r="Q357">
        <v>102347</v>
      </c>
      <c r="R357" t="s">
        <v>6067</v>
      </c>
      <c r="S357" t="s">
        <v>6087</v>
      </c>
    </row>
    <row r="358" spans="1:19" ht="14.25" customHeight="1" x14ac:dyDescent="0.3">
      <c r="A358" t="s">
        <v>2225</v>
      </c>
      <c r="B358" t="s">
        <v>3290</v>
      </c>
      <c r="C358" t="s">
        <v>95</v>
      </c>
      <c r="D358" t="s">
        <v>1099</v>
      </c>
      <c r="E358" t="s">
        <v>3291</v>
      </c>
      <c r="F358" t="s">
        <v>6059</v>
      </c>
      <c r="G358" s="2" t="str">
        <f>HYPERLINK("https://www.facebook.com/100002489064006/posts/1666923993400553?comment_id=1667762979983321")</f>
        <v>https://www.facebook.com/100002489064006/posts/1666923993400553?comment_id=1667762979983321</v>
      </c>
      <c r="H358" t="s">
        <v>6062</v>
      </c>
      <c r="I358" t="s">
        <v>3292</v>
      </c>
      <c r="J358" s="2" t="str">
        <f>HYPERLINK("https://www.facebook.com/100000780139437")</f>
        <v>https://www.facebook.com/100000780139437</v>
      </c>
      <c r="K358">
        <v>1349</v>
      </c>
      <c r="L358" t="s">
        <v>6063</v>
      </c>
      <c r="N358" t="s">
        <v>13</v>
      </c>
      <c r="O358" t="s">
        <v>1101</v>
      </c>
      <c r="P358" s="2" t="str">
        <f>HYPERLINK("https://www.facebook.com/100002489064006")</f>
        <v>https://www.facebook.com/100002489064006</v>
      </c>
      <c r="Q358">
        <v>2089</v>
      </c>
      <c r="R358" t="s">
        <v>6067</v>
      </c>
      <c r="S358" t="s">
        <v>6073</v>
      </c>
    </row>
    <row r="359" spans="1:19" ht="14.25" customHeight="1" x14ac:dyDescent="0.3">
      <c r="A359" t="s">
        <v>4439</v>
      </c>
      <c r="B359" t="s">
        <v>184</v>
      </c>
      <c r="C359" t="s">
        <v>3538</v>
      </c>
      <c r="D359" t="s">
        <v>4719</v>
      </c>
      <c r="E359" t="s">
        <v>4720</v>
      </c>
      <c r="F359" t="s">
        <v>6059</v>
      </c>
      <c r="G359" s="2" t="str">
        <f>HYPERLINK("https://www.facebook.com/100000560024798/posts/2024676087561039?comment_id=2024790520882929")</f>
        <v>https://www.facebook.com/100000560024798/posts/2024676087561039?comment_id=2024790520882929</v>
      </c>
      <c r="H359" t="s">
        <v>6062</v>
      </c>
      <c r="I359" t="s">
        <v>4721</v>
      </c>
      <c r="J359" s="2" t="str">
        <f>HYPERLINK("https://www.facebook.com/100001703989046")</f>
        <v>https://www.facebook.com/100001703989046</v>
      </c>
      <c r="K359">
        <v>258</v>
      </c>
      <c r="L359" t="s">
        <v>6063</v>
      </c>
      <c r="N359" t="s">
        <v>13</v>
      </c>
      <c r="O359" t="s">
        <v>2932</v>
      </c>
      <c r="P359" s="2" t="str">
        <f>HYPERLINK("https://www.facebook.com/100000560024798")</f>
        <v>https://www.facebook.com/100000560024798</v>
      </c>
      <c r="Q359">
        <v>31456</v>
      </c>
      <c r="R359" t="s">
        <v>6067</v>
      </c>
      <c r="S359" t="s">
        <v>6073</v>
      </c>
    </row>
    <row r="360" spans="1:19" ht="14.25" customHeight="1" x14ac:dyDescent="0.3">
      <c r="A360" t="s">
        <v>629</v>
      </c>
      <c r="B360" t="s">
        <v>459</v>
      </c>
      <c r="C360" t="s">
        <v>95</v>
      </c>
      <c r="D360" t="s">
        <v>370</v>
      </c>
      <c r="E360" t="s">
        <v>371</v>
      </c>
      <c r="F360" t="s">
        <v>6058</v>
      </c>
      <c r="G360" s="2" t="str">
        <f>HYPERLINK("https://www.facebook.com/100002199565524/posts/1664162383667064")</f>
        <v>https://www.facebook.com/100002199565524/posts/1664162383667064</v>
      </c>
      <c r="H360" t="s">
        <v>6062</v>
      </c>
      <c r="I360" t="s">
        <v>1901</v>
      </c>
      <c r="J360" s="2" t="str">
        <f>HYPERLINK("https://www.facebook.com/100002199565524")</f>
        <v>https://www.facebook.com/100002199565524</v>
      </c>
      <c r="K360">
        <v>794</v>
      </c>
      <c r="L360" t="s">
        <v>6064</v>
      </c>
      <c r="N360" t="s">
        <v>13</v>
      </c>
      <c r="O360" t="s">
        <v>1901</v>
      </c>
      <c r="P360" s="2" t="str">
        <f>HYPERLINK("https://www.facebook.com/100002199565524")</f>
        <v>https://www.facebook.com/100002199565524</v>
      </c>
      <c r="Q360">
        <v>794</v>
      </c>
      <c r="R360" t="s">
        <v>6067</v>
      </c>
      <c r="S360" t="s">
        <v>6073</v>
      </c>
    </row>
    <row r="361" spans="1:19" ht="14.25" customHeight="1" x14ac:dyDescent="0.3">
      <c r="A361" t="s">
        <v>4439</v>
      </c>
      <c r="B361" t="s">
        <v>1577</v>
      </c>
      <c r="C361" t="s">
        <v>3538</v>
      </c>
      <c r="D361" t="s">
        <v>4795</v>
      </c>
      <c r="E361" t="s">
        <v>4796</v>
      </c>
      <c r="F361" t="s">
        <v>6056</v>
      </c>
      <c r="G361" s="2" t="str">
        <f>HYPERLINK("https://www.facebook.com/100001363858009/posts/1596349743753805")</f>
        <v>https://www.facebook.com/100001363858009/posts/1596349743753805</v>
      </c>
      <c r="H361" t="s">
        <v>6062</v>
      </c>
      <c r="I361" t="s">
        <v>4797</v>
      </c>
      <c r="J361" s="2" t="str">
        <f>HYPERLINK("https://www.facebook.com/100001363858009")</f>
        <v>https://www.facebook.com/100001363858009</v>
      </c>
      <c r="K361">
        <v>0</v>
      </c>
      <c r="L361" t="s">
        <v>6063</v>
      </c>
      <c r="N361" t="s">
        <v>13</v>
      </c>
      <c r="O361" t="s">
        <v>4797</v>
      </c>
      <c r="P361" s="2" t="str">
        <f>HYPERLINK("https://www.facebook.com/100001363858009")</f>
        <v>https://www.facebook.com/100001363858009</v>
      </c>
      <c r="Q361">
        <v>0</v>
      </c>
      <c r="R361" t="s">
        <v>6067</v>
      </c>
      <c r="S361" t="s">
        <v>6073</v>
      </c>
    </row>
    <row r="362" spans="1:19" ht="14.25" customHeight="1" x14ac:dyDescent="0.3">
      <c r="A362" t="s">
        <v>4995</v>
      </c>
      <c r="B362" t="s">
        <v>5229</v>
      </c>
      <c r="C362" t="s">
        <v>3538</v>
      </c>
      <c r="D362" t="s">
        <v>4468</v>
      </c>
      <c r="E362" t="s">
        <v>5230</v>
      </c>
      <c r="F362" t="s">
        <v>6059</v>
      </c>
      <c r="G362" s="2" t="str">
        <f>HYPERLINK("https://www.facebook.com/1529329267308888/posts/2058827921025684?comment_id=2059186584323151")</f>
        <v>https://www.facebook.com/1529329267308888/posts/2058827921025684?comment_id=2059186584323151</v>
      </c>
      <c r="H362" t="s">
        <v>6062</v>
      </c>
      <c r="I362" t="s">
        <v>5231</v>
      </c>
      <c r="J362" s="2" t="str">
        <f>HYPERLINK("https://www.facebook.com/100001660708005")</f>
        <v>https://www.facebook.com/100001660708005</v>
      </c>
      <c r="K362">
        <v>547</v>
      </c>
      <c r="L362" t="s">
        <v>6063</v>
      </c>
      <c r="N362" t="s">
        <v>13</v>
      </c>
      <c r="O362" t="s">
        <v>4471</v>
      </c>
      <c r="P362" s="2" t="str">
        <f>HYPERLINK("https://www.facebook.com/1529329267308888")</f>
        <v>https://www.facebook.com/1529329267308888</v>
      </c>
      <c r="R362" t="s">
        <v>6067</v>
      </c>
      <c r="S362" t="s">
        <v>6073</v>
      </c>
    </row>
    <row r="363" spans="1:19" ht="14.25" customHeight="1" x14ac:dyDescent="0.3">
      <c r="A363" t="s">
        <v>4995</v>
      </c>
      <c r="B363" t="s">
        <v>5352</v>
      </c>
      <c r="C363" t="s">
        <v>3538</v>
      </c>
      <c r="D363" t="s">
        <v>4468</v>
      </c>
      <c r="E363" t="s">
        <v>5353</v>
      </c>
      <c r="F363" t="s">
        <v>6059</v>
      </c>
      <c r="G363" s="2" t="str">
        <f>HYPERLINK("https://www.facebook.com/1529329267308888/posts/2058827921025684?comment_id=2059107357664407")</f>
        <v>https://www.facebook.com/1529329267308888/posts/2058827921025684?comment_id=2059107357664407</v>
      </c>
      <c r="H363" t="s">
        <v>6062</v>
      </c>
      <c r="I363" t="s">
        <v>5231</v>
      </c>
      <c r="J363" s="2" t="str">
        <f>HYPERLINK("https://www.facebook.com/100001660708005")</f>
        <v>https://www.facebook.com/100001660708005</v>
      </c>
      <c r="K363">
        <v>547</v>
      </c>
      <c r="L363" t="s">
        <v>6063</v>
      </c>
      <c r="N363" t="s">
        <v>13</v>
      </c>
      <c r="O363" t="s">
        <v>4471</v>
      </c>
      <c r="P363" s="2" t="str">
        <f>HYPERLINK("https://www.facebook.com/1529329267308888")</f>
        <v>https://www.facebook.com/1529329267308888</v>
      </c>
      <c r="R363" t="s">
        <v>6067</v>
      </c>
      <c r="S363" t="s">
        <v>6073</v>
      </c>
    </row>
    <row r="364" spans="1:19" ht="14.25" customHeight="1" x14ac:dyDescent="0.3">
      <c r="A364" t="s">
        <v>2225</v>
      </c>
      <c r="B364" t="s">
        <v>2346</v>
      </c>
      <c r="C364" t="s">
        <v>95</v>
      </c>
      <c r="D364" t="s">
        <v>1056</v>
      </c>
      <c r="E364" t="s">
        <v>2054</v>
      </c>
      <c r="F364" t="s">
        <v>6058</v>
      </c>
      <c r="G364" s="2" t="str">
        <f>HYPERLINK("https://www.facebook.com/100003579811244/posts/1484880131641300")</f>
        <v>https://www.facebook.com/100003579811244/posts/1484880131641300</v>
      </c>
      <c r="H364" t="s">
        <v>6062</v>
      </c>
      <c r="I364" t="s">
        <v>2347</v>
      </c>
      <c r="J364" s="2" t="str">
        <f>HYPERLINK("https://www.facebook.com/100003579811244")</f>
        <v>https://www.facebook.com/100003579811244</v>
      </c>
      <c r="K364">
        <v>236</v>
      </c>
      <c r="L364" t="s">
        <v>6063</v>
      </c>
      <c r="N364" t="s">
        <v>13</v>
      </c>
      <c r="O364" t="s">
        <v>2347</v>
      </c>
      <c r="P364" s="2" t="str">
        <f>HYPERLINK("https://www.facebook.com/100003579811244")</f>
        <v>https://www.facebook.com/100003579811244</v>
      </c>
      <c r="Q364">
        <v>236</v>
      </c>
      <c r="R364" t="s">
        <v>6067</v>
      </c>
    </row>
    <row r="365" spans="1:19" ht="14.25" customHeight="1" x14ac:dyDescent="0.3">
      <c r="A365" t="s">
        <v>3527</v>
      </c>
      <c r="B365" t="s">
        <v>887</v>
      </c>
      <c r="C365" t="s">
        <v>95</v>
      </c>
      <c r="D365" t="s">
        <v>690</v>
      </c>
      <c r="E365" t="s">
        <v>3860</v>
      </c>
      <c r="F365" t="s">
        <v>6059</v>
      </c>
      <c r="G365" s="2" t="str">
        <f>HYPERLINK("https://www.facebook.com/278105015535592/posts/1935377959808281?comment_id=1935747069771370")</f>
        <v>https://www.facebook.com/278105015535592/posts/1935377959808281?comment_id=1935747069771370</v>
      </c>
      <c r="H365" t="s">
        <v>6062</v>
      </c>
      <c r="I365" t="s">
        <v>996</v>
      </c>
      <c r="J365" s="2" t="str">
        <f>HYPERLINK("https://www.facebook.com/278105015535592")</f>
        <v>https://www.facebook.com/278105015535592</v>
      </c>
      <c r="K365">
        <v>4845</v>
      </c>
      <c r="L365" t="s">
        <v>6065</v>
      </c>
      <c r="N365" t="s">
        <v>13</v>
      </c>
      <c r="O365" t="s">
        <v>996</v>
      </c>
      <c r="P365" s="2" t="str">
        <f>HYPERLINK("https://www.facebook.com/278105015535592")</f>
        <v>https://www.facebook.com/278105015535592</v>
      </c>
      <c r="Q365">
        <v>4845</v>
      </c>
      <c r="R365" t="s">
        <v>6067</v>
      </c>
    </row>
    <row r="366" spans="1:19" ht="14.25" customHeight="1" x14ac:dyDescent="0.3">
      <c r="A366" t="s">
        <v>629</v>
      </c>
      <c r="B366" t="s">
        <v>1624</v>
      </c>
      <c r="C366" t="s">
        <v>95</v>
      </c>
      <c r="D366" t="s">
        <v>370</v>
      </c>
      <c r="E366" t="s">
        <v>371</v>
      </c>
      <c r="F366" t="s">
        <v>6058</v>
      </c>
      <c r="G366" s="2" t="str">
        <f>HYPERLINK("https://www.facebook.com/2058147497761589/posts/777608942444484")</f>
        <v>https://www.facebook.com/2058147497761589/posts/777608942444484</v>
      </c>
      <c r="H366" t="s">
        <v>6062</v>
      </c>
      <c r="I366" t="s">
        <v>1627</v>
      </c>
      <c r="J366" s="2" t="str">
        <f t="shared" ref="J366:J389" si="5">HYPERLINK("https://www.facebook.com/100005861563767")</f>
        <v>https://www.facebook.com/100005861563767</v>
      </c>
      <c r="K366">
        <v>0</v>
      </c>
      <c r="L366" t="s">
        <v>6063</v>
      </c>
      <c r="N366" t="s">
        <v>13</v>
      </c>
      <c r="O366" t="s">
        <v>1628</v>
      </c>
      <c r="P366" s="2" t="str">
        <f>HYPERLINK("https://www.facebook.com/2058147497761589")</f>
        <v>https://www.facebook.com/2058147497761589</v>
      </c>
      <c r="R366" t="s">
        <v>6067</v>
      </c>
    </row>
    <row r="367" spans="1:19" ht="14.25" customHeight="1" x14ac:dyDescent="0.3">
      <c r="A367" t="s">
        <v>629</v>
      </c>
      <c r="B367" t="s">
        <v>1624</v>
      </c>
      <c r="C367" t="s">
        <v>95</v>
      </c>
      <c r="D367" t="s">
        <v>370</v>
      </c>
      <c r="E367" t="s">
        <v>371</v>
      </c>
      <c r="F367" t="s">
        <v>6058</v>
      </c>
      <c r="G367" s="2" t="str">
        <f>HYPERLINK("https://www.facebook.com/964279670312547/posts/777608935777818")</f>
        <v>https://www.facebook.com/964279670312547/posts/777608935777818</v>
      </c>
      <c r="H367" t="s">
        <v>6062</v>
      </c>
      <c r="I367" t="s">
        <v>1627</v>
      </c>
      <c r="J367" s="2" t="str">
        <f t="shared" si="5"/>
        <v>https://www.facebook.com/100005861563767</v>
      </c>
      <c r="K367">
        <v>0</v>
      </c>
      <c r="L367" t="s">
        <v>6063</v>
      </c>
      <c r="N367" t="s">
        <v>13</v>
      </c>
      <c r="O367" t="s">
        <v>1629</v>
      </c>
      <c r="P367" s="2" t="str">
        <f>HYPERLINK("https://www.facebook.com/964279670312547")</f>
        <v>https://www.facebook.com/964279670312547</v>
      </c>
      <c r="R367" t="s">
        <v>6067</v>
      </c>
    </row>
    <row r="368" spans="1:19" ht="14.25" customHeight="1" x14ac:dyDescent="0.3">
      <c r="A368" t="s">
        <v>629</v>
      </c>
      <c r="B368" t="s">
        <v>1624</v>
      </c>
      <c r="C368" t="s">
        <v>95</v>
      </c>
      <c r="D368" t="s">
        <v>370</v>
      </c>
      <c r="E368" t="s">
        <v>371</v>
      </c>
      <c r="F368" t="s">
        <v>6058</v>
      </c>
      <c r="G368" s="2" t="str">
        <f>HYPERLINK("https://www.facebook.com/866721240086130/posts/777608932444485")</f>
        <v>https://www.facebook.com/866721240086130/posts/777608932444485</v>
      </c>
      <c r="H368" t="s">
        <v>6062</v>
      </c>
      <c r="I368" t="s">
        <v>1627</v>
      </c>
      <c r="J368" s="2" t="str">
        <f t="shared" si="5"/>
        <v>https://www.facebook.com/100005861563767</v>
      </c>
      <c r="K368">
        <v>0</v>
      </c>
      <c r="L368" t="s">
        <v>6063</v>
      </c>
      <c r="N368" t="s">
        <v>13</v>
      </c>
      <c r="O368" t="s">
        <v>1630</v>
      </c>
      <c r="P368" s="2" t="str">
        <f>HYPERLINK("https://www.facebook.com/866721240086130")</f>
        <v>https://www.facebook.com/866721240086130</v>
      </c>
      <c r="R368" t="s">
        <v>6067</v>
      </c>
    </row>
    <row r="369" spans="1:18" ht="14.25" customHeight="1" x14ac:dyDescent="0.3">
      <c r="A369" t="s">
        <v>629</v>
      </c>
      <c r="B369" t="s">
        <v>1624</v>
      </c>
      <c r="C369" t="s">
        <v>95</v>
      </c>
      <c r="D369" t="s">
        <v>370</v>
      </c>
      <c r="E369" t="s">
        <v>371</v>
      </c>
      <c r="F369" t="s">
        <v>6058</v>
      </c>
      <c r="G369" s="2" t="str">
        <f>HYPERLINK("https://www.facebook.com/1894330057447030/posts/777608925777819")</f>
        <v>https://www.facebook.com/1894330057447030/posts/777608925777819</v>
      </c>
      <c r="H369" t="s">
        <v>6062</v>
      </c>
      <c r="I369" t="s">
        <v>1627</v>
      </c>
      <c r="J369" s="2" t="str">
        <f t="shared" si="5"/>
        <v>https://www.facebook.com/100005861563767</v>
      </c>
      <c r="K369">
        <v>0</v>
      </c>
      <c r="L369" t="s">
        <v>6063</v>
      </c>
      <c r="N369" t="s">
        <v>13</v>
      </c>
      <c r="O369" t="s">
        <v>1631</v>
      </c>
      <c r="P369" s="2" t="str">
        <f>HYPERLINK("https://www.facebook.com/1894330057447030")</f>
        <v>https://www.facebook.com/1894330057447030</v>
      </c>
      <c r="R369" t="s">
        <v>6067</v>
      </c>
    </row>
    <row r="370" spans="1:18" ht="14.25" customHeight="1" x14ac:dyDescent="0.3">
      <c r="A370" t="s">
        <v>629</v>
      </c>
      <c r="B370" t="s">
        <v>1624</v>
      </c>
      <c r="C370" t="s">
        <v>95</v>
      </c>
      <c r="D370" t="s">
        <v>370</v>
      </c>
      <c r="E370" t="s">
        <v>371</v>
      </c>
      <c r="F370" t="s">
        <v>6058</v>
      </c>
      <c r="G370" s="2" t="str">
        <f>HYPERLINK("https://www.facebook.com/200612267092599/posts/777608919111153")</f>
        <v>https://www.facebook.com/200612267092599/posts/777608919111153</v>
      </c>
      <c r="H370" t="s">
        <v>6062</v>
      </c>
      <c r="I370" t="s">
        <v>1627</v>
      </c>
      <c r="J370" s="2" t="str">
        <f t="shared" si="5"/>
        <v>https://www.facebook.com/100005861563767</v>
      </c>
      <c r="K370">
        <v>0</v>
      </c>
      <c r="L370" t="s">
        <v>6063</v>
      </c>
      <c r="N370" t="s">
        <v>13</v>
      </c>
      <c r="O370" t="s">
        <v>1632</v>
      </c>
      <c r="P370" s="2" t="str">
        <f>HYPERLINK("https://www.facebook.com/200612267092599")</f>
        <v>https://www.facebook.com/200612267092599</v>
      </c>
      <c r="R370" t="s">
        <v>6067</v>
      </c>
    </row>
    <row r="371" spans="1:18" ht="14.25" customHeight="1" x14ac:dyDescent="0.3">
      <c r="A371" t="s">
        <v>629</v>
      </c>
      <c r="B371" t="s">
        <v>1624</v>
      </c>
      <c r="C371" t="s">
        <v>95</v>
      </c>
      <c r="D371" t="s">
        <v>370</v>
      </c>
      <c r="E371" t="s">
        <v>371</v>
      </c>
      <c r="F371" t="s">
        <v>6058</v>
      </c>
      <c r="G371" s="2" t="str">
        <f>HYPERLINK("https://www.facebook.com/1052467521431673/posts/777608905777821")</f>
        <v>https://www.facebook.com/1052467521431673/posts/777608905777821</v>
      </c>
      <c r="H371" t="s">
        <v>6062</v>
      </c>
      <c r="I371" t="s">
        <v>1627</v>
      </c>
      <c r="J371" s="2" t="str">
        <f t="shared" si="5"/>
        <v>https://www.facebook.com/100005861563767</v>
      </c>
      <c r="K371">
        <v>0</v>
      </c>
      <c r="L371" t="s">
        <v>6063</v>
      </c>
      <c r="N371" t="s">
        <v>13</v>
      </c>
      <c r="O371" t="s">
        <v>1633</v>
      </c>
      <c r="P371" s="2" t="str">
        <f>HYPERLINK("https://www.facebook.com/1052467521431673")</f>
        <v>https://www.facebook.com/1052467521431673</v>
      </c>
      <c r="R371" t="s">
        <v>6067</v>
      </c>
    </row>
    <row r="372" spans="1:18" ht="14.25" customHeight="1" x14ac:dyDescent="0.3">
      <c r="A372" t="s">
        <v>629</v>
      </c>
      <c r="B372" t="s">
        <v>1624</v>
      </c>
      <c r="C372" t="s">
        <v>95</v>
      </c>
      <c r="D372" t="s">
        <v>370</v>
      </c>
      <c r="E372" t="s">
        <v>371</v>
      </c>
      <c r="F372" t="s">
        <v>6058</v>
      </c>
      <c r="G372" s="2" t="str">
        <f>HYPERLINK("https://www.facebook.com/574107752722761/posts/777608869111158")</f>
        <v>https://www.facebook.com/574107752722761/posts/777608869111158</v>
      </c>
      <c r="H372" t="s">
        <v>6062</v>
      </c>
      <c r="I372" t="s">
        <v>1627</v>
      </c>
      <c r="J372" s="2" t="str">
        <f t="shared" si="5"/>
        <v>https://www.facebook.com/100005861563767</v>
      </c>
      <c r="K372">
        <v>0</v>
      </c>
      <c r="L372" t="s">
        <v>6063</v>
      </c>
      <c r="N372" t="s">
        <v>13</v>
      </c>
      <c r="O372" t="s">
        <v>1634</v>
      </c>
      <c r="P372" s="2" t="str">
        <f>HYPERLINK("https://www.facebook.com/574107752722761")</f>
        <v>https://www.facebook.com/574107752722761</v>
      </c>
      <c r="R372" t="s">
        <v>6067</v>
      </c>
    </row>
    <row r="373" spans="1:18" ht="14.25" customHeight="1" x14ac:dyDescent="0.3">
      <c r="A373" t="s">
        <v>629</v>
      </c>
      <c r="B373" t="s">
        <v>1624</v>
      </c>
      <c r="C373" t="s">
        <v>95</v>
      </c>
      <c r="D373" t="s">
        <v>370</v>
      </c>
      <c r="E373" t="s">
        <v>371</v>
      </c>
      <c r="F373" t="s">
        <v>6058</v>
      </c>
      <c r="G373" s="2" t="str">
        <f>HYPERLINK("https://www.facebook.com/512981165478498/posts/777608872444491")</f>
        <v>https://www.facebook.com/512981165478498/posts/777608872444491</v>
      </c>
      <c r="H373" t="s">
        <v>6062</v>
      </c>
      <c r="I373" t="s">
        <v>1627</v>
      </c>
      <c r="J373" s="2" t="str">
        <f t="shared" si="5"/>
        <v>https://www.facebook.com/100005861563767</v>
      </c>
      <c r="K373">
        <v>0</v>
      </c>
      <c r="L373" t="s">
        <v>6063</v>
      </c>
      <c r="N373" t="s">
        <v>13</v>
      </c>
      <c r="O373" t="s">
        <v>1635</v>
      </c>
      <c r="P373" s="2" t="str">
        <f>HYPERLINK("https://www.facebook.com/512981165478498")</f>
        <v>https://www.facebook.com/512981165478498</v>
      </c>
      <c r="R373" t="s">
        <v>6067</v>
      </c>
    </row>
    <row r="374" spans="1:18" ht="14.25" customHeight="1" x14ac:dyDescent="0.3">
      <c r="A374" t="s">
        <v>629</v>
      </c>
      <c r="B374" t="s">
        <v>1624</v>
      </c>
      <c r="C374" t="s">
        <v>95</v>
      </c>
      <c r="D374" t="s">
        <v>370</v>
      </c>
      <c r="E374" t="s">
        <v>371</v>
      </c>
      <c r="F374" t="s">
        <v>6058</v>
      </c>
      <c r="G374" s="2" t="str">
        <f>HYPERLINK("https://www.facebook.com/890498544414856/posts/777608865777825")</f>
        <v>https://www.facebook.com/890498544414856/posts/777608865777825</v>
      </c>
      <c r="H374" t="s">
        <v>6062</v>
      </c>
      <c r="I374" t="s">
        <v>1627</v>
      </c>
      <c r="J374" s="2" t="str">
        <f t="shared" si="5"/>
        <v>https://www.facebook.com/100005861563767</v>
      </c>
      <c r="K374">
        <v>0</v>
      </c>
      <c r="L374" t="s">
        <v>6063</v>
      </c>
      <c r="N374" t="s">
        <v>13</v>
      </c>
      <c r="O374" t="s">
        <v>1636</v>
      </c>
      <c r="P374" s="2" t="str">
        <f>HYPERLINK("https://www.facebook.com/890498544414856")</f>
        <v>https://www.facebook.com/890498544414856</v>
      </c>
      <c r="R374" t="s">
        <v>6067</v>
      </c>
    </row>
    <row r="375" spans="1:18" ht="14.25" customHeight="1" x14ac:dyDescent="0.3">
      <c r="A375" t="s">
        <v>629</v>
      </c>
      <c r="B375" t="s">
        <v>1624</v>
      </c>
      <c r="C375" t="s">
        <v>95</v>
      </c>
      <c r="D375" t="s">
        <v>370</v>
      </c>
      <c r="E375" t="s">
        <v>371</v>
      </c>
      <c r="F375" t="s">
        <v>6058</v>
      </c>
      <c r="G375" s="2" t="str">
        <f>HYPERLINK("https://www.facebook.com/1816329838409205/posts/777608859111159")</f>
        <v>https://www.facebook.com/1816329838409205/posts/777608859111159</v>
      </c>
      <c r="H375" t="s">
        <v>6062</v>
      </c>
      <c r="I375" t="s">
        <v>1627</v>
      </c>
      <c r="J375" s="2" t="str">
        <f t="shared" si="5"/>
        <v>https://www.facebook.com/100005861563767</v>
      </c>
      <c r="K375">
        <v>0</v>
      </c>
      <c r="L375" t="s">
        <v>6063</v>
      </c>
      <c r="N375" t="s">
        <v>13</v>
      </c>
      <c r="O375" t="s">
        <v>1637</v>
      </c>
      <c r="P375" s="2" t="str">
        <f>HYPERLINK("https://www.facebook.com/1816329838409205")</f>
        <v>https://www.facebook.com/1816329838409205</v>
      </c>
      <c r="R375" t="s">
        <v>6067</v>
      </c>
    </row>
    <row r="376" spans="1:18" ht="14.25" customHeight="1" x14ac:dyDescent="0.3">
      <c r="A376" t="s">
        <v>629</v>
      </c>
      <c r="B376" t="s">
        <v>1624</v>
      </c>
      <c r="C376" t="s">
        <v>95</v>
      </c>
      <c r="D376" t="s">
        <v>370</v>
      </c>
      <c r="E376" t="s">
        <v>371</v>
      </c>
      <c r="F376" t="s">
        <v>6058</v>
      </c>
      <c r="G376" s="2" t="str">
        <f>HYPERLINK("https://www.facebook.com/125809651438834/posts/777608835777828")</f>
        <v>https://www.facebook.com/125809651438834/posts/777608835777828</v>
      </c>
      <c r="H376" t="s">
        <v>6062</v>
      </c>
      <c r="I376" t="s">
        <v>1627</v>
      </c>
      <c r="J376" s="2" t="str">
        <f t="shared" si="5"/>
        <v>https://www.facebook.com/100005861563767</v>
      </c>
      <c r="K376">
        <v>0</v>
      </c>
      <c r="L376" t="s">
        <v>6063</v>
      </c>
      <c r="N376" t="s">
        <v>13</v>
      </c>
      <c r="O376" t="s">
        <v>1638</v>
      </c>
      <c r="P376" s="2" t="str">
        <f>HYPERLINK("https://www.facebook.com/125809651438834")</f>
        <v>https://www.facebook.com/125809651438834</v>
      </c>
      <c r="R376" t="s">
        <v>6067</v>
      </c>
    </row>
    <row r="377" spans="1:18" ht="14.25" customHeight="1" x14ac:dyDescent="0.3">
      <c r="A377" t="s">
        <v>629</v>
      </c>
      <c r="B377" t="s">
        <v>1624</v>
      </c>
      <c r="C377" t="s">
        <v>95</v>
      </c>
      <c r="D377" t="s">
        <v>370</v>
      </c>
      <c r="E377" t="s">
        <v>371</v>
      </c>
      <c r="F377" t="s">
        <v>6058</v>
      </c>
      <c r="G377" s="2" t="str">
        <f>HYPERLINK("https://www.facebook.com/391347031071095/posts/777608842444494")</f>
        <v>https://www.facebook.com/391347031071095/posts/777608842444494</v>
      </c>
      <c r="H377" t="s">
        <v>6062</v>
      </c>
      <c r="I377" t="s">
        <v>1627</v>
      </c>
      <c r="J377" s="2" t="str">
        <f t="shared" si="5"/>
        <v>https://www.facebook.com/100005861563767</v>
      </c>
      <c r="K377">
        <v>0</v>
      </c>
      <c r="L377" t="s">
        <v>6063</v>
      </c>
      <c r="N377" t="s">
        <v>13</v>
      </c>
      <c r="O377" t="s">
        <v>1040</v>
      </c>
      <c r="P377" s="2" t="str">
        <f>HYPERLINK("https://www.facebook.com/391347031071095")</f>
        <v>https://www.facebook.com/391347031071095</v>
      </c>
      <c r="Q377">
        <v>4989</v>
      </c>
      <c r="R377" t="s">
        <v>6067</v>
      </c>
    </row>
    <row r="378" spans="1:18" ht="14.25" customHeight="1" x14ac:dyDescent="0.3">
      <c r="A378" t="s">
        <v>629</v>
      </c>
      <c r="B378" t="s">
        <v>1624</v>
      </c>
      <c r="C378" t="s">
        <v>95</v>
      </c>
      <c r="D378" t="s">
        <v>370</v>
      </c>
      <c r="E378" t="s">
        <v>371</v>
      </c>
      <c r="F378" t="s">
        <v>6058</v>
      </c>
      <c r="G378" s="2" t="str">
        <f>HYPERLINK("https://www.facebook.com/315710265289945/posts/777608829111162")</f>
        <v>https://www.facebook.com/315710265289945/posts/777608829111162</v>
      </c>
      <c r="H378" t="s">
        <v>6062</v>
      </c>
      <c r="I378" t="s">
        <v>1627</v>
      </c>
      <c r="J378" s="2" t="str">
        <f t="shared" si="5"/>
        <v>https://www.facebook.com/100005861563767</v>
      </c>
      <c r="K378">
        <v>0</v>
      </c>
      <c r="L378" t="s">
        <v>6063</v>
      </c>
      <c r="N378" t="s">
        <v>13</v>
      </c>
      <c r="O378" t="s">
        <v>1503</v>
      </c>
      <c r="P378" s="2" t="str">
        <f>HYPERLINK("https://www.facebook.com/315710265289945")</f>
        <v>https://www.facebook.com/315710265289945</v>
      </c>
      <c r="Q378">
        <v>100</v>
      </c>
      <c r="R378" t="s">
        <v>6067</v>
      </c>
    </row>
    <row r="379" spans="1:18" ht="14.25" customHeight="1" x14ac:dyDescent="0.3">
      <c r="A379" t="s">
        <v>629</v>
      </c>
      <c r="B379" t="s">
        <v>1624</v>
      </c>
      <c r="C379" t="s">
        <v>95</v>
      </c>
      <c r="D379" t="s">
        <v>370</v>
      </c>
      <c r="E379" t="s">
        <v>371</v>
      </c>
      <c r="F379" t="s">
        <v>6058</v>
      </c>
      <c r="G379" s="2" t="str">
        <f>HYPERLINK("https://www.facebook.com/287117255110939/posts/777608825777829")</f>
        <v>https://www.facebook.com/287117255110939/posts/777608825777829</v>
      </c>
      <c r="H379" t="s">
        <v>6062</v>
      </c>
      <c r="I379" t="s">
        <v>1627</v>
      </c>
      <c r="J379" s="2" t="str">
        <f t="shared" si="5"/>
        <v>https://www.facebook.com/100005861563767</v>
      </c>
      <c r="K379">
        <v>0</v>
      </c>
      <c r="L379" t="s">
        <v>6063</v>
      </c>
      <c r="N379" t="s">
        <v>13</v>
      </c>
      <c r="O379" t="s">
        <v>1639</v>
      </c>
      <c r="P379" s="2" t="str">
        <f>HYPERLINK("https://www.facebook.com/287117255110939")</f>
        <v>https://www.facebook.com/287117255110939</v>
      </c>
      <c r="R379" t="s">
        <v>6067</v>
      </c>
    </row>
    <row r="380" spans="1:18" ht="14.25" customHeight="1" x14ac:dyDescent="0.3">
      <c r="A380" t="s">
        <v>629</v>
      </c>
      <c r="B380" t="s">
        <v>1640</v>
      </c>
      <c r="C380" t="s">
        <v>95</v>
      </c>
      <c r="D380" t="s">
        <v>370</v>
      </c>
      <c r="E380" t="s">
        <v>371</v>
      </c>
      <c r="F380" t="s">
        <v>6058</v>
      </c>
      <c r="G380" s="2" t="str">
        <f>HYPERLINK("https://www.facebook.com/234336110038020/posts/777608812444497")</f>
        <v>https://www.facebook.com/234336110038020/posts/777608812444497</v>
      </c>
      <c r="H380" t="s">
        <v>6062</v>
      </c>
      <c r="I380" t="s">
        <v>1627</v>
      </c>
      <c r="J380" s="2" t="str">
        <f t="shared" si="5"/>
        <v>https://www.facebook.com/100005861563767</v>
      </c>
      <c r="K380">
        <v>0</v>
      </c>
      <c r="L380" t="s">
        <v>6063</v>
      </c>
      <c r="N380" t="s">
        <v>13</v>
      </c>
      <c r="O380" t="s">
        <v>1641</v>
      </c>
      <c r="P380" s="2" t="str">
        <f>HYPERLINK("https://www.facebook.com/234336110038020")</f>
        <v>https://www.facebook.com/234336110038020</v>
      </c>
      <c r="R380" t="s">
        <v>6067</v>
      </c>
    </row>
    <row r="381" spans="1:18" ht="14.25" customHeight="1" x14ac:dyDescent="0.3">
      <c r="A381" t="s">
        <v>629</v>
      </c>
      <c r="B381" t="s">
        <v>1640</v>
      </c>
      <c r="C381" t="s">
        <v>95</v>
      </c>
      <c r="D381" t="s">
        <v>370</v>
      </c>
      <c r="E381" t="s">
        <v>371</v>
      </c>
      <c r="F381" t="s">
        <v>6058</v>
      </c>
      <c r="G381" s="2" t="str">
        <f>HYPERLINK("https://www.facebook.com/220854325155650/posts/777608822444496")</f>
        <v>https://www.facebook.com/220854325155650/posts/777608822444496</v>
      </c>
      <c r="H381" t="s">
        <v>6062</v>
      </c>
      <c r="I381" t="s">
        <v>1627</v>
      </c>
      <c r="J381" s="2" t="str">
        <f t="shared" si="5"/>
        <v>https://www.facebook.com/100005861563767</v>
      </c>
      <c r="K381">
        <v>0</v>
      </c>
      <c r="L381" t="s">
        <v>6063</v>
      </c>
      <c r="N381" t="s">
        <v>13</v>
      </c>
      <c r="O381" t="s">
        <v>1502</v>
      </c>
      <c r="P381" s="2" t="str">
        <f>HYPERLINK("https://www.facebook.com/220854325155650")</f>
        <v>https://www.facebook.com/220854325155650</v>
      </c>
      <c r="R381" t="s">
        <v>6067</v>
      </c>
    </row>
    <row r="382" spans="1:18" ht="14.25" customHeight="1" x14ac:dyDescent="0.3">
      <c r="A382" t="s">
        <v>629</v>
      </c>
      <c r="B382" t="s">
        <v>1640</v>
      </c>
      <c r="C382" t="s">
        <v>95</v>
      </c>
      <c r="D382" t="s">
        <v>370</v>
      </c>
      <c r="E382" t="s">
        <v>371</v>
      </c>
      <c r="F382" t="s">
        <v>6058</v>
      </c>
      <c r="G382" s="2" t="str">
        <f>HYPERLINK("https://www.facebook.com/468898623479622/posts/777608809111164")</f>
        <v>https://www.facebook.com/468898623479622/posts/777608809111164</v>
      </c>
      <c r="H382" t="s">
        <v>6062</v>
      </c>
      <c r="I382" t="s">
        <v>1627</v>
      </c>
      <c r="J382" s="2" t="str">
        <f t="shared" si="5"/>
        <v>https://www.facebook.com/100005861563767</v>
      </c>
      <c r="K382">
        <v>0</v>
      </c>
      <c r="L382" t="s">
        <v>6063</v>
      </c>
      <c r="N382" t="s">
        <v>13</v>
      </c>
      <c r="O382" t="s">
        <v>1642</v>
      </c>
      <c r="P382" s="2" t="str">
        <f>HYPERLINK("https://www.facebook.com/468898623479622")</f>
        <v>https://www.facebook.com/468898623479622</v>
      </c>
      <c r="R382" t="s">
        <v>6067</v>
      </c>
    </row>
    <row r="383" spans="1:18" ht="14.25" customHeight="1" x14ac:dyDescent="0.3">
      <c r="A383" t="s">
        <v>629</v>
      </c>
      <c r="B383" t="s">
        <v>1640</v>
      </c>
      <c r="C383" t="s">
        <v>95</v>
      </c>
      <c r="D383" t="s">
        <v>370</v>
      </c>
      <c r="E383" t="s">
        <v>371</v>
      </c>
      <c r="F383" t="s">
        <v>6058</v>
      </c>
      <c r="G383" s="2" t="str">
        <f>HYPERLINK("https://www.facebook.com/930260133682247/posts/777608799111165")</f>
        <v>https://www.facebook.com/930260133682247/posts/777608799111165</v>
      </c>
      <c r="H383" t="s">
        <v>6062</v>
      </c>
      <c r="I383" t="s">
        <v>1627</v>
      </c>
      <c r="J383" s="2" t="str">
        <f t="shared" si="5"/>
        <v>https://www.facebook.com/100005861563767</v>
      </c>
      <c r="K383">
        <v>0</v>
      </c>
      <c r="L383" t="s">
        <v>6063</v>
      </c>
      <c r="N383" t="s">
        <v>13</v>
      </c>
      <c r="O383" t="s">
        <v>1643</v>
      </c>
      <c r="P383" s="2" t="str">
        <f>HYPERLINK("https://www.facebook.com/930260133682247")</f>
        <v>https://www.facebook.com/930260133682247</v>
      </c>
      <c r="R383" t="s">
        <v>6067</v>
      </c>
    </row>
    <row r="384" spans="1:18" ht="14.25" customHeight="1" x14ac:dyDescent="0.3">
      <c r="A384" t="s">
        <v>629</v>
      </c>
      <c r="B384" t="s">
        <v>1640</v>
      </c>
      <c r="C384" t="s">
        <v>95</v>
      </c>
      <c r="D384" t="s">
        <v>370</v>
      </c>
      <c r="E384" t="s">
        <v>371</v>
      </c>
      <c r="F384" t="s">
        <v>6058</v>
      </c>
      <c r="G384" s="2" t="str">
        <f>HYPERLINK("https://www.facebook.com/178553519446247/posts/777608775777834")</f>
        <v>https://www.facebook.com/178553519446247/posts/777608775777834</v>
      </c>
      <c r="H384" t="s">
        <v>6062</v>
      </c>
      <c r="I384" t="s">
        <v>1627</v>
      </c>
      <c r="J384" s="2" t="str">
        <f t="shared" si="5"/>
        <v>https://www.facebook.com/100005861563767</v>
      </c>
      <c r="K384">
        <v>0</v>
      </c>
      <c r="L384" t="s">
        <v>6063</v>
      </c>
      <c r="N384" t="s">
        <v>13</v>
      </c>
      <c r="O384" t="s">
        <v>1645</v>
      </c>
      <c r="P384" s="2" t="str">
        <f>HYPERLINK("https://www.facebook.com/178553519446247")</f>
        <v>https://www.facebook.com/178553519446247</v>
      </c>
      <c r="R384" t="s">
        <v>6067</v>
      </c>
    </row>
    <row r="385" spans="1:19" ht="14.25" customHeight="1" x14ac:dyDescent="0.3">
      <c r="A385" t="s">
        <v>629</v>
      </c>
      <c r="B385" t="s">
        <v>1640</v>
      </c>
      <c r="C385" t="s">
        <v>95</v>
      </c>
      <c r="D385" t="s">
        <v>370</v>
      </c>
      <c r="E385" t="s">
        <v>371</v>
      </c>
      <c r="F385" t="s">
        <v>6058</v>
      </c>
      <c r="G385" s="2" t="str">
        <f>HYPERLINK("https://www.facebook.com/787539844696337/posts/777608762444502")</f>
        <v>https://www.facebook.com/787539844696337/posts/777608762444502</v>
      </c>
      <c r="H385" t="s">
        <v>6062</v>
      </c>
      <c r="I385" t="s">
        <v>1627</v>
      </c>
      <c r="J385" s="2" t="str">
        <f t="shared" si="5"/>
        <v>https://www.facebook.com/100005861563767</v>
      </c>
      <c r="K385">
        <v>0</v>
      </c>
      <c r="L385" t="s">
        <v>6063</v>
      </c>
      <c r="N385" t="s">
        <v>13</v>
      </c>
      <c r="O385" t="s">
        <v>1646</v>
      </c>
      <c r="P385" s="2" t="str">
        <f>HYPERLINK("https://www.facebook.com/787539844696337")</f>
        <v>https://www.facebook.com/787539844696337</v>
      </c>
      <c r="R385" t="s">
        <v>6067</v>
      </c>
    </row>
    <row r="386" spans="1:19" ht="14.25" customHeight="1" x14ac:dyDescent="0.3">
      <c r="A386" t="s">
        <v>629</v>
      </c>
      <c r="B386" t="s">
        <v>1640</v>
      </c>
      <c r="C386" t="s">
        <v>95</v>
      </c>
      <c r="D386" t="s">
        <v>370</v>
      </c>
      <c r="E386" t="s">
        <v>371</v>
      </c>
      <c r="F386" t="s">
        <v>6058</v>
      </c>
      <c r="G386" s="2" t="str">
        <f>HYPERLINK("https://www.facebook.com/116301571726496/posts/777608752444503")</f>
        <v>https://www.facebook.com/116301571726496/posts/777608752444503</v>
      </c>
      <c r="H386" t="s">
        <v>6062</v>
      </c>
      <c r="I386" t="s">
        <v>1627</v>
      </c>
      <c r="J386" s="2" t="str">
        <f t="shared" si="5"/>
        <v>https://www.facebook.com/100005861563767</v>
      </c>
      <c r="K386">
        <v>0</v>
      </c>
      <c r="L386" t="s">
        <v>6063</v>
      </c>
      <c r="N386" t="s">
        <v>13</v>
      </c>
      <c r="O386" t="s">
        <v>1647</v>
      </c>
      <c r="P386" s="2" t="str">
        <f>HYPERLINK("https://www.facebook.com/116301571726496")</f>
        <v>https://www.facebook.com/116301571726496</v>
      </c>
      <c r="R386" t="s">
        <v>6067</v>
      </c>
    </row>
    <row r="387" spans="1:19" ht="14.25" customHeight="1" x14ac:dyDescent="0.3">
      <c r="A387" t="s">
        <v>629</v>
      </c>
      <c r="B387" t="s">
        <v>1640</v>
      </c>
      <c r="C387" t="s">
        <v>95</v>
      </c>
      <c r="D387" t="s">
        <v>370</v>
      </c>
      <c r="E387" t="s">
        <v>371</v>
      </c>
      <c r="F387" t="s">
        <v>6058</v>
      </c>
      <c r="G387" s="2" t="str">
        <f>HYPERLINK("https://www.facebook.com/1320347444652343/posts/777608745777837")</f>
        <v>https://www.facebook.com/1320347444652343/posts/777608745777837</v>
      </c>
      <c r="H387" t="s">
        <v>6062</v>
      </c>
      <c r="I387" t="s">
        <v>1627</v>
      </c>
      <c r="J387" s="2" t="str">
        <f t="shared" si="5"/>
        <v>https://www.facebook.com/100005861563767</v>
      </c>
      <c r="K387">
        <v>0</v>
      </c>
      <c r="L387" t="s">
        <v>6063</v>
      </c>
      <c r="N387" t="s">
        <v>13</v>
      </c>
      <c r="O387" t="s">
        <v>1359</v>
      </c>
      <c r="P387" s="2" t="str">
        <f>HYPERLINK("https://www.facebook.com/1320347444652343")</f>
        <v>https://www.facebook.com/1320347444652343</v>
      </c>
      <c r="R387" t="s">
        <v>6067</v>
      </c>
    </row>
    <row r="388" spans="1:19" ht="14.25" customHeight="1" x14ac:dyDescent="0.3">
      <c r="A388" t="s">
        <v>629</v>
      </c>
      <c r="B388" t="s">
        <v>1640</v>
      </c>
      <c r="C388" t="s">
        <v>95</v>
      </c>
      <c r="D388" t="s">
        <v>370</v>
      </c>
      <c r="E388" t="s">
        <v>371</v>
      </c>
      <c r="F388" t="s">
        <v>6058</v>
      </c>
      <c r="G388" s="2" t="str">
        <f>HYPERLINK("https://www.facebook.com/146178742699152/posts/777608739111171")</f>
        <v>https://www.facebook.com/146178742699152/posts/777608739111171</v>
      </c>
      <c r="H388" t="s">
        <v>6062</v>
      </c>
      <c r="I388" t="s">
        <v>1627</v>
      </c>
      <c r="J388" s="2" t="str">
        <f t="shared" si="5"/>
        <v>https://www.facebook.com/100005861563767</v>
      </c>
      <c r="K388">
        <v>0</v>
      </c>
      <c r="L388" t="s">
        <v>6063</v>
      </c>
      <c r="N388" t="s">
        <v>13</v>
      </c>
      <c r="O388" t="s">
        <v>1465</v>
      </c>
      <c r="P388" s="2" t="str">
        <f>HYPERLINK("https://www.facebook.com/146178742699152")</f>
        <v>https://www.facebook.com/146178742699152</v>
      </c>
      <c r="R388" t="s">
        <v>6067</v>
      </c>
    </row>
    <row r="389" spans="1:19" ht="14.25" customHeight="1" x14ac:dyDescent="0.3">
      <c r="A389" t="s">
        <v>629</v>
      </c>
      <c r="B389" t="s">
        <v>1640</v>
      </c>
      <c r="C389" t="s">
        <v>95</v>
      </c>
      <c r="D389" t="s">
        <v>370</v>
      </c>
      <c r="E389" t="s">
        <v>371</v>
      </c>
      <c r="F389" t="s">
        <v>6058</v>
      </c>
      <c r="G389" s="2" t="str">
        <f>HYPERLINK("https://www.facebook.com/100005861563767/posts/777608672444511")</f>
        <v>https://www.facebook.com/100005861563767/posts/777608672444511</v>
      </c>
      <c r="H389" t="s">
        <v>6062</v>
      </c>
      <c r="I389" t="s">
        <v>1627</v>
      </c>
      <c r="J389" s="2" t="str">
        <f t="shared" si="5"/>
        <v>https://www.facebook.com/100005861563767</v>
      </c>
      <c r="K389">
        <v>0</v>
      </c>
      <c r="L389" t="s">
        <v>6063</v>
      </c>
      <c r="N389" t="s">
        <v>13</v>
      </c>
      <c r="O389" t="s">
        <v>1627</v>
      </c>
      <c r="P389" s="2" t="str">
        <f>HYPERLINK("https://www.facebook.com/100005861563767")</f>
        <v>https://www.facebook.com/100005861563767</v>
      </c>
      <c r="Q389">
        <v>0</v>
      </c>
      <c r="R389" t="s">
        <v>6067</v>
      </c>
    </row>
    <row r="390" spans="1:19" ht="14.25" customHeight="1" x14ac:dyDescent="0.3">
      <c r="A390" t="s">
        <v>2225</v>
      </c>
      <c r="B390" t="s">
        <v>3320</v>
      </c>
      <c r="C390" t="s">
        <v>95</v>
      </c>
      <c r="D390" t="s">
        <v>1099</v>
      </c>
      <c r="E390" t="s">
        <v>883</v>
      </c>
      <c r="F390" t="s">
        <v>6059</v>
      </c>
      <c r="G390" s="2" t="str">
        <f>HYPERLINK("https://www.facebook.com/100002489064006/posts/1666923993400553?comment_id=1667608139998805")</f>
        <v>https://www.facebook.com/100002489064006/posts/1666923993400553?comment_id=1667608139998805</v>
      </c>
      <c r="H390" t="s">
        <v>6062</v>
      </c>
      <c r="I390" t="s">
        <v>3321</v>
      </c>
      <c r="J390" s="2" t="str">
        <f>HYPERLINK("https://www.facebook.com/100002180393257")</f>
        <v>https://www.facebook.com/100002180393257</v>
      </c>
      <c r="K390">
        <v>808</v>
      </c>
      <c r="L390" t="s">
        <v>6063</v>
      </c>
      <c r="N390" t="s">
        <v>13</v>
      </c>
      <c r="O390" t="s">
        <v>1101</v>
      </c>
      <c r="P390" s="2" t="str">
        <f>HYPERLINK("https://www.facebook.com/100002489064006")</f>
        <v>https://www.facebook.com/100002489064006</v>
      </c>
      <c r="Q390">
        <v>2089</v>
      </c>
      <c r="R390" t="s">
        <v>6067</v>
      </c>
      <c r="S390" t="s">
        <v>6073</v>
      </c>
    </row>
    <row r="391" spans="1:19" ht="14.25" customHeight="1" x14ac:dyDescent="0.3">
      <c r="A391" t="s">
        <v>629</v>
      </c>
      <c r="B391" t="s">
        <v>271</v>
      </c>
      <c r="C391" t="s">
        <v>95</v>
      </c>
      <c r="D391" t="s">
        <v>370</v>
      </c>
      <c r="E391" t="s">
        <v>371</v>
      </c>
      <c r="F391" t="s">
        <v>6058</v>
      </c>
      <c r="G391" s="2" t="str">
        <f>HYPERLINK("https://www.facebook.com/100009075001424/posts/1977048115941003")</f>
        <v>https://www.facebook.com/100009075001424/posts/1977048115941003</v>
      </c>
      <c r="H391" t="s">
        <v>6062</v>
      </c>
      <c r="I391" t="s">
        <v>1481</v>
      </c>
      <c r="J391" s="2" t="str">
        <f>HYPERLINK("https://www.facebook.com/100009075001424")</f>
        <v>https://www.facebook.com/100009075001424</v>
      </c>
      <c r="K391">
        <v>0</v>
      </c>
      <c r="L391" t="s">
        <v>6064</v>
      </c>
      <c r="N391" t="s">
        <v>13</v>
      </c>
      <c r="O391" t="s">
        <v>1481</v>
      </c>
      <c r="P391" s="2" t="str">
        <f>HYPERLINK("https://www.facebook.com/100009075001424")</f>
        <v>https://www.facebook.com/100009075001424</v>
      </c>
      <c r="Q391">
        <v>0</v>
      </c>
      <c r="R391" t="s">
        <v>6067</v>
      </c>
      <c r="S391" t="s">
        <v>6079</v>
      </c>
    </row>
    <row r="392" spans="1:19" ht="14.25" customHeight="1" x14ac:dyDescent="0.3">
      <c r="A392" t="s">
        <v>2225</v>
      </c>
      <c r="B392" t="s">
        <v>2712</v>
      </c>
      <c r="C392" t="s">
        <v>95</v>
      </c>
      <c r="D392" t="s">
        <v>853</v>
      </c>
      <c r="E392" t="s">
        <v>2714</v>
      </c>
      <c r="F392" t="s">
        <v>6059</v>
      </c>
      <c r="G392" s="2" t="str">
        <f>HYPERLINK("https://www.facebook.com/100008934274771/posts/1810262525948206?comment_id=1810275575946901")</f>
        <v>https://www.facebook.com/100008934274771/posts/1810262525948206?comment_id=1810275575946901</v>
      </c>
      <c r="H392" t="s">
        <v>6062</v>
      </c>
      <c r="I392" t="s">
        <v>2711</v>
      </c>
      <c r="J392" s="2" t="str">
        <f>HYPERLINK("https://www.facebook.com/100008202068973")</f>
        <v>https://www.facebook.com/100008202068973</v>
      </c>
      <c r="K392">
        <v>165</v>
      </c>
      <c r="L392" t="s">
        <v>6064</v>
      </c>
      <c r="N392" t="s">
        <v>13</v>
      </c>
      <c r="O392" t="s">
        <v>856</v>
      </c>
      <c r="P392" s="2" t="str">
        <f>HYPERLINK("https://www.facebook.com/100008934274771")</f>
        <v>https://www.facebook.com/100008934274771</v>
      </c>
      <c r="Q392">
        <v>10395</v>
      </c>
      <c r="R392" t="s">
        <v>6067</v>
      </c>
      <c r="S392" t="s">
        <v>6073</v>
      </c>
    </row>
    <row r="393" spans="1:19" ht="14.25" customHeight="1" x14ac:dyDescent="0.3">
      <c r="A393" t="s">
        <v>2225</v>
      </c>
      <c r="B393" t="s">
        <v>750</v>
      </c>
      <c r="C393" t="s">
        <v>95</v>
      </c>
      <c r="D393" t="s">
        <v>544</v>
      </c>
      <c r="E393" t="s">
        <v>545</v>
      </c>
      <c r="F393" t="s">
        <v>6058</v>
      </c>
      <c r="G393" s="2" t="str">
        <f>HYPERLINK("https://www.facebook.com/100008202068973/posts/2088214851461897")</f>
        <v>https://www.facebook.com/100008202068973/posts/2088214851461897</v>
      </c>
      <c r="H393" t="s">
        <v>6062</v>
      </c>
      <c r="I393" t="s">
        <v>2711</v>
      </c>
      <c r="J393" s="2" t="str">
        <f>HYPERLINK("https://www.facebook.com/100008202068973")</f>
        <v>https://www.facebook.com/100008202068973</v>
      </c>
      <c r="K393">
        <v>165</v>
      </c>
      <c r="L393" t="s">
        <v>6064</v>
      </c>
      <c r="N393" t="s">
        <v>13</v>
      </c>
      <c r="O393" t="s">
        <v>2711</v>
      </c>
      <c r="P393" s="2" t="str">
        <f>HYPERLINK("https://www.facebook.com/100008202068973")</f>
        <v>https://www.facebook.com/100008202068973</v>
      </c>
      <c r="Q393">
        <v>165</v>
      </c>
      <c r="R393" t="s">
        <v>6067</v>
      </c>
      <c r="S393" t="s">
        <v>6073</v>
      </c>
    </row>
    <row r="394" spans="1:19" ht="14.25" customHeight="1" x14ac:dyDescent="0.3">
      <c r="A394" t="s">
        <v>2225</v>
      </c>
      <c r="B394" t="s">
        <v>2771</v>
      </c>
      <c r="C394" t="s">
        <v>95</v>
      </c>
      <c r="D394" t="s">
        <v>544</v>
      </c>
      <c r="E394" t="s">
        <v>545</v>
      </c>
      <c r="F394" t="s">
        <v>6058</v>
      </c>
      <c r="G394" s="2" t="str">
        <f>HYPERLINK("https://www.facebook.com/100010326221918/posts/616052452082290")</f>
        <v>https://www.facebook.com/100010326221918/posts/616052452082290</v>
      </c>
      <c r="H394" t="s">
        <v>6062</v>
      </c>
      <c r="I394" t="s">
        <v>2776</v>
      </c>
      <c r="J394" s="2" t="str">
        <f>HYPERLINK("https://www.facebook.com/100010326221918")</f>
        <v>https://www.facebook.com/100010326221918</v>
      </c>
      <c r="K394">
        <v>1871</v>
      </c>
      <c r="L394" t="s">
        <v>6063</v>
      </c>
      <c r="N394" t="s">
        <v>13</v>
      </c>
      <c r="O394" t="s">
        <v>2776</v>
      </c>
      <c r="P394" s="2" t="str">
        <f>HYPERLINK("https://www.facebook.com/100010326221918")</f>
        <v>https://www.facebook.com/100010326221918</v>
      </c>
      <c r="Q394">
        <v>1871</v>
      </c>
      <c r="R394" t="s">
        <v>6067</v>
      </c>
    </row>
    <row r="395" spans="1:19" ht="14.25" customHeight="1" x14ac:dyDescent="0.3">
      <c r="A395" t="s">
        <v>2225</v>
      </c>
      <c r="B395" t="s">
        <v>2836</v>
      </c>
      <c r="C395" t="s">
        <v>95</v>
      </c>
      <c r="D395" t="s">
        <v>544</v>
      </c>
      <c r="E395" t="s">
        <v>545</v>
      </c>
      <c r="F395" t="s">
        <v>6058</v>
      </c>
      <c r="G395" s="2" t="str">
        <f>HYPERLINK("https://www.facebook.com/100003588416555/posts/1490255364437396")</f>
        <v>https://www.facebook.com/100003588416555/posts/1490255364437396</v>
      </c>
      <c r="H395" t="s">
        <v>6062</v>
      </c>
      <c r="I395" t="s">
        <v>2631</v>
      </c>
      <c r="J395" s="2" t="str">
        <f>HYPERLINK("https://www.facebook.com/100003588416555")</f>
        <v>https://www.facebook.com/100003588416555</v>
      </c>
      <c r="K395">
        <v>4820</v>
      </c>
      <c r="L395" t="s">
        <v>6063</v>
      </c>
      <c r="N395" t="s">
        <v>13</v>
      </c>
      <c r="O395" t="s">
        <v>2631</v>
      </c>
      <c r="P395" s="2" t="str">
        <f>HYPERLINK("https://www.facebook.com/100003588416555")</f>
        <v>https://www.facebook.com/100003588416555</v>
      </c>
      <c r="Q395">
        <v>4820</v>
      </c>
      <c r="R395" t="s">
        <v>6067</v>
      </c>
      <c r="S395" t="s">
        <v>6073</v>
      </c>
    </row>
    <row r="396" spans="1:19" ht="14.25" customHeight="1" x14ac:dyDescent="0.3">
      <c r="A396" t="s">
        <v>2225</v>
      </c>
      <c r="B396" t="s">
        <v>862</v>
      </c>
      <c r="C396" t="s">
        <v>95</v>
      </c>
      <c r="D396" t="s">
        <v>2972</v>
      </c>
      <c r="E396" t="s">
        <v>2974</v>
      </c>
      <c r="F396" t="s">
        <v>6056</v>
      </c>
      <c r="G396" s="2" t="str">
        <f>HYPERLINK("https://www.facebook.com/905315349555571/posts/1690097401077358")</f>
        <v>https://www.facebook.com/905315349555571/posts/1690097401077358</v>
      </c>
      <c r="H396" t="s">
        <v>6062</v>
      </c>
      <c r="I396" t="s">
        <v>2754</v>
      </c>
      <c r="J396" s="2" t="str">
        <f>HYPERLINK("https://www.facebook.com/100003544858781")</f>
        <v>https://www.facebook.com/100003544858781</v>
      </c>
      <c r="K396">
        <v>325</v>
      </c>
      <c r="L396" t="s">
        <v>6063</v>
      </c>
      <c r="N396" t="s">
        <v>13</v>
      </c>
      <c r="O396" t="s">
        <v>2975</v>
      </c>
      <c r="P396" s="2" t="str">
        <f>HYPERLINK("https://www.facebook.com/905315349555571")</f>
        <v>https://www.facebook.com/905315349555571</v>
      </c>
      <c r="R396" t="s">
        <v>6067</v>
      </c>
      <c r="S396" t="s">
        <v>6073</v>
      </c>
    </row>
    <row r="397" spans="1:19" ht="14.25" customHeight="1" x14ac:dyDescent="0.3">
      <c r="A397" t="s">
        <v>2225</v>
      </c>
      <c r="B397" t="s">
        <v>2970</v>
      </c>
      <c r="C397" t="s">
        <v>95</v>
      </c>
      <c r="D397" t="s">
        <v>2972</v>
      </c>
      <c r="E397" t="s">
        <v>2973</v>
      </c>
      <c r="F397" t="s">
        <v>6056</v>
      </c>
      <c r="G397" s="2" t="str">
        <f>HYPERLINK("https://www.facebook.com/100003544858781/posts/1521821351279345")</f>
        <v>https://www.facebook.com/100003544858781/posts/1521821351279345</v>
      </c>
      <c r="H397" t="s">
        <v>6062</v>
      </c>
      <c r="I397" t="s">
        <v>2754</v>
      </c>
      <c r="J397" s="2" t="str">
        <f>HYPERLINK("https://www.facebook.com/100003544858781")</f>
        <v>https://www.facebook.com/100003544858781</v>
      </c>
      <c r="K397">
        <v>325</v>
      </c>
      <c r="L397" t="s">
        <v>6063</v>
      </c>
      <c r="N397" t="s">
        <v>13</v>
      </c>
      <c r="O397" t="s">
        <v>2754</v>
      </c>
      <c r="P397" s="2" t="str">
        <f>HYPERLINK("https://www.facebook.com/100003544858781")</f>
        <v>https://www.facebook.com/100003544858781</v>
      </c>
      <c r="Q397">
        <v>325</v>
      </c>
      <c r="R397" t="s">
        <v>6067</v>
      </c>
      <c r="S397" t="s">
        <v>6073</v>
      </c>
    </row>
    <row r="398" spans="1:19" ht="14.25" customHeight="1" x14ac:dyDescent="0.3">
      <c r="A398" t="s">
        <v>2225</v>
      </c>
      <c r="B398" t="s">
        <v>2750</v>
      </c>
      <c r="C398" t="s">
        <v>95</v>
      </c>
      <c r="D398" t="s">
        <v>2752</v>
      </c>
      <c r="E398" t="s">
        <v>2753</v>
      </c>
      <c r="F398" t="s">
        <v>6056</v>
      </c>
      <c r="G398" s="2" t="str">
        <f>HYPERLINK("https://www.facebook.com/100003544858781/posts/1521898051271675")</f>
        <v>https://www.facebook.com/100003544858781/posts/1521898051271675</v>
      </c>
      <c r="H398" t="s">
        <v>6062</v>
      </c>
      <c r="I398" t="s">
        <v>2754</v>
      </c>
      <c r="J398" s="2" t="str">
        <f>HYPERLINK("https://www.facebook.com/100003544858781")</f>
        <v>https://www.facebook.com/100003544858781</v>
      </c>
      <c r="K398">
        <v>325</v>
      </c>
      <c r="L398" t="s">
        <v>6063</v>
      </c>
      <c r="N398" t="s">
        <v>13</v>
      </c>
      <c r="O398" t="s">
        <v>2754</v>
      </c>
      <c r="P398" s="2" t="str">
        <f>HYPERLINK("https://www.facebook.com/100003544858781")</f>
        <v>https://www.facebook.com/100003544858781</v>
      </c>
      <c r="Q398">
        <v>325</v>
      </c>
      <c r="R398" t="s">
        <v>6067</v>
      </c>
      <c r="S398" t="s">
        <v>6073</v>
      </c>
    </row>
    <row r="399" spans="1:19" ht="14.25" customHeight="1" x14ac:dyDescent="0.3">
      <c r="A399" t="s">
        <v>2225</v>
      </c>
      <c r="B399" t="s">
        <v>390</v>
      </c>
      <c r="C399" t="s">
        <v>95</v>
      </c>
      <c r="D399" t="s">
        <v>3412</v>
      </c>
      <c r="E399" t="s">
        <v>3413</v>
      </c>
      <c r="F399" t="s">
        <v>6059</v>
      </c>
      <c r="G399" s="2" t="str">
        <f>HYPERLINK("https://www.facebook.com/762053551/posts/10156363167348552?comment_id=10156363207863552")</f>
        <v>https://www.facebook.com/762053551/posts/10156363167348552?comment_id=10156363207863552</v>
      </c>
      <c r="H399" t="s">
        <v>6062</v>
      </c>
      <c r="I399" t="s">
        <v>3414</v>
      </c>
      <c r="J399" s="2" t="str">
        <f>HYPERLINK("https://www.facebook.com/100013161303363")</f>
        <v>https://www.facebook.com/100013161303363</v>
      </c>
      <c r="K399">
        <v>179</v>
      </c>
      <c r="L399" t="s">
        <v>6063</v>
      </c>
      <c r="N399" t="s">
        <v>13</v>
      </c>
      <c r="O399" t="s">
        <v>14</v>
      </c>
      <c r="P399" s="2" t="str">
        <f>HYPERLINK("https://www.facebook.com/762053551")</f>
        <v>https://www.facebook.com/762053551</v>
      </c>
      <c r="Q399">
        <v>102347</v>
      </c>
      <c r="R399" t="s">
        <v>6067</v>
      </c>
      <c r="S399" t="s">
        <v>6073</v>
      </c>
    </row>
    <row r="400" spans="1:19" ht="14.25" customHeight="1" x14ac:dyDescent="0.3">
      <c r="A400" t="s">
        <v>4995</v>
      </c>
      <c r="B400" t="s">
        <v>1219</v>
      </c>
      <c r="C400" t="s">
        <v>3538</v>
      </c>
      <c r="D400" t="s">
        <v>5194</v>
      </c>
      <c r="E400" t="s">
        <v>5198</v>
      </c>
      <c r="F400" t="s">
        <v>6059</v>
      </c>
      <c r="G400" s="2" t="str">
        <f>HYPERLINK("https://www.facebook.com/1821931048038638/posts/2132070070358066?comment_id=2132168307014909")</f>
        <v>https://www.facebook.com/1821931048038638/posts/2132070070358066?comment_id=2132168307014909</v>
      </c>
      <c r="H400" t="s">
        <v>6062</v>
      </c>
      <c r="I400" t="s">
        <v>5197</v>
      </c>
      <c r="J400" s="2" t="str">
        <f>HYPERLINK("https://www.facebook.com/1821931048038638")</f>
        <v>https://www.facebook.com/1821931048038638</v>
      </c>
      <c r="K400">
        <v>722</v>
      </c>
      <c r="L400" t="s">
        <v>6065</v>
      </c>
      <c r="N400" t="s">
        <v>13</v>
      </c>
      <c r="O400" t="s">
        <v>5197</v>
      </c>
      <c r="P400" s="2" t="str">
        <f>HYPERLINK("https://www.facebook.com/1821931048038638")</f>
        <v>https://www.facebook.com/1821931048038638</v>
      </c>
      <c r="Q400">
        <v>722</v>
      </c>
      <c r="R400" t="s">
        <v>6067</v>
      </c>
      <c r="S400" t="s">
        <v>6073</v>
      </c>
    </row>
    <row r="401" spans="1:19" ht="14.25" customHeight="1" x14ac:dyDescent="0.3">
      <c r="A401" t="s">
        <v>4995</v>
      </c>
      <c r="B401" t="s">
        <v>643</v>
      </c>
      <c r="C401" t="s">
        <v>3538</v>
      </c>
      <c r="D401" t="s">
        <v>5000</v>
      </c>
      <c r="E401" t="s">
        <v>5001</v>
      </c>
      <c r="F401" t="s">
        <v>6056</v>
      </c>
      <c r="G401" s="2" t="str">
        <f>HYPERLINK("https://www.facebook.com/955477174490749/posts/1777706942267764")</f>
        <v>https://www.facebook.com/955477174490749/posts/1777706942267764</v>
      </c>
      <c r="H401" t="s">
        <v>6062</v>
      </c>
      <c r="I401" t="s">
        <v>633</v>
      </c>
      <c r="J401" s="2" t="str">
        <f>HYPERLINK("https://www.facebook.com/955477174490749")</f>
        <v>https://www.facebook.com/955477174490749</v>
      </c>
      <c r="K401">
        <v>42</v>
      </c>
      <c r="L401" t="s">
        <v>6065</v>
      </c>
      <c r="N401" t="s">
        <v>13</v>
      </c>
      <c r="O401" t="s">
        <v>633</v>
      </c>
      <c r="P401" s="2" t="str">
        <f>HYPERLINK("https://www.facebook.com/955477174490749")</f>
        <v>https://www.facebook.com/955477174490749</v>
      </c>
      <c r="Q401">
        <v>42</v>
      </c>
      <c r="R401" t="s">
        <v>6067</v>
      </c>
    </row>
    <row r="402" spans="1:19" ht="14.25" customHeight="1" x14ac:dyDescent="0.3">
      <c r="A402" t="s">
        <v>629</v>
      </c>
      <c r="B402" t="s">
        <v>630</v>
      </c>
      <c r="C402" t="s">
        <v>95</v>
      </c>
      <c r="D402" t="s">
        <v>631</v>
      </c>
      <c r="E402" t="s">
        <v>632</v>
      </c>
      <c r="F402" t="s">
        <v>6056</v>
      </c>
      <c r="G402" s="2" t="str">
        <f>HYPERLINK("https://www.facebook.com/955477174490749/posts/1781817188523406")</f>
        <v>https://www.facebook.com/955477174490749/posts/1781817188523406</v>
      </c>
      <c r="H402" t="s">
        <v>6062</v>
      </c>
      <c r="I402" t="s">
        <v>633</v>
      </c>
      <c r="J402" s="2" t="str">
        <f>HYPERLINK("https://www.facebook.com/955477174490749")</f>
        <v>https://www.facebook.com/955477174490749</v>
      </c>
      <c r="K402">
        <v>42</v>
      </c>
      <c r="L402" t="s">
        <v>6065</v>
      </c>
      <c r="N402" t="s">
        <v>13</v>
      </c>
      <c r="O402" t="s">
        <v>633</v>
      </c>
      <c r="P402" s="2" t="str">
        <f>HYPERLINK("https://www.facebook.com/955477174490749")</f>
        <v>https://www.facebook.com/955477174490749</v>
      </c>
      <c r="Q402">
        <v>42</v>
      </c>
      <c r="R402" t="s">
        <v>6067</v>
      </c>
    </row>
    <row r="403" spans="1:19" ht="14.25" customHeight="1" x14ac:dyDescent="0.3">
      <c r="A403" t="s">
        <v>5409</v>
      </c>
      <c r="B403" t="s">
        <v>2284</v>
      </c>
      <c r="C403" t="s">
        <v>3538</v>
      </c>
      <c r="D403" t="s">
        <v>5436</v>
      </c>
      <c r="E403" t="s">
        <v>5437</v>
      </c>
      <c r="F403" t="s">
        <v>6056</v>
      </c>
      <c r="G403" s="2" t="str">
        <f>HYPERLINK("https://www.facebook.com/955477174490749/posts/1776601472378311")</f>
        <v>https://www.facebook.com/955477174490749/posts/1776601472378311</v>
      </c>
      <c r="H403" t="s">
        <v>6062</v>
      </c>
      <c r="I403" t="s">
        <v>633</v>
      </c>
      <c r="J403" s="2" t="str">
        <f>HYPERLINK("https://www.facebook.com/955477174490749")</f>
        <v>https://www.facebook.com/955477174490749</v>
      </c>
      <c r="K403">
        <v>42</v>
      </c>
      <c r="L403" t="s">
        <v>6065</v>
      </c>
      <c r="N403" t="s">
        <v>13</v>
      </c>
      <c r="O403" t="s">
        <v>633</v>
      </c>
      <c r="P403" s="2" t="str">
        <f>HYPERLINK("https://www.facebook.com/955477174490749")</f>
        <v>https://www.facebook.com/955477174490749</v>
      </c>
      <c r="Q403">
        <v>42</v>
      </c>
      <c r="R403" t="s">
        <v>6067</v>
      </c>
    </row>
    <row r="404" spans="1:19" ht="14.25" customHeight="1" x14ac:dyDescent="0.3">
      <c r="A404" t="s">
        <v>4995</v>
      </c>
      <c r="B404" t="s">
        <v>5186</v>
      </c>
      <c r="C404" t="s">
        <v>3538</v>
      </c>
      <c r="D404" t="s">
        <v>5187</v>
      </c>
      <c r="E404" t="s">
        <v>408</v>
      </c>
      <c r="F404" t="s">
        <v>6059</v>
      </c>
      <c r="G404" s="2" t="str">
        <f>HYPERLINK("https://www.facebook.com/100000749205618/posts/1872163949485227?comment_id=1873166879384934")</f>
        <v>https://www.facebook.com/100000749205618/posts/1872163949485227?comment_id=1873166879384934</v>
      </c>
      <c r="H404" t="s">
        <v>6062</v>
      </c>
      <c r="I404" t="s">
        <v>5188</v>
      </c>
      <c r="J404" s="2" t="str">
        <f>HYPERLINK("https://www.facebook.com/100001134437757")</f>
        <v>https://www.facebook.com/100001134437757</v>
      </c>
      <c r="K404">
        <v>0</v>
      </c>
      <c r="L404" t="s">
        <v>6063</v>
      </c>
      <c r="N404" t="s">
        <v>13</v>
      </c>
      <c r="O404" t="s">
        <v>5189</v>
      </c>
      <c r="P404" s="2" t="str">
        <f>HYPERLINK("https://www.facebook.com/100000749205618")</f>
        <v>https://www.facebook.com/100000749205618</v>
      </c>
      <c r="Q404">
        <v>545</v>
      </c>
      <c r="R404" t="s">
        <v>6067</v>
      </c>
    </row>
    <row r="405" spans="1:19" ht="14.25" customHeight="1" x14ac:dyDescent="0.3">
      <c r="A405" t="s">
        <v>629</v>
      </c>
      <c r="B405" t="s">
        <v>2053</v>
      </c>
      <c r="C405" t="s">
        <v>95</v>
      </c>
      <c r="D405" t="s">
        <v>1056</v>
      </c>
      <c r="E405" t="s">
        <v>2054</v>
      </c>
      <c r="F405" t="s">
        <v>6058</v>
      </c>
      <c r="G405" s="2" t="str">
        <f>HYPERLINK("https://www.facebook.com/100002706373323/posts/1346641335436066")</f>
        <v>https://www.facebook.com/100002706373323/posts/1346641335436066</v>
      </c>
      <c r="H405" t="s">
        <v>6062</v>
      </c>
      <c r="I405" t="s">
        <v>2055</v>
      </c>
      <c r="J405" s="2" t="str">
        <f>HYPERLINK("https://www.facebook.com/100002706373323")</f>
        <v>https://www.facebook.com/100002706373323</v>
      </c>
      <c r="K405">
        <v>0</v>
      </c>
      <c r="L405" t="s">
        <v>6064</v>
      </c>
      <c r="N405" t="s">
        <v>13</v>
      </c>
      <c r="O405" t="s">
        <v>2055</v>
      </c>
      <c r="P405" s="2" t="str">
        <f>HYPERLINK("https://www.facebook.com/100002706373323")</f>
        <v>https://www.facebook.com/100002706373323</v>
      </c>
      <c r="Q405">
        <v>0</v>
      </c>
      <c r="R405" t="s">
        <v>6067</v>
      </c>
      <c r="S405" t="s">
        <v>6073</v>
      </c>
    </row>
    <row r="406" spans="1:19" ht="14.25" customHeight="1" x14ac:dyDescent="0.3">
      <c r="A406" t="s">
        <v>2225</v>
      </c>
      <c r="B406" t="s">
        <v>2573</v>
      </c>
      <c r="C406" t="s">
        <v>95</v>
      </c>
      <c r="D406" t="s">
        <v>853</v>
      </c>
      <c r="E406" t="s">
        <v>2335</v>
      </c>
      <c r="F406" t="s">
        <v>6059</v>
      </c>
      <c r="G406" s="2" t="str">
        <f>HYPERLINK("https://www.facebook.com/100008934274771/posts/1810262525948206?comment_id=1810288702612255")</f>
        <v>https://www.facebook.com/100008934274771/posts/1810262525948206?comment_id=1810288702612255</v>
      </c>
      <c r="H406" t="s">
        <v>6062</v>
      </c>
      <c r="I406" t="s">
        <v>2574</v>
      </c>
      <c r="J406" s="2" t="str">
        <f>HYPERLINK("https://www.facebook.com/100021591438742")</f>
        <v>https://www.facebook.com/100021591438742</v>
      </c>
      <c r="K406">
        <v>0</v>
      </c>
      <c r="L406" t="s">
        <v>6064</v>
      </c>
      <c r="N406" t="s">
        <v>13</v>
      </c>
      <c r="O406" t="s">
        <v>856</v>
      </c>
      <c r="P406" s="2" t="str">
        <f>HYPERLINK("https://www.facebook.com/100008934274771")</f>
        <v>https://www.facebook.com/100008934274771</v>
      </c>
      <c r="Q406">
        <v>10395</v>
      </c>
      <c r="R406" t="s">
        <v>6067</v>
      </c>
      <c r="S406" t="s">
        <v>6073</v>
      </c>
    </row>
    <row r="407" spans="1:19" ht="14.25" customHeight="1" x14ac:dyDescent="0.3">
      <c r="A407" t="s">
        <v>2225</v>
      </c>
      <c r="B407" t="s">
        <v>2702</v>
      </c>
      <c r="C407" t="s">
        <v>95</v>
      </c>
      <c r="D407" t="s">
        <v>853</v>
      </c>
      <c r="E407" t="s">
        <v>2335</v>
      </c>
      <c r="F407" t="s">
        <v>6059</v>
      </c>
      <c r="G407" s="2" t="str">
        <f>HYPERLINK("https://www.facebook.com/100008934274771/posts/1810262525948206?comment_id=1810277815946677")</f>
        <v>https://www.facebook.com/100008934274771/posts/1810262525948206?comment_id=1810277815946677</v>
      </c>
      <c r="H407" t="s">
        <v>6062</v>
      </c>
      <c r="I407" t="s">
        <v>2574</v>
      </c>
      <c r="J407" s="2" t="str">
        <f>HYPERLINK("https://www.facebook.com/100021591438742")</f>
        <v>https://www.facebook.com/100021591438742</v>
      </c>
      <c r="K407">
        <v>0</v>
      </c>
      <c r="L407" t="s">
        <v>6064</v>
      </c>
      <c r="N407" t="s">
        <v>13</v>
      </c>
      <c r="O407" t="s">
        <v>856</v>
      </c>
      <c r="P407" s="2" t="str">
        <f>HYPERLINK("https://www.facebook.com/100008934274771")</f>
        <v>https://www.facebook.com/100008934274771</v>
      </c>
      <c r="Q407">
        <v>10395</v>
      </c>
      <c r="R407" t="s">
        <v>6067</v>
      </c>
      <c r="S407" t="s">
        <v>6073</v>
      </c>
    </row>
    <row r="408" spans="1:19" ht="14.25" customHeight="1" x14ac:dyDescent="0.3">
      <c r="A408" t="s">
        <v>629</v>
      </c>
      <c r="B408" t="s">
        <v>2122</v>
      </c>
      <c r="C408" t="s">
        <v>95</v>
      </c>
      <c r="D408" t="s">
        <v>853</v>
      </c>
      <c r="E408" t="s">
        <v>2123</v>
      </c>
      <c r="F408" t="s">
        <v>6059</v>
      </c>
      <c r="G408" s="2" t="str">
        <f>HYPERLINK("https://www.facebook.com/100008934274771/posts/1810262525948206?comment_id=1810346072606518")</f>
        <v>https://www.facebook.com/100008934274771/posts/1810262525948206?comment_id=1810346072606518</v>
      </c>
      <c r="H408" t="s">
        <v>6062</v>
      </c>
      <c r="I408" t="s">
        <v>2082</v>
      </c>
      <c r="J408" s="2" t="str">
        <f>HYPERLINK("https://www.facebook.com/100024578302185")</f>
        <v>https://www.facebook.com/100024578302185</v>
      </c>
      <c r="K408">
        <v>41</v>
      </c>
      <c r="L408" t="s">
        <v>6064</v>
      </c>
      <c r="N408" t="s">
        <v>13</v>
      </c>
      <c r="O408" t="s">
        <v>856</v>
      </c>
      <c r="P408" s="2" t="str">
        <f>HYPERLINK("https://www.facebook.com/100008934274771")</f>
        <v>https://www.facebook.com/100008934274771</v>
      </c>
      <c r="Q408">
        <v>10395</v>
      </c>
      <c r="R408" t="s">
        <v>6067</v>
      </c>
      <c r="S408" t="s">
        <v>6073</v>
      </c>
    </row>
    <row r="409" spans="1:19" ht="14.25" customHeight="1" x14ac:dyDescent="0.3">
      <c r="A409" t="s">
        <v>629</v>
      </c>
      <c r="B409" t="s">
        <v>2115</v>
      </c>
      <c r="C409" t="s">
        <v>95</v>
      </c>
      <c r="D409" t="s">
        <v>853</v>
      </c>
      <c r="E409" t="s">
        <v>2116</v>
      </c>
      <c r="F409" t="s">
        <v>6059</v>
      </c>
      <c r="G409" s="2" t="str">
        <f>HYPERLINK("https://www.facebook.com/100008934274771/posts/1810262525948206?comment_id=1810350245939434")</f>
        <v>https://www.facebook.com/100008934274771/posts/1810262525948206?comment_id=1810350245939434</v>
      </c>
      <c r="H409" t="s">
        <v>6062</v>
      </c>
      <c r="I409" t="s">
        <v>2082</v>
      </c>
      <c r="J409" s="2" t="str">
        <f>HYPERLINK("https://www.facebook.com/100024578302185")</f>
        <v>https://www.facebook.com/100024578302185</v>
      </c>
      <c r="K409">
        <v>41</v>
      </c>
      <c r="L409" t="s">
        <v>6064</v>
      </c>
      <c r="N409" t="s">
        <v>13</v>
      </c>
      <c r="O409" t="s">
        <v>856</v>
      </c>
      <c r="P409" s="2" t="str">
        <f>HYPERLINK("https://www.facebook.com/100008934274771")</f>
        <v>https://www.facebook.com/100008934274771</v>
      </c>
      <c r="Q409">
        <v>10395</v>
      </c>
      <c r="R409" t="s">
        <v>6067</v>
      </c>
      <c r="S409" t="s">
        <v>6073</v>
      </c>
    </row>
    <row r="410" spans="1:19" ht="14.25" customHeight="1" x14ac:dyDescent="0.3">
      <c r="A410" t="s">
        <v>1</v>
      </c>
      <c r="B410" t="s">
        <v>311</v>
      </c>
      <c r="C410" t="s">
        <v>95</v>
      </c>
      <c r="D410" t="s">
        <v>232</v>
      </c>
      <c r="E410" t="s">
        <v>233</v>
      </c>
      <c r="F410" t="s">
        <v>6058</v>
      </c>
      <c r="G410" s="2" t="str">
        <f>HYPERLINK("https://www.facebook.com/100001353213902/posts/1590376907684068")</f>
        <v>https://www.facebook.com/100001353213902/posts/1590376907684068</v>
      </c>
      <c r="H410" t="s">
        <v>6062</v>
      </c>
      <c r="I410" t="s">
        <v>319</v>
      </c>
      <c r="J410" s="2" t="str">
        <f>HYPERLINK("https://www.facebook.com/100001353213902")</f>
        <v>https://www.facebook.com/100001353213902</v>
      </c>
      <c r="K410">
        <v>877</v>
      </c>
      <c r="L410" t="s">
        <v>6063</v>
      </c>
      <c r="N410" t="s">
        <v>13</v>
      </c>
      <c r="O410" t="s">
        <v>319</v>
      </c>
      <c r="P410" s="2" t="str">
        <f>HYPERLINK("https://www.facebook.com/100001353213902")</f>
        <v>https://www.facebook.com/100001353213902</v>
      </c>
      <c r="Q410">
        <v>877</v>
      </c>
      <c r="R410" t="s">
        <v>6067</v>
      </c>
      <c r="S410" t="s">
        <v>6073</v>
      </c>
    </row>
    <row r="411" spans="1:19" ht="14.25" customHeight="1" x14ac:dyDescent="0.3">
      <c r="A411" t="s">
        <v>2225</v>
      </c>
      <c r="B411" t="s">
        <v>2306</v>
      </c>
      <c r="C411" t="s">
        <v>95</v>
      </c>
      <c r="D411" t="s">
        <v>544</v>
      </c>
      <c r="E411" t="s">
        <v>545</v>
      </c>
      <c r="F411" t="s">
        <v>6058</v>
      </c>
      <c r="G411" s="2" t="str">
        <f>HYPERLINK("https://www.facebook.com/100003547449973/posts/1505076312953936")</f>
        <v>https://www.facebook.com/100003547449973/posts/1505076312953936</v>
      </c>
      <c r="H411" t="s">
        <v>6062</v>
      </c>
      <c r="I411" t="s">
        <v>1898</v>
      </c>
      <c r="J411" s="2" t="str">
        <f>HYPERLINK("https://www.facebook.com/100003547449973")</f>
        <v>https://www.facebook.com/100003547449973</v>
      </c>
      <c r="K411">
        <v>957</v>
      </c>
      <c r="L411" t="s">
        <v>6063</v>
      </c>
      <c r="N411" t="s">
        <v>13</v>
      </c>
      <c r="O411" t="s">
        <v>1898</v>
      </c>
      <c r="P411" s="2" t="str">
        <f>HYPERLINK("https://www.facebook.com/100003547449973")</f>
        <v>https://www.facebook.com/100003547449973</v>
      </c>
      <c r="Q411">
        <v>957</v>
      </c>
      <c r="R411" t="s">
        <v>6067</v>
      </c>
    </row>
    <row r="412" spans="1:19" ht="14.25" customHeight="1" x14ac:dyDescent="0.3">
      <c r="A412" t="s">
        <v>629</v>
      </c>
      <c r="B412" t="s">
        <v>459</v>
      </c>
      <c r="C412" t="s">
        <v>95</v>
      </c>
      <c r="D412" t="s">
        <v>370</v>
      </c>
      <c r="E412" t="s">
        <v>371</v>
      </c>
      <c r="F412" t="s">
        <v>6058</v>
      </c>
      <c r="G412" s="2" t="str">
        <f>HYPERLINK("https://www.facebook.com/100003547449973/posts/1505475919580642")</f>
        <v>https://www.facebook.com/100003547449973/posts/1505475919580642</v>
      </c>
      <c r="H412" t="s">
        <v>6062</v>
      </c>
      <c r="I412" t="s">
        <v>1898</v>
      </c>
      <c r="J412" s="2" t="str">
        <f>HYPERLINK("https://www.facebook.com/100003547449973")</f>
        <v>https://www.facebook.com/100003547449973</v>
      </c>
      <c r="K412">
        <v>957</v>
      </c>
      <c r="L412" t="s">
        <v>6063</v>
      </c>
      <c r="N412" t="s">
        <v>13</v>
      </c>
      <c r="O412" t="s">
        <v>1898</v>
      </c>
      <c r="P412" s="2" t="str">
        <f>HYPERLINK("https://www.facebook.com/100003547449973")</f>
        <v>https://www.facebook.com/100003547449973</v>
      </c>
      <c r="Q412">
        <v>957</v>
      </c>
      <c r="R412" t="s">
        <v>6067</v>
      </c>
    </row>
    <row r="413" spans="1:19" ht="14.25" customHeight="1" x14ac:dyDescent="0.3">
      <c r="A413" t="s">
        <v>4995</v>
      </c>
      <c r="B413" t="s">
        <v>4256</v>
      </c>
      <c r="C413" t="s">
        <v>3538</v>
      </c>
      <c r="D413" t="s">
        <v>5253</v>
      </c>
      <c r="E413" t="s">
        <v>5254</v>
      </c>
      <c r="F413" t="s">
        <v>6056</v>
      </c>
      <c r="G413" s="2" t="str">
        <f>HYPERLINK("https://www.facebook.com/1001488189902890/posts/1744851572233211")</f>
        <v>https://www.facebook.com/1001488189902890/posts/1744851572233211</v>
      </c>
      <c r="H413" t="s">
        <v>6062</v>
      </c>
      <c r="I413" t="s">
        <v>5255</v>
      </c>
      <c r="J413" s="2" t="str">
        <f>HYPERLINK("https://www.facebook.com/100005574484637")</f>
        <v>https://www.facebook.com/100005574484637</v>
      </c>
      <c r="K413">
        <v>1052</v>
      </c>
      <c r="L413" t="s">
        <v>6063</v>
      </c>
      <c r="N413" t="s">
        <v>13</v>
      </c>
      <c r="O413" t="s">
        <v>5256</v>
      </c>
      <c r="P413" s="2" t="str">
        <f>HYPERLINK("https://www.facebook.com/1001488189902890")</f>
        <v>https://www.facebook.com/1001488189902890</v>
      </c>
      <c r="R413" t="s">
        <v>6067</v>
      </c>
      <c r="S413" t="s">
        <v>6073</v>
      </c>
    </row>
    <row r="414" spans="1:19" ht="14.25" customHeight="1" x14ac:dyDescent="0.3">
      <c r="A414" t="s">
        <v>629</v>
      </c>
      <c r="B414" t="s">
        <v>1513</v>
      </c>
      <c r="C414" t="s">
        <v>95</v>
      </c>
      <c r="D414" t="s">
        <v>370</v>
      </c>
      <c r="E414" t="s">
        <v>371</v>
      </c>
      <c r="F414" t="s">
        <v>6058</v>
      </c>
      <c r="G414" s="2" t="str">
        <f>HYPERLINK("https://www.facebook.com/100001957387002/posts/1911426112265950")</f>
        <v>https://www.facebook.com/100001957387002/posts/1911426112265950</v>
      </c>
      <c r="H414" t="s">
        <v>6062</v>
      </c>
      <c r="I414" t="s">
        <v>1515</v>
      </c>
      <c r="J414" s="2" t="str">
        <f>HYPERLINK("https://www.facebook.com/100001957387002")</f>
        <v>https://www.facebook.com/100001957387002</v>
      </c>
      <c r="K414">
        <v>831</v>
      </c>
      <c r="L414" t="s">
        <v>6063</v>
      </c>
      <c r="N414" t="s">
        <v>13</v>
      </c>
      <c r="O414" t="s">
        <v>1515</v>
      </c>
      <c r="P414" s="2" t="str">
        <f>HYPERLINK("https://www.facebook.com/100001957387002")</f>
        <v>https://www.facebook.com/100001957387002</v>
      </c>
      <c r="Q414">
        <v>831</v>
      </c>
      <c r="R414" t="s">
        <v>6067</v>
      </c>
      <c r="S414" t="s">
        <v>6073</v>
      </c>
    </row>
    <row r="415" spans="1:19" ht="14.25" customHeight="1" x14ac:dyDescent="0.3">
      <c r="A415" t="s">
        <v>2225</v>
      </c>
      <c r="B415" t="s">
        <v>2471</v>
      </c>
      <c r="C415" t="s">
        <v>95</v>
      </c>
      <c r="D415" t="s">
        <v>544</v>
      </c>
      <c r="E415" t="s">
        <v>545</v>
      </c>
      <c r="F415" t="s">
        <v>6058</v>
      </c>
      <c r="G415" s="2" t="str">
        <f>HYPERLINK("https://www.facebook.com/275275419344208/posts/430119210765727")</f>
        <v>https://www.facebook.com/275275419344208/posts/430119210765727</v>
      </c>
      <c r="H415" t="s">
        <v>6062</v>
      </c>
      <c r="I415" t="s">
        <v>2473</v>
      </c>
      <c r="J415" s="2" t="str">
        <f>HYPERLINK("https://www.facebook.com/100013029541002")</f>
        <v>https://www.facebook.com/100013029541002</v>
      </c>
      <c r="K415">
        <v>2222</v>
      </c>
      <c r="L415" t="s">
        <v>6063</v>
      </c>
      <c r="N415" t="s">
        <v>13</v>
      </c>
      <c r="O415" t="s">
        <v>2474</v>
      </c>
      <c r="P415" s="2" t="str">
        <f>HYPERLINK("https://www.facebook.com/275275419344208")</f>
        <v>https://www.facebook.com/275275419344208</v>
      </c>
      <c r="R415" t="s">
        <v>6067</v>
      </c>
      <c r="S415" t="s">
        <v>6082</v>
      </c>
    </row>
    <row r="416" spans="1:19" ht="14.25" customHeight="1" x14ac:dyDescent="0.3">
      <c r="A416" t="s">
        <v>629</v>
      </c>
      <c r="B416" t="s">
        <v>986</v>
      </c>
      <c r="C416" t="s">
        <v>95</v>
      </c>
      <c r="D416" t="s">
        <v>987</v>
      </c>
      <c r="E416" t="s">
        <v>988</v>
      </c>
      <c r="F416" t="s">
        <v>6059</v>
      </c>
      <c r="G416" s="2" t="str">
        <f>HYPERLINK("https://www.facebook.com/100002938219448/posts/1587245274716731?comment_id=1587795044661754")</f>
        <v>https://www.facebook.com/100002938219448/posts/1587245274716731?comment_id=1587795044661754</v>
      </c>
      <c r="H416" t="s">
        <v>6062</v>
      </c>
      <c r="I416" t="s">
        <v>989</v>
      </c>
      <c r="J416" s="2" t="str">
        <f>HYPERLINK("https://www.facebook.com/608394802")</f>
        <v>https://www.facebook.com/608394802</v>
      </c>
      <c r="K416">
        <v>642</v>
      </c>
      <c r="L416" t="s">
        <v>6063</v>
      </c>
      <c r="N416" t="s">
        <v>13</v>
      </c>
      <c r="O416" t="s">
        <v>990</v>
      </c>
      <c r="P416" s="2" t="str">
        <f>HYPERLINK("https://www.facebook.com/100002938219448")</f>
        <v>https://www.facebook.com/100002938219448</v>
      </c>
      <c r="Q416">
        <v>1445</v>
      </c>
      <c r="R416" t="s">
        <v>6067</v>
      </c>
      <c r="S416" t="s">
        <v>6073</v>
      </c>
    </row>
    <row r="417" spans="1:19" ht="14.25" customHeight="1" x14ac:dyDescent="0.3">
      <c r="A417" t="s">
        <v>2225</v>
      </c>
      <c r="B417" t="s">
        <v>2356</v>
      </c>
      <c r="C417" t="s">
        <v>95</v>
      </c>
      <c r="D417" t="s">
        <v>1056</v>
      </c>
      <c r="E417" t="s">
        <v>2054</v>
      </c>
      <c r="F417" t="s">
        <v>6058</v>
      </c>
      <c r="G417" s="2" t="str">
        <f>HYPERLINK("https://www.facebook.com/100003599266540/posts/1339791929484103")</f>
        <v>https://www.facebook.com/100003599266540/posts/1339791929484103</v>
      </c>
      <c r="H417" t="s">
        <v>6062</v>
      </c>
      <c r="I417" t="s">
        <v>2357</v>
      </c>
      <c r="J417" s="2" t="str">
        <f>HYPERLINK("https://www.facebook.com/100003599266540")</f>
        <v>https://www.facebook.com/100003599266540</v>
      </c>
      <c r="K417">
        <v>326</v>
      </c>
      <c r="L417" t="s">
        <v>6063</v>
      </c>
      <c r="N417" t="s">
        <v>13</v>
      </c>
      <c r="O417" t="s">
        <v>2357</v>
      </c>
      <c r="P417" s="2" t="str">
        <f>HYPERLINK("https://www.facebook.com/100003599266540")</f>
        <v>https://www.facebook.com/100003599266540</v>
      </c>
      <c r="Q417">
        <v>326</v>
      </c>
      <c r="R417" t="s">
        <v>6067</v>
      </c>
      <c r="S417" t="s">
        <v>6073</v>
      </c>
    </row>
    <row r="418" spans="1:19" ht="14.25" customHeight="1" x14ac:dyDescent="0.3">
      <c r="A418" t="s">
        <v>629</v>
      </c>
      <c r="B418" t="s">
        <v>2077</v>
      </c>
      <c r="C418" t="s">
        <v>95</v>
      </c>
      <c r="D418" t="s">
        <v>568</v>
      </c>
      <c r="E418" t="s">
        <v>2078</v>
      </c>
      <c r="F418" t="s">
        <v>6059</v>
      </c>
      <c r="G418" s="2" t="str">
        <f>HYPERLINK("https://www.facebook.com/100010421106042/posts/579987695691929?comment_id=580037749020257")</f>
        <v>https://www.facebook.com/100010421106042/posts/579987695691929?comment_id=580037749020257</v>
      </c>
      <c r="H418" t="s">
        <v>6062</v>
      </c>
      <c r="I418" t="s">
        <v>2079</v>
      </c>
      <c r="J418" s="2" t="str">
        <f>HYPERLINK("https://www.facebook.com/100011569020324")</f>
        <v>https://www.facebook.com/100011569020324</v>
      </c>
      <c r="K418">
        <v>17</v>
      </c>
      <c r="L418" t="s">
        <v>6063</v>
      </c>
      <c r="N418" t="s">
        <v>13</v>
      </c>
      <c r="O418" t="s">
        <v>571</v>
      </c>
      <c r="P418" s="2" t="str">
        <f>HYPERLINK("https://www.facebook.com/100010421106042")</f>
        <v>https://www.facebook.com/100010421106042</v>
      </c>
      <c r="Q418">
        <v>2614</v>
      </c>
      <c r="R418" t="s">
        <v>6067</v>
      </c>
    </row>
    <row r="419" spans="1:19" ht="14.25" customHeight="1" x14ac:dyDescent="0.3">
      <c r="A419" t="s">
        <v>629</v>
      </c>
      <c r="B419" t="s">
        <v>1557</v>
      </c>
      <c r="C419" t="s">
        <v>95</v>
      </c>
      <c r="D419" t="s">
        <v>370</v>
      </c>
      <c r="E419" t="s">
        <v>371</v>
      </c>
      <c r="F419" t="s">
        <v>6058</v>
      </c>
      <c r="G419" s="2" t="str">
        <f>HYPERLINK("https://www.facebook.com/100000248305324/posts/1974086235942967")</f>
        <v>https://www.facebook.com/100000248305324/posts/1974086235942967</v>
      </c>
      <c r="H419" t="s">
        <v>6062</v>
      </c>
      <c r="I419" t="s">
        <v>1558</v>
      </c>
      <c r="J419" s="2" t="str">
        <f>HYPERLINK("https://www.facebook.com/100000248305324")</f>
        <v>https://www.facebook.com/100000248305324</v>
      </c>
      <c r="K419">
        <v>3160</v>
      </c>
      <c r="L419" t="s">
        <v>6063</v>
      </c>
      <c r="N419" t="s">
        <v>13</v>
      </c>
      <c r="O419" t="s">
        <v>1558</v>
      </c>
      <c r="P419" s="2" t="str">
        <f>HYPERLINK("https://www.facebook.com/100000248305324")</f>
        <v>https://www.facebook.com/100000248305324</v>
      </c>
      <c r="Q419">
        <v>3160</v>
      </c>
      <c r="R419" t="s">
        <v>6067</v>
      </c>
    </row>
    <row r="420" spans="1:19" ht="14.25" customHeight="1" x14ac:dyDescent="0.3">
      <c r="A420" t="s">
        <v>629</v>
      </c>
      <c r="B420" t="s">
        <v>15</v>
      </c>
      <c r="C420" t="s">
        <v>95</v>
      </c>
      <c r="D420" t="s">
        <v>10</v>
      </c>
      <c r="E420" t="s">
        <v>1270</v>
      </c>
      <c r="F420" t="s">
        <v>6059</v>
      </c>
      <c r="G420" s="2" t="str">
        <f>HYPERLINK("https://www.facebook.com/762053551/posts/10156366210158552?comment_id=10156366226198552")</f>
        <v>https://www.facebook.com/762053551/posts/10156366210158552?comment_id=10156366226198552</v>
      </c>
      <c r="H420" t="s">
        <v>6062</v>
      </c>
      <c r="I420" t="s">
        <v>1271</v>
      </c>
      <c r="J420" s="2" t="str">
        <f>HYPERLINK("https://www.facebook.com/100000485106868")</f>
        <v>https://www.facebook.com/100000485106868</v>
      </c>
      <c r="K420">
        <v>75</v>
      </c>
      <c r="L420" t="s">
        <v>6063</v>
      </c>
      <c r="N420" t="s">
        <v>13</v>
      </c>
      <c r="O420" t="s">
        <v>14</v>
      </c>
      <c r="P420" s="2" t="str">
        <f>HYPERLINK("https://www.facebook.com/762053551")</f>
        <v>https://www.facebook.com/762053551</v>
      </c>
      <c r="Q420">
        <v>102347</v>
      </c>
      <c r="R420" t="s">
        <v>6067</v>
      </c>
      <c r="S420" t="s">
        <v>6073</v>
      </c>
    </row>
    <row r="421" spans="1:19" ht="14.25" customHeight="1" x14ac:dyDescent="0.3">
      <c r="A421" t="s">
        <v>629</v>
      </c>
      <c r="B421" t="s">
        <v>373</v>
      </c>
      <c r="C421" t="s">
        <v>95</v>
      </c>
      <c r="D421" t="s">
        <v>370</v>
      </c>
      <c r="E421" t="s">
        <v>371</v>
      </c>
      <c r="F421" t="s">
        <v>6058</v>
      </c>
      <c r="G421" s="2" t="str">
        <f>HYPERLINK("https://www.facebook.com/100002780254180/posts/1242536985848965")</f>
        <v>https://www.facebook.com/100002780254180/posts/1242536985848965</v>
      </c>
      <c r="H421" t="s">
        <v>6062</v>
      </c>
      <c r="I421" t="s">
        <v>1666</v>
      </c>
      <c r="J421" s="2" t="str">
        <f>HYPERLINK("https://www.facebook.com/100002780254180")</f>
        <v>https://www.facebook.com/100002780254180</v>
      </c>
      <c r="K421">
        <v>882</v>
      </c>
      <c r="L421" t="s">
        <v>6063</v>
      </c>
      <c r="N421" t="s">
        <v>13</v>
      </c>
      <c r="O421" t="s">
        <v>1666</v>
      </c>
      <c r="P421" s="2" t="str">
        <f>HYPERLINK("https://www.facebook.com/100002780254180")</f>
        <v>https://www.facebook.com/100002780254180</v>
      </c>
      <c r="Q421">
        <v>882</v>
      </c>
      <c r="R421" t="s">
        <v>6067</v>
      </c>
      <c r="S421" t="s">
        <v>6073</v>
      </c>
    </row>
    <row r="422" spans="1:19" ht="14.25" customHeight="1" x14ac:dyDescent="0.3">
      <c r="A422" t="s">
        <v>2225</v>
      </c>
      <c r="B422" t="s">
        <v>307</v>
      </c>
      <c r="C422" t="s">
        <v>95</v>
      </c>
      <c r="D422" t="s">
        <v>1099</v>
      </c>
      <c r="E422" t="s">
        <v>3378</v>
      </c>
      <c r="F422" t="s">
        <v>6059</v>
      </c>
      <c r="G422" s="2" t="str">
        <f>HYPERLINK("https://www.facebook.com/100002489064006/posts/1666923993400553?comment_id=1666929350066684")</f>
        <v>https://www.facebook.com/100002489064006/posts/1666923993400553?comment_id=1666929350066684</v>
      </c>
      <c r="H422" t="s">
        <v>6062</v>
      </c>
      <c r="I422" t="s">
        <v>3379</v>
      </c>
      <c r="J422" s="2" t="str">
        <f>HYPERLINK("https://www.facebook.com/100001463648474")</f>
        <v>https://www.facebook.com/100001463648474</v>
      </c>
      <c r="K422">
        <v>1640</v>
      </c>
      <c r="L422" t="s">
        <v>6063</v>
      </c>
      <c r="N422" t="s">
        <v>13</v>
      </c>
      <c r="O422" t="s">
        <v>1101</v>
      </c>
      <c r="P422" s="2" t="str">
        <f>HYPERLINK("https://www.facebook.com/100002489064006")</f>
        <v>https://www.facebook.com/100002489064006</v>
      </c>
      <c r="Q422">
        <v>2089</v>
      </c>
      <c r="R422" t="s">
        <v>6067</v>
      </c>
      <c r="S422" t="s">
        <v>6073</v>
      </c>
    </row>
    <row r="423" spans="1:19" ht="14.25" customHeight="1" x14ac:dyDescent="0.3">
      <c r="A423" t="s">
        <v>629</v>
      </c>
      <c r="B423" t="s">
        <v>2050</v>
      </c>
      <c r="C423" t="s">
        <v>95</v>
      </c>
      <c r="D423" t="s">
        <v>853</v>
      </c>
      <c r="E423" t="s">
        <v>2051</v>
      </c>
      <c r="F423" t="s">
        <v>6059</v>
      </c>
      <c r="G423" s="2" t="str">
        <f>HYPERLINK("https://www.facebook.com/100008934274771/posts/1810262525948206?comment_id=1810469419260850")</f>
        <v>https://www.facebook.com/100008934274771/posts/1810262525948206?comment_id=1810469419260850</v>
      </c>
      <c r="H423" t="s">
        <v>6062</v>
      </c>
      <c r="I423" t="s">
        <v>2052</v>
      </c>
      <c r="J423" s="2" t="str">
        <f>HYPERLINK("https://www.facebook.com/1738453590")</f>
        <v>https://www.facebook.com/1738453590</v>
      </c>
      <c r="K423">
        <v>1252</v>
      </c>
      <c r="L423" t="s">
        <v>6063</v>
      </c>
      <c r="N423" t="s">
        <v>13</v>
      </c>
      <c r="O423" t="s">
        <v>856</v>
      </c>
      <c r="P423" s="2" t="str">
        <f>HYPERLINK("https://www.facebook.com/100008934274771")</f>
        <v>https://www.facebook.com/100008934274771</v>
      </c>
      <c r="Q423">
        <v>10395</v>
      </c>
      <c r="R423" t="s">
        <v>6067</v>
      </c>
      <c r="S423" t="s">
        <v>6073</v>
      </c>
    </row>
    <row r="424" spans="1:19" ht="14.25" customHeight="1" x14ac:dyDescent="0.3">
      <c r="A424" t="s">
        <v>2225</v>
      </c>
      <c r="B424" t="s">
        <v>129</v>
      </c>
      <c r="C424" t="s">
        <v>95</v>
      </c>
      <c r="D424" t="s">
        <v>1099</v>
      </c>
      <c r="E424" t="s">
        <v>3285</v>
      </c>
      <c r="F424" t="s">
        <v>6059</v>
      </c>
      <c r="G424" s="2" t="str">
        <f>HYPERLINK("https://www.facebook.com/100002489064006/posts/1666923993400553?comment_id=1667766943316258")</f>
        <v>https://www.facebook.com/100002489064006/posts/1666923993400553?comment_id=1667766943316258</v>
      </c>
      <c r="H424" t="s">
        <v>6062</v>
      </c>
      <c r="I424" t="s">
        <v>3286</v>
      </c>
      <c r="J424" s="2" t="str">
        <f>HYPERLINK("https://www.facebook.com/100000754761790")</f>
        <v>https://www.facebook.com/100000754761790</v>
      </c>
      <c r="K424">
        <v>36</v>
      </c>
      <c r="L424" t="s">
        <v>6063</v>
      </c>
      <c r="N424" t="s">
        <v>13</v>
      </c>
      <c r="O424" t="s">
        <v>1101</v>
      </c>
      <c r="P424" s="2" t="str">
        <f>HYPERLINK("https://www.facebook.com/100002489064006")</f>
        <v>https://www.facebook.com/100002489064006</v>
      </c>
      <c r="Q424">
        <v>2089</v>
      </c>
      <c r="R424" t="s">
        <v>6067</v>
      </c>
      <c r="S424" t="s">
        <v>6073</v>
      </c>
    </row>
    <row r="425" spans="1:19" ht="14.25" customHeight="1" x14ac:dyDescent="0.3">
      <c r="A425" t="s">
        <v>2225</v>
      </c>
      <c r="B425" t="s">
        <v>634</v>
      </c>
      <c r="C425" t="s">
        <v>95</v>
      </c>
      <c r="D425" t="s">
        <v>544</v>
      </c>
      <c r="E425" t="s">
        <v>545</v>
      </c>
      <c r="F425" t="s">
        <v>6058</v>
      </c>
      <c r="G425" s="2" t="str">
        <f>HYPERLINK("https://www.facebook.com/100000198999566/posts/2117956268220986")</f>
        <v>https://www.facebook.com/100000198999566/posts/2117956268220986</v>
      </c>
      <c r="H425" t="s">
        <v>6062</v>
      </c>
      <c r="I425" t="s">
        <v>2233</v>
      </c>
      <c r="J425" s="2" t="str">
        <f>HYPERLINK("https://www.facebook.com/100000198999566")</f>
        <v>https://www.facebook.com/100000198999566</v>
      </c>
      <c r="K425">
        <v>0</v>
      </c>
      <c r="L425" t="s">
        <v>6063</v>
      </c>
      <c r="N425" t="s">
        <v>13</v>
      </c>
      <c r="O425" t="s">
        <v>2233</v>
      </c>
      <c r="P425" s="2" t="str">
        <f>HYPERLINK("https://www.facebook.com/100000198999566")</f>
        <v>https://www.facebook.com/100000198999566</v>
      </c>
      <c r="Q425">
        <v>0</v>
      </c>
      <c r="R425" t="s">
        <v>6067</v>
      </c>
    </row>
    <row r="426" spans="1:19" ht="14.25" customHeight="1" x14ac:dyDescent="0.3">
      <c r="A426" t="s">
        <v>2225</v>
      </c>
      <c r="B426" t="s">
        <v>2685</v>
      </c>
      <c r="C426" t="s">
        <v>95</v>
      </c>
      <c r="D426" t="s">
        <v>544</v>
      </c>
      <c r="E426" t="s">
        <v>545</v>
      </c>
      <c r="F426" t="s">
        <v>6058</v>
      </c>
      <c r="G426" s="2" t="str">
        <f>HYPERLINK("https://www.facebook.com/100000038857720/posts/1862606000417344")</f>
        <v>https://www.facebook.com/100000038857720/posts/1862606000417344</v>
      </c>
      <c r="H426" t="s">
        <v>6062</v>
      </c>
      <c r="I426" t="s">
        <v>2687</v>
      </c>
      <c r="J426" s="2" t="str">
        <f>HYPERLINK("https://www.facebook.com/100000038857720")</f>
        <v>https://www.facebook.com/100000038857720</v>
      </c>
      <c r="K426">
        <v>5</v>
      </c>
      <c r="L426" t="s">
        <v>6063</v>
      </c>
      <c r="N426" t="s">
        <v>13</v>
      </c>
      <c r="O426" t="s">
        <v>2687</v>
      </c>
      <c r="P426" s="2" t="str">
        <f>HYPERLINK("https://www.facebook.com/100000038857720")</f>
        <v>https://www.facebook.com/100000038857720</v>
      </c>
      <c r="Q426">
        <v>5</v>
      </c>
      <c r="R426" t="s">
        <v>6067</v>
      </c>
    </row>
    <row r="427" spans="1:19" ht="14.25" customHeight="1" x14ac:dyDescent="0.3">
      <c r="A427" t="s">
        <v>629</v>
      </c>
      <c r="B427" t="s">
        <v>2191</v>
      </c>
      <c r="C427" t="s">
        <v>95</v>
      </c>
      <c r="D427" t="s">
        <v>2192</v>
      </c>
      <c r="E427" t="s">
        <v>2193</v>
      </c>
      <c r="F427" t="s">
        <v>6059</v>
      </c>
      <c r="G427" s="2" t="str">
        <f>HYPERLINK("https://www.facebook.com/503460458/posts/10160120240745459?comment_id=10160120266025459")</f>
        <v>https://www.facebook.com/503460458/posts/10160120240745459?comment_id=10160120266025459</v>
      </c>
      <c r="H427" t="s">
        <v>6062</v>
      </c>
      <c r="I427" t="s">
        <v>2194</v>
      </c>
      <c r="J427" s="2" t="str">
        <f>HYPERLINK("https://www.facebook.com/100000014262527")</f>
        <v>https://www.facebook.com/100000014262527</v>
      </c>
      <c r="K427">
        <v>0</v>
      </c>
      <c r="L427" t="s">
        <v>6063</v>
      </c>
      <c r="N427" t="s">
        <v>13</v>
      </c>
      <c r="O427" t="s">
        <v>2195</v>
      </c>
      <c r="P427" s="2" t="str">
        <f>HYPERLINK("https://www.facebook.com/503460458")</f>
        <v>https://www.facebook.com/503460458</v>
      </c>
      <c r="Q427">
        <v>0</v>
      </c>
      <c r="R427" t="s">
        <v>6067</v>
      </c>
      <c r="S427" t="s">
        <v>6073</v>
      </c>
    </row>
    <row r="428" spans="1:19" ht="14.25" customHeight="1" x14ac:dyDescent="0.3">
      <c r="A428" t="s">
        <v>629</v>
      </c>
      <c r="B428" t="s">
        <v>65</v>
      </c>
      <c r="C428" t="s">
        <v>95</v>
      </c>
      <c r="D428" t="s">
        <v>667</v>
      </c>
      <c r="E428" t="s">
        <v>668</v>
      </c>
      <c r="F428" t="s">
        <v>6058</v>
      </c>
      <c r="G428" s="2" t="str">
        <f>HYPERLINK("https://www.facebook.com/100007254283551/posts/2034337860151337")</f>
        <v>https://www.facebook.com/100007254283551/posts/2034337860151337</v>
      </c>
      <c r="H428" t="s">
        <v>6062</v>
      </c>
      <c r="I428" t="s">
        <v>1336</v>
      </c>
      <c r="J428" s="2" t="str">
        <f>HYPERLINK("https://www.facebook.com/100007254283551")</f>
        <v>https://www.facebook.com/100007254283551</v>
      </c>
      <c r="K428">
        <v>100</v>
      </c>
      <c r="L428" t="s">
        <v>6063</v>
      </c>
      <c r="N428" t="s">
        <v>13</v>
      </c>
      <c r="O428" t="s">
        <v>1336</v>
      </c>
      <c r="P428" s="2" t="str">
        <f>HYPERLINK("https://www.facebook.com/100007254283551")</f>
        <v>https://www.facebook.com/100007254283551</v>
      </c>
      <c r="Q428">
        <v>100</v>
      </c>
      <c r="R428" t="s">
        <v>6067</v>
      </c>
      <c r="S428" t="s">
        <v>6073</v>
      </c>
    </row>
    <row r="429" spans="1:19" ht="14.25" customHeight="1" x14ac:dyDescent="0.3">
      <c r="A429" t="s">
        <v>5409</v>
      </c>
      <c r="B429" t="s">
        <v>4016</v>
      </c>
      <c r="C429" t="s">
        <v>3538</v>
      </c>
      <c r="D429" t="s">
        <v>5117</v>
      </c>
      <c r="E429" t="s">
        <v>5605</v>
      </c>
      <c r="F429" t="s">
        <v>6059</v>
      </c>
      <c r="G429" s="2" t="str">
        <f>HYPERLINK("https://www.facebook.com/100008916314935/posts/1781863062120887?comment_id=1781870425453484")</f>
        <v>https://www.facebook.com/100008916314935/posts/1781863062120887?comment_id=1781870425453484</v>
      </c>
      <c r="H429" t="s">
        <v>6062</v>
      </c>
      <c r="I429" t="s">
        <v>5606</v>
      </c>
      <c r="J429" s="2" t="str">
        <f>HYPERLINK("https://www.facebook.com/100001472073976")</f>
        <v>https://www.facebook.com/100001472073976</v>
      </c>
      <c r="K429">
        <v>601</v>
      </c>
      <c r="L429" t="s">
        <v>6063</v>
      </c>
      <c r="N429" t="s">
        <v>13</v>
      </c>
      <c r="O429" t="s">
        <v>5120</v>
      </c>
      <c r="P429" s="2" t="str">
        <f>HYPERLINK("https://www.facebook.com/100008916314935")</f>
        <v>https://www.facebook.com/100008916314935</v>
      </c>
      <c r="Q429">
        <v>82</v>
      </c>
      <c r="R429" t="s">
        <v>6067</v>
      </c>
      <c r="S429" t="s">
        <v>6073</v>
      </c>
    </row>
    <row r="430" spans="1:19" ht="14.25" customHeight="1" x14ac:dyDescent="0.3">
      <c r="A430" t="s">
        <v>5409</v>
      </c>
      <c r="B430" t="s">
        <v>1001</v>
      </c>
      <c r="C430" t="s">
        <v>3538</v>
      </c>
      <c r="D430" t="s">
        <v>5117</v>
      </c>
      <c r="E430" t="s">
        <v>5624</v>
      </c>
      <c r="F430" t="s">
        <v>6059</v>
      </c>
      <c r="G430" s="2" t="str">
        <f>HYPERLINK("https://www.facebook.com/100008916314935/posts/1781863062120887?comment_id=1781863708787489")</f>
        <v>https://www.facebook.com/100008916314935/posts/1781863062120887?comment_id=1781863708787489</v>
      </c>
      <c r="H430" t="s">
        <v>6062</v>
      </c>
      <c r="I430" t="s">
        <v>5606</v>
      </c>
      <c r="J430" s="2" t="str">
        <f>HYPERLINK("https://www.facebook.com/100001472073976")</f>
        <v>https://www.facebook.com/100001472073976</v>
      </c>
      <c r="K430">
        <v>601</v>
      </c>
      <c r="L430" t="s">
        <v>6063</v>
      </c>
      <c r="N430" t="s">
        <v>13</v>
      </c>
      <c r="O430" t="s">
        <v>5120</v>
      </c>
      <c r="P430" s="2" t="str">
        <f>HYPERLINK("https://www.facebook.com/100008916314935")</f>
        <v>https://www.facebook.com/100008916314935</v>
      </c>
      <c r="Q430">
        <v>82</v>
      </c>
      <c r="R430" t="s">
        <v>6067</v>
      </c>
      <c r="S430" t="s">
        <v>6073</v>
      </c>
    </row>
    <row r="431" spans="1:19" ht="14.25" customHeight="1" x14ac:dyDescent="0.3">
      <c r="A431" t="s">
        <v>5409</v>
      </c>
      <c r="B431" t="s">
        <v>997</v>
      </c>
      <c r="C431" t="s">
        <v>3538</v>
      </c>
      <c r="D431" t="s">
        <v>5117</v>
      </c>
      <c r="E431" t="s">
        <v>5619</v>
      </c>
      <c r="F431" t="s">
        <v>6059</v>
      </c>
      <c r="G431" s="2" t="str">
        <f>HYPERLINK("https://www.facebook.com/100008916314935/posts/1781863062120887?comment_id=1781863985454128")</f>
        <v>https://www.facebook.com/100008916314935/posts/1781863062120887?comment_id=1781863985454128</v>
      </c>
      <c r="H431" t="s">
        <v>6062</v>
      </c>
      <c r="I431" t="s">
        <v>5606</v>
      </c>
      <c r="J431" s="2" t="str">
        <f>HYPERLINK("https://www.facebook.com/100001472073976")</f>
        <v>https://www.facebook.com/100001472073976</v>
      </c>
      <c r="K431">
        <v>601</v>
      </c>
      <c r="L431" t="s">
        <v>6063</v>
      </c>
      <c r="N431" t="s">
        <v>13</v>
      </c>
      <c r="O431" t="s">
        <v>5120</v>
      </c>
      <c r="P431" s="2" t="str">
        <f>HYPERLINK("https://www.facebook.com/100008916314935")</f>
        <v>https://www.facebook.com/100008916314935</v>
      </c>
      <c r="Q431">
        <v>82</v>
      </c>
      <c r="R431" t="s">
        <v>6067</v>
      </c>
      <c r="S431" t="s">
        <v>6073</v>
      </c>
    </row>
    <row r="432" spans="1:19" ht="14.25" customHeight="1" x14ac:dyDescent="0.3">
      <c r="A432" t="s">
        <v>629</v>
      </c>
      <c r="B432" t="s">
        <v>1160</v>
      </c>
      <c r="C432" t="s">
        <v>95</v>
      </c>
      <c r="D432" t="s">
        <v>10</v>
      </c>
      <c r="E432" t="s">
        <v>1162</v>
      </c>
      <c r="F432" t="s">
        <v>6059</v>
      </c>
      <c r="G432" s="2" t="str">
        <f>HYPERLINK("https://www.facebook.com/762053551/posts/10156366210158552?comment_id=10156366273533552")</f>
        <v>https://www.facebook.com/762053551/posts/10156366210158552?comment_id=10156366273533552</v>
      </c>
      <c r="H432" t="s">
        <v>6062</v>
      </c>
      <c r="I432" t="s">
        <v>1163</v>
      </c>
      <c r="J432" s="2" t="str">
        <f>HYPERLINK("https://www.facebook.com/100001888882660")</f>
        <v>https://www.facebook.com/100001888882660</v>
      </c>
      <c r="K432">
        <v>0</v>
      </c>
      <c r="L432" t="s">
        <v>6064</v>
      </c>
      <c r="N432" t="s">
        <v>13</v>
      </c>
      <c r="O432" t="s">
        <v>14</v>
      </c>
      <c r="P432" s="2" t="str">
        <f>HYPERLINK("https://www.facebook.com/762053551")</f>
        <v>https://www.facebook.com/762053551</v>
      </c>
      <c r="Q432">
        <v>102347</v>
      </c>
      <c r="R432" t="s">
        <v>6067</v>
      </c>
      <c r="S432" t="s">
        <v>6073</v>
      </c>
    </row>
    <row r="433" spans="1:19" ht="14.25" customHeight="1" x14ac:dyDescent="0.3">
      <c r="A433" t="s">
        <v>629</v>
      </c>
      <c r="B433" t="s">
        <v>1188</v>
      </c>
      <c r="C433" t="s">
        <v>95</v>
      </c>
      <c r="D433" t="s">
        <v>10</v>
      </c>
      <c r="E433" t="s">
        <v>1189</v>
      </c>
      <c r="F433" t="s">
        <v>6059</v>
      </c>
      <c r="G433" s="2" t="str">
        <f>HYPERLINK("https://www.facebook.com/762053551/posts/10156366210158552?comment_id=10156366257613552")</f>
        <v>https://www.facebook.com/762053551/posts/10156366210158552?comment_id=10156366257613552</v>
      </c>
      <c r="H433" t="s">
        <v>6062</v>
      </c>
      <c r="I433" t="s">
        <v>1163</v>
      </c>
      <c r="J433" s="2" t="str">
        <f>HYPERLINK("https://www.facebook.com/100001888882660")</f>
        <v>https://www.facebook.com/100001888882660</v>
      </c>
      <c r="K433">
        <v>0</v>
      </c>
      <c r="L433" t="s">
        <v>6064</v>
      </c>
      <c r="N433" t="s">
        <v>13</v>
      </c>
      <c r="O433" t="s">
        <v>14</v>
      </c>
      <c r="P433" s="2" t="str">
        <f>HYPERLINK("https://www.facebook.com/762053551")</f>
        <v>https://www.facebook.com/762053551</v>
      </c>
      <c r="Q433">
        <v>102347</v>
      </c>
      <c r="R433" t="s">
        <v>6067</v>
      </c>
      <c r="S433" t="s">
        <v>6073</v>
      </c>
    </row>
    <row r="434" spans="1:19" ht="14.25" customHeight="1" x14ac:dyDescent="0.3">
      <c r="A434" t="s">
        <v>5409</v>
      </c>
      <c r="B434" t="s">
        <v>6009</v>
      </c>
      <c r="C434" t="s">
        <v>3538</v>
      </c>
      <c r="D434" t="s">
        <v>5442</v>
      </c>
      <c r="E434" t="s">
        <v>5592</v>
      </c>
      <c r="F434" t="s">
        <v>6058</v>
      </c>
      <c r="G434" s="2" t="str">
        <f>HYPERLINK("https://www.facebook.com/100004642268508/posts/1036643869833679")</f>
        <v>https://www.facebook.com/100004642268508/posts/1036643869833679</v>
      </c>
      <c r="H434" t="s">
        <v>6062</v>
      </c>
      <c r="I434" t="s">
        <v>6010</v>
      </c>
      <c r="J434" s="2" t="str">
        <f>HYPERLINK("https://www.facebook.com/100004642268508")</f>
        <v>https://www.facebook.com/100004642268508</v>
      </c>
      <c r="K434">
        <v>1993</v>
      </c>
      <c r="L434" t="s">
        <v>6064</v>
      </c>
      <c r="N434" t="s">
        <v>13</v>
      </c>
      <c r="O434" t="s">
        <v>6010</v>
      </c>
      <c r="P434" s="2" t="str">
        <f>HYPERLINK("https://www.facebook.com/100004642268508")</f>
        <v>https://www.facebook.com/100004642268508</v>
      </c>
      <c r="Q434">
        <v>1993</v>
      </c>
      <c r="R434" t="s">
        <v>6067</v>
      </c>
      <c r="S434" t="s">
        <v>6073</v>
      </c>
    </row>
    <row r="435" spans="1:19" ht="14.25" customHeight="1" x14ac:dyDescent="0.3">
      <c r="A435" t="s">
        <v>4995</v>
      </c>
      <c r="B435" t="s">
        <v>1043</v>
      </c>
      <c r="C435" t="s">
        <v>3538</v>
      </c>
      <c r="D435" t="s">
        <v>5017</v>
      </c>
      <c r="E435" t="s">
        <v>5018</v>
      </c>
      <c r="F435" t="s">
        <v>6058</v>
      </c>
      <c r="G435" s="2" t="str">
        <f>HYPERLINK("https://www.facebook.com/100001810490175/posts/1810857708984561")</f>
        <v>https://www.facebook.com/100001810490175/posts/1810857708984561</v>
      </c>
      <c r="H435" t="s">
        <v>6062</v>
      </c>
      <c r="I435" t="s">
        <v>5161</v>
      </c>
      <c r="J435" s="2" t="str">
        <f>HYPERLINK("https://www.facebook.com/100001810490175")</f>
        <v>https://www.facebook.com/100001810490175</v>
      </c>
      <c r="K435">
        <v>1082</v>
      </c>
      <c r="L435" t="s">
        <v>6064</v>
      </c>
      <c r="N435" t="s">
        <v>13</v>
      </c>
      <c r="O435" t="s">
        <v>5161</v>
      </c>
      <c r="P435" s="2" t="str">
        <f>HYPERLINK("https://www.facebook.com/100001810490175")</f>
        <v>https://www.facebook.com/100001810490175</v>
      </c>
      <c r="Q435">
        <v>1082</v>
      </c>
      <c r="R435" t="s">
        <v>6067</v>
      </c>
      <c r="S435" t="s">
        <v>6073</v>
      </c>
    </row>
    <row r="436" spans="1:19" ht="14.25" customHeight="1" x14ac:dyDescent="0.3">
      <c r="A436" t="s">
        <v>4439</v>
      </c>
      <c r="B436" t="s">
        <v>2702</v>
      </c>
      <c r="C436" t="s">
        <v>3538</v>
      </c>
      <c r="D436" t="s">
        <v>4171</v>
      </c>
      <c r="E436" t="s">
        <v>4172</v>
      </c>
      <c r="F436" t="s">
        <v>6058</v>
      </c>
      <c r="G436" s="2" t="str">
        <f>HYPERLINK("https://www.facebook.com/100007298550248/posts/2013559965563936")</f>
        <v>https://www.facebook.com/100007298550248/posts/2013559965563936</v>
      </c>
      <c r="H436" t="s">
        <v>6062</v>
      </c>
      <c r="I436" t="s">
        <v>765</v>
      </c>
      <c r="J436" s="2" t="str">
        <f>HYPERLINK("https://www.facebook.com/100007298550248")</f>
        <v>https://www.facebook.com/100007298550248</v>
      </c>
      <c r="K436">
        <v>4993</v>
      </c>
      <c r="L436" t="s">
        <v>6064</v>
      </c>
      <c r="N436" t="s">
        <v>13</v>
      </c>
      <c r="O436" t="s">
        <v>765</v>
      </c>
      <c r="P436" s="2" t="str">
        <f>HYPERLINK("https://www.facebook.com/100007298550248")</f>
        <v>https://www.facebook.com/100007298550248</v>
      </c>
      <c r="Q436">
        <v>4993</v>
      </c>
      <c r="R436" t="s">
        <v>6067</v>
      </c>
      <c r="S436" t="s">
        <v>6073</v>
      </c>
    </row>
    <row r="437" spans="1:19" ht="14.25" customHeight="1" x14ac:dyDescent="0.3">
      <c r="A437" t="s">
        <v>2225</v>
      </c>
      <c r="B437" t="s">
        <v>764</v>
      </c>
      <c r="C437" t="s">
        <v>95</v>
      </c>
      <c r="D437" t="s">
        <v>544</v>
      </c>
      <c r="E437" t="s">
        <v>545</v>
      </c>
      <c r="F437" t="s">
        <v>6058</v>
      </c>
      <c r="G437" s="2" t="str">
        <f>HYPERLINK("https://www.facebook.com/100007298550248/posts/2014497642136835")</f>
        <v>https://www.facebook.com/100007298550248/posts/2014497642136835</v>
      </c>
      <c r="H437" t="s">
        <v>6062</v>
      </c>
      <c r="I437" t="s">
        <v>765</v>
      </c>
      <c r="J437" s="2" t="str">
        <f>HYPERLINK("https://www.facebook.com/100007298550248")</f>
        <v>https://www.facebook.com/100007298550248</v>
      </c>
      <c r="K437">
        <v>4993</v>
      </c>
      <c r="L437" t="s">
        <v>6064</v>
      </c>
      <c r="N437" t="s">
        <v>13</v>
      </c>
      <c r="O437" t="s">
        <v>765</v>
      </c>
      <c r="P437" s="2" t="str">
        <f>HYPERLINK("https://www.facebook.com/100007298550248")</f>
        <v>https://www.facebook.com/100007298550248</v>
      </c>
      <c r="Q437">
        <v>4993</v>
      </c>
      <c r="R437" t="s">
        <v>6067</v>
      </c>
      <c r="S437" t="s">
        <v>6073</v>
      </c>
    </row>
    <row r="438" spans="1:19" ht="14.25" customHeight="1" x14ac:dyDescent="0.3">
      <c r="A438" t="s">
        <v>629</v>
      </c>
      <c r="B438" t="s">
        <v>764</v>
      </c>
      <c r="C438" t="s">
        <v>95</v>
      </c>
      <c r="D438" t="s">
        <v>370</v>
      </c>
      <c r="E438" t="s">
        <v>371</v>
      </c>
      <c r="F438" t="s">
        <v>6058</v>
      </c>
      <c r="G438" s="2" t="str">
        <f>HYPERLINK("https://www.facebook.com/100007298550248/posts/2014970765422856")</f>
        <v>https://www.facebook.com/100007298550248/posts/2014970765422856</v>
      </c>
      <c r="H438" t="s">
        <v>6062</v>
      </c>
      <c r="I438" t="s">
        <v>765</v>
      </c>
      <c r="J438" s="2" t="str">
        <f>HYPERLINK("https://www.facebook.com/100007298550248")</f>
        <v>https://www.facebook.com/100007298550248</v>
      </c>
      <c r="K438">
        <v>4993</v>
      </c>
      <c r="L438" t="s">
        <v>6064</v>
      </c>
      <c r="N438" t="s">
        <v>13</v>
      </c>
      <c r="O438" t="s">
        <v>765</v>
      </c>
      <c r="P438" s="2" t="str">
        <f>HYPERLINK("https://www.facebook.com/100007298550248")</f>
        <v>https://www.facebook.com/100007298550248</v>
      </c>
      <c r="Q438">
        <v>4993</v>
      </c>
      <c r="R438" t="s">
        <v>6067</v>
      </c>
      <c r="S438" t="s">
        <v>6073</v>
      </c>
    </row>
    <row r="439" spans="1:19" ht="14.25" customHeight="1" x14ac:dyDescent="0.3">
      <c r="A439" t="s">
        <v>629</v>
      </c>
      <c r="B439" t="s">
        <v>1909</v>
      </c>
      <c r="C439" t="s">
        <v>95</v>
      </c>
      <c r="D439" t="s">
        <v>370</v>
      </c>
      <c r="E439" t="s">
        <v>371</v>
      </c>
      <c r="F439" t="s">
        <v>6058</v>
      </c>
      <c r="G439" s="2" t="str">
        <f>HYPERLINK("https://www.facebook.com/100007298550248/posts/2014720582114541")</f>
        <v>https://www.facebook.com/100007298550248/posts/2014720582114541</v>
      </c>
      <c r="H439" t="s">
        <v>6062</v>
      </c>
      <c r="I439" t="s">
        <v>765</v>
      </c>
      <c r="J439" s="2" t="str">
        <f>HYPERLINK("https://www.facebook.com/100007298550248")</f>
        <v>https://www.facebook.com/100007298550248</v>
      </c>
      <c r="K439">
        <v>4993</v>
      </c>
      <c r="L439" t="s">
        <v>6064</v>
      </c>
      <c r="N439" t="s">
        <v>13</v>
      </c>
      <c r="O439" t="s">
        <v>765</v>
      </c>
      <c r="P439" s="2" t="str">
        <f>HYPERLINK("https://www.facebook.com/100007298550248")</f>
        <v>https://www.facebook.com/100007298550248</v>
      </c>
      <c r="Q439">
        <v>4993</v>
      </c>
      <c r="R439" t="s">
        <v>6067</v>
      </c>
      <c r="S439" t="s">
        <v>6073</v>
      </c>
    </row>
    <row r="440" spans="1:19" ht="14.25" customHeight="1" x14ac:dyDescent="0.3">
      <c r="A440" t="s">
        <v>629</v>
      </c>
      <c r="B440" t="s">
        <v>1679</v>
      </c>
      <c r="C440" t="s">
        <v>95</v>
      </c>
      <c r="D440" t="s">
        <v>370</v>
      </c>
      <c r="E440" t="s">
        <v>371</v>
      </c>
      <c r="F440" t="s">
        <v>6058</v>
      </c>
      <c r="G440" s="2" t="str">
        <f>HYPERLINK("https://www.facebook.com/100002152937609/posts/1623656911049391")</f>
        <v>https://www.facebook.com/100002152937609/posts/1623656911049391</v>
      </c>
      <c r="H440" t="s">
        <v>6062</v>
      </c>
      <c r="I440" t="s">
        <v>1680</v>
      </c>
      <c r="J440" s="2" t="str">
        <f>HYPERLINK("https://www.facebook.com/100002152937609")</f>
        <v>https://www.facebook.com/100002152937609</v>
      </c>
      <c r="K440">
        <v>0</v>
      </c>
      <c r="L440" t="s">
        <v>6064</v>
      </c>
      <c r="N440" t="s">
        <v>13</v>
      </c>
      <c r="O440" t="s">
        <v>1680</v>
      </c>
      <c r="P440" s="2" t="str">
        <f>HYPERLINK("https://www.facebook.com/100002152937609")</f>
        <v>https://www.facebook.com/100002152937609</v>
      </c>
      <c r="Q440">
        <v>0</v>
      </c>
      <c r="R440" t="s">
        <v>6067</v>
      </c>
    </row>
    <row r="441" spans="1:19" ht="14.25" customHeight="1" x14ac:dyDescent="0.3">
      <c r="A441" t="s">
        <v>629</v>
      </c>
      <c r="B441" t="s">
        <v>1573</v>
      </c>
      <c r="C441" t="s">
        <v>95</v>
      </c>
      <c r="D441" t="s">
        <v>1056</v>
      </c>
      <c r="E441" t="s">
        <v>1057</v>
      </c>
      <c r="F441" t="s">
        <v>6058</v>
      </c>
      <c r="G441" s="2" t="str">
        <f>HYPERLINK("https://www.facebook.com/100008223799229/posts/2080960445521395")</f>
        <v>https://www.facebook.com/100008223799229/posts/2080960445521395</v>
      </c>
      <c r="H441" t="s">
        <v>6062</v>
      </c>
      <c r="I441" t="s">
        <v>1576</v>
      </c>
      <c r="J441" s="2" t="str">
        <f>HYPERLINK("https://www.facebook.com/100008223799229")</f>
        <v>https://www.facebook.com/100008223799229</v>
      </c>
      <c r="K441">
        <v>70</v>
      </c>
      <c r="L441" t="s">
        <v>6064</v>
      </c>
      <c r="N441" t="s">
        <v>13</v>
      </c>
      <c r="O441" t="s">
        <v>1576</v>
      </c>
      <c r="P441" s="2" t="str">
        <f>HYPERLINK("https://www.facebook.com/100008223799229")</f>
        <v>https://www.facebook.com/100008223799229</v>
      </c>
      <c r="Q441">
        <v>70</v>
      </c>
      <c r="R441" t="s">
        <v>6067</v>
      </c>
      <c r="S441" t="s">
        <v>6073</v>
      </c>
    </row>
    <row r="442" spans="1:19" ht="14.25" customHeight="1" x14ac:dyDescent="0.3">
      <c r="A442" t="s">
        <v>4995</v>
      </c>
      <c r="B442" t="s">
        <v>5012</v>
      </c>
      <c r="C442" t="s">
        <v>3538</v>
      </c>
      <c r="D442" t="s">
        <v>508</v>
      </c>
      <c r="E442" t="s">
        <v>509</v>
      </c>
      <c r="F442" t="s">
        <v>6058</v>
      </c>
      <c r="G442" s="2" t="str">
        <f>HYPERLINK("https://www.facebook.com/100006300997925/posts/2111121159107897")</f>
        <v>https://www.facebook.com/100006300997925/posts/2111121159107897</v>
      </c>
      <c r="H442" t="s">
        <v>6062</v>
      </c>
      <c r="I442" t="s">
        <v>5013</v>
      </c>
      <c r="J442" s="2" t="str">
        <f>HYPERLINK("https://www.facebook.com/100006300997925")</f>
        <v>https://www.facebook.com/100006300997925</v>
      </c>
      <c r="K442">
        <v>131</v>
      </c>
      <c r="L442" t="s">
        <v>6064</v>
      </c>
      <c r="N442" t="s">
        <v>13</v>
      </c>
      <c r="O442" t="s">
        <v>5013</v>
      </c>
      <c r="P442" s="2" t="str">
        <f>HYPERLINK("https://www.facebook.com/100006300997925")</f>
        <v>https://www.facebook.com/100006300997925</v>
      </c>
      <c r="Q442">
        <v>131</v>
      </c>
      <c r="R442" t="s">
        <v>6067</v>
      </c>
      <c r="S442" t="s">
        <v>6073</v>
      </c>
    </row>
    <row r="443" spans="1:19" ht="14.25" customHeight="1" x14ac:dyDescent="0.3">
      <c r="A443" t="s">
        <v>4995</v>
      </c>
      <c r="B443" t="s">
        <v>5012</v>
      </c>
      <c r="C443" t="s">
        <v>3538</v>
      </c>
      <c r="D443" t="s">
        <v>508</v>
      </c>
      <c r="E443" t="s">
        <v>509</v>
      </c>
      <c r="F443" t="s">
        <v>6058</v>
      </c>
      <c r="G443" s="2" t="str">
        <f>HYPERLINK("https://www.facebook.com/100006300997925/posts/2111121155774564")</f>
        <v>https://www.facebook.com/100006300997925/posts/2111121155774564</v>
      </c>
      <c r="H443" t="s">
        <v>6062</v>
      </c>
      <c r="I443" t="s">
        <v>5013</v>
      </c>
      <c r="J443" s="2" t="str">
        <f>HYPERLINK("https://www.facebook.com/100006300997925")</f>
        <v>https://www.facebook.com/100006300997925</v>
      </c>
      <c r="K443">
        <v>131</v>
      </c>
      <c r="L443" t="s">
        <v>6064</v>
      </c>
      <c r="N443" t="s">
        <v>13</v>
      </c>
      <c r="O443" t="s">
        <v>5013</v>
      </c>
      <c r="P443" s="2" t="str">
        <f>HYPERLINK("https://www.facebook.com/100006300997925")</f>
        <v>https://www.facebook.com/100006300997925</v>
      </c>
      <c r="Q443">
        <v>131</v>
      </c>
      <c r="R443" t="s">
        <v>6067</v>
      </c>
      <c r="S443" t="s">
        <v>6073</v>
      </c>
    </row>
    <row r="444" spans="1:19" ht="14.25" customHeight="1" x14ac:dyDescent="0.3">
      <c r="A444" t="s">
        <v>4995</v>
      </c>
      <c r="B444" t="s">
        <v>5012</v>
      </c>
      <c r="C444" t="s">
        <v>3538</v>
      </c>
      <c r="D444" t="s">
        <v>508</v>
      </c>
      <c r="E444" t="s">
        <v>509</v>
      </c>
      <c r="F444" t="s">
        <v>6058</v>
      </c>
      <c r="G444" s="2" t="str">
        <f>HYPERLINK("https://www.facebook.com/100006300997925/posts/2111121082441238")</f>
        <v>https://www.facebook.com/100006300997925/posts/2111121082441238</v>
      </c>
      <c r="H444" t="s">
        <v>6062</v>
      </c>
      <c r="I444" t="s">
        <v>5013</v>
      </c>
      <c r="J444" s="2" t="str">
        <f>HYPERLINK("https://www.facebook.com/100006300997925")</f>
        <v>https://www.facebook.com/100006300997925</v>
      </c>
      <c r="K444">
        <v>131</v>
      </c>
      <c r="L444" t="s">
        <v>6064</v>
      </c>
      <c r="N444" t="s">
        <v>13</v>
      </c>
      <c r="O444" t="s">
        <v>5013</v>
      </c>
      <c r="P444" s="2" t="str">
        <f>HYPERLINK("https://www.facebook.com/100006300997925")</f>
        <v>https://www.facebook.com/100006300997925</v>
      </c>
      <c r="Q444">
        <v>131</v>
      </c>
      <c r="R444" t="s">
        <v>6067</v>
      </c>
      <c r="S444" t="s">
        <v>6073</v>
      </c>
    </row>
    <row r="445" spans="1:19" ht="14.25" customHeight="1" x14ac:dyDescent="0.3">
      <c r="A445" t="s">
        <v>4995</v>
      </c>
      <c r="B445" t="s">
        <v>5012</v>
      </c>
      <c r="C445" t="s">
        <v>3538</v>
      </c>
      <c r="D445" t="s">
        <v>508</v>
      </c>
      <c r="E445" t="s">
        <v>509</v>
      </c>
      <c r="F445" t="s">
        <v>6058</v>
      </c>
      <c r="G445" s="2" t="str">
        <f>HYPERLINK("https://www.facebook.com/100006300997925/posts/2111121089107904")</f>
        <v>https://www.facebook.com/100006300997925/posts/2111121089107904</v>
      </c>
      <c r="H445" t="s">
        <v>6062</v>
      </c>
      <c r="I445" t="s">
        <v>5013</v>
      </c>
      <c r="J445" s="2" t="str">
        <f>HYPERLINK("https://www.facebook.com/100006300997925")</f>
        <v>https://www.facebook.com/100006300997925</v>
      </c>
      <c r="K445">
        <v>131</v>
      </c>
      <c r="L445" t="s">
        <v>6064</v>
      </c>
      <c r="N445" t="s">
        <v>13</v>
      </c>
      <c r="O445" t="s">
        <v>5013</v>
      </c>
      <c r="P445" s="2" t="str">
        <f>HYPERLINK("https://www.facebook.com/100006300997925")</f>
        <v>https://www.facebook.com/100006300997925</v>
      </c>
      <c r="Q445">
        <v>131</v>
      </c>
      <c r="R445" t="s">
        <v>6067</v>
      </c>
      <c r="S445" t="s">
        <v>6073</v>
      </c>
    </row>
    <row r="446" spans="1:19" ht="14.25" customHeight="1" x14ac:dyDescent="0.3">
      <c r="A446" t="s">
        <v>4995</v>
      </c>
      <c r="B446" t="s">
        <v>1704</v>
      </c>
      <c r="C446" t="s">
        <v>3538</v>
      </c>
      <c r="D446" t="s">
        <v>512</v>
      </c>
      <c r="E446" t="s">
        <v>513</v>
      </c>
      <c r="F446" t="s">
        <v>6058</v>
      </c>
      <c r="G446" s="2" t="str">
        <f>HYPERLINK("https://www.facebook.com/100006300997925/posts/2110811829138830")</f>
        <v>https://www.facebook.com/100006300997925/posts/2110811829138830</v>
      </c>
      <c r="H446" t="s">
        <v>6062</v>
      </c>
      <c r="I446" t="s">
        <v>5013</v>
      </c>
      <c r="J446" s="2" t="str">
        <f>HYPERLINK("https://www.facebook.com/100006300997925")</f>
        <v>https://www.facebook.com/100006300997925</v>
      </c>
      <c r="K446">
        <v>131</v>
      </c>
      <c r="L446" t="s">
        <v>6064</v>
      </c>
      <c r="N446" t="s">
        <v>13</v>
      </c>
      <c r="O446" t="s">
        <v>5013</v>
      </c>
      <c r="P446" s="2" t="str">
        <f>HYPERLINK("https://www.facebook.com/100006300997925")</f>
        <v>https://www.facebook.com/100006300997925</v>
      </c>
      <c r="Q446">
        <v>131</v>
      </c>
      <c r="R446" t="s">
        <v>6067</v>
      </c>
      <c r="S446" t="s">
        <v>6073</v>
      </c>
    </row>
    <row r="447" spans="1:19" ht="14.25" customHeight="1" x14ac:dyDescent="0.3">
      <c r="A447" t="s">
        <v>5409</v>
      </c>
      <c r="B447" t="s">
        <v>1582</v>
      </c>
      <c r="C447" t="s">
        <v>3538</v>
      </c>
      <c r="D447" t="s">
        <v>4318</v>
      </c>
      <c r="E447" t="s">
        <v>5429</v>
      </c>
      <c r="F447" t="s">
        <v>6058</v>
      </c>
      <c r="G447" s="2" t="str">
        <f>HYPERLINK("https://www.facebook.com/100005209959549/posts/828650170651974")</f>
        <v>https://www.facebook.com/100005209959549/posts/828650170651974</v>
      </c>
      <c r="H447" t="s">
        <v>6062</v>
      </c>
      <c r="I447" t="s">
        <v>5825</v>
      </c>
      <c r="J447" s="2" t="str">
        <f>HYPERLINK("https://www.facebook.com/100005209959549")</f>
        <v>https://www.facebook.com/100005209959549</v>
      </c>
      <c r="K447">
        <v>26</v>
      </c>
      <c r="L447" t="s">
        <v>6064</v>
      </c>
      <c r="N447" t="s">
        <v>13</v>
      </c>
      <c r="O447" t="s">
        <v>5825</v>
      </c>
      <c r="P447" s="2" t="str">
        <f>HYPERLINK("https://www.facebook.com/100005209959549")</f>
        <v>https://www.facebook.com/100005209959549</v>
      </c>
      <c r="Q447">
        <v>26</v>
      </c>
      <c r="R447" t="s">
        <v>6067</v>
      </c>
      <c r="S447" t="s">
        <v>6073</v>
      </c>
    </row>
    <row r="448" spans="1:19" ht="14.25" customHeight="1" x14ac:dyDescent="0.3">
      <c r="A448" t="s">
        <v>5409</v>
      </c>
      <c r="B448" t="s">
        <v>1520</v>
      </c>
      <c r="C448" t="s">
        <v>3538</v>
      </c>
      <c r="D448" t="s">
        <v>4318</v>
      </c>
      <c r="E448" t="s">
        <v>5827</v>
      </c>
      <c r="F448" t="s">
        <v>6059</v>
      </c>
      <c r="G448" s="2" t="str">
        <f>HYPERLINK("https://www.facebook.com/100005209959549/posts/828650170651974?comment_id=828656807317977")</f>
        <v>https://www.facebook.com/100005209959549/posts/828650170651974?comment_id=828656807317977</v>
      </c>
      <c r="H448" t="s">
        <v>6062</v>
      </c>
      <c r="I448" t="s">
        <v>5825</v>
      </c>
      <c r="J448" s="2" t="str">
        <f>HYPERLINK("https://www.facebook.com/100005209959549")</f>
        <v>https://www.facebook.com/100005209959549</v>
      </c>
      <c r="K448">
        <v>26</v>
      </c>
      <c r="L448" t="s">
        <v>6064</v>
      </c>
      <c r="N448" t="s">
        <v>13</v>
      </c>
      <c r="O448" t="s">
        <v>5825</v>
      </c>
      <c r="P448" s="2" t="str">
        <f>HYPERLINK("https://www.facebook.com/100005209959549")</f>
        <v>https://www.facebook.com/100005209959549</v>
      </c>
      <c r="Q448">
        <v>26</v>
      </c>
      <c r="R448" t="s">
        <v>6067</v>
      </c>
      <c r="S448" t="s">
        <v>6073</v>
      </c>
    </row>
    <row r="449" spans="1:19" ht="14.25" customHeight="1" x14ac:dyDescent="0.3">
      <c r="A449" t="s">
        <v>3527</v>
      </c>
      <c r="B449" t="s">
        <v>329</v>
      </c>
      <c r="C449" t="s">
        <v>3538</v>
      </c>
      <c r="D449" t="s">
        <v>2942</v>
      </c>
      <c r="E449" t="s">
        <v>2943</v>
      </c>
      <c r="F449" t="s">
        <v>6058</v>
      </c>
      <c r="G449" s="2" t="str">
        <f>HYPERLINK("https://www.facebook.com/100005206266007/posts/817283301788538")</f>
        <v>https://www.facebook.com/100005206266007/posts/817283301788538</v>
      </c>
      <c r="H449" t="s">
        <v>6062</v>
      </c>
      <c r="I449" t="s">
        <v>4286</v>
      </c>
      <c r="J449" s="2" t="str">
        <f>HYPERLINK("https://www.facebook.com/100005206266007")</f>
        <v>https://www.facebook.com/100005206266007</v>
      </c>
      <c r="K449">
        <v>198</v>
      </c>
      <c r="L449" t="s">
        <v>6064</v>
      </c>
      <c r="N449" t="s">
        <v>13</v>
      </c>
      <c r="O449" t="s">
        <v>4286</v>
      </c>
      <c r="P449" s="2" t="str">
        <f>HYPERLINK("https://www.facebook.com/100005206266007")</f>
        <v>https://www.facebook.com/100005206266007</v>
      </c>
      <c r="Q449">
        <v>198</v>
      </c>
      <c r="R449" t="s">
        <v>6067</v>
      </c>
      <c r="S449" t="s">
        <v>6073</v>
      </c>
    </row>
    <row r="450" spans="1:19" ht="14.25" customHeight="1" x14ac:dyDescent="0.3">
      <c r="A450" t="s">
        <v>5409</v>
      </c>
      <c r="B450" t="s">
        <v>283</v>
      </c>
      <c r="C450" t="s">
        <v>3538</v>
      </c>
      <c r="D450" t="s">
        <v>2929</v>
      </c>
      <c r="E450" t="s">
        <v>5818</v>
      </c>
      <c r="F450" t="s">
        <v>6059</v>
      </c>
      <c r="G450" s="2" t="str">
        <f>HYPERLINK("https://www.facebook.com/100000560024798/posts/2021110571250924?comment_id=2022380474457267")</f>
        <v>https://www.facebook.com/100000560024798/posts/2021110571250924?comment_id=2022380474457267</v>
      </c>
      <c r="H450" t="s">
        <v>6062</v>
      </c>
      <c r="I450" t="s">
        <v>5819</v>
      </c>
      <c r="J450" s="2" t="str">
        <f>HYPERLINK("https://www.facebook.com/100003517547854")</f>
        <v>https://www.facebook.com/100003517547854</v>
      </c>
      <c r="K450">
        <v>54</v>
      </c>
      <c r="L450" t="s">
        <v>6064</v>
      </c>
      <c r="N450" t="s">
        <v>13</v>
      </c>
      <c r="O450" t="s">
        <v>2932</v>
      </c>
      <c r="P450" s="2" t="str">
        <f>HYPERLINK("https://www.facebook.com/100000560024798")</f>
        <v>https://www.facebook.com/100000560024798</v>
      </c>
      <c r="Q450">
        <v>31456</v>
      </c>
      <c r="R450" t="s">
        <v>6067</v>
      </c>
      <c r="S450" t="s">
        <v>6073</v>
      </c>
    </row>
    <row r="451" spans="1:19" ht="14.25" customHeight="1" x14ac:dyDescent="0.3">
      <c r="A451" t="s">
        <v>629</v>
      </c>
      <c r="B451" t="s">
        <v>795</v>
      </c>
      <c r="C451" t="s">
        <v>95</v>
      </c>
      <c r="D451" t="s">
        <v>696</v>
      </c>
      <c r="E451" t="s">
        <v>796</v>
      </c>
      <c r="F451" t="s">
        <v>6059</v>
      </c>
      <c r="G451" s="2" t="str">
        <f>HYPERLINK("https://www.facebook.com/1317328045/posts/10215843806670901?comment_id=10215844298283191")</f>
        <v>https://www.facebook.com/1317328045/posts/10215843806670901?comment_id=10215844298283191</v>
      </c>
      <c r="H451" t="s">
        <v>6062</v>
      </c>
      <c r="I451" t="s">
        <v>699</v>
      </c>
      <c r="J451" s="2" t="str">
        <f>HYPERLINK("https://www.facebook.com/1317328045")</f>
        <v>https://www.facebook.com/1317328045</v>
      </c>
      <c r="K451">
        <v>7075</v>
      </c>
      <c r="L451" t="s">
        <v>6064</v>
      </c>
      <c r="N451" t="s">
        <v>13</v>
      </c>
      <c r="O451" t="s">
        <v>699</v>
      </c>
      <c r="P451" s="2" t="str">
        <f>HYPERLINK("https://www.facebook.com/1317328045")</f>
        <v>https://www.facebook.com/1317328045</v>
      </c>
      <c r="Q451">
        <v>7075</v>
      </c>
      <c r="R451" t="s">
        <v>6067</v>
      </c>
      <c r="S451" t="s">
        <v>6073</v>
      </c>
    </row>
    <row r="452" spans="1:19" ht="14.25" customHeight="1" x14ac:dyDescent="0.3">
      <c r="A452" t="s">
        <v>629</v>
      </c>
      <c r="B452" t="s">
        <v>780</v>
      </c>
      <c r="C452" t="s">
        <v>95</v>
      </c>
      <c r="D452" t="s">
        <v>696</v>
      </c>
      <c r="E452" t="s">
        <v>781</v>
      </c>
      <c r="F452" t="s">
        <v>6059</v>
      </c>
      <c r="G452" s="2" t="str">
        <f>HYPERLINK("https://www.facebook.com/1317328045/posts/10215843806670901?comment_id=10215844355444620")</f>
        <v>https://www.facebook.com/1317328045/posts/10215843806670901?comment_id=10215844355444620</v>
      </c>
      <c r="H452" t="s">
        <v>6062</v>
      </c>
      <c r="I452" t="s">
        <v>699</v>
      </c>
      <c r="J452" s="2" t="str">
        <f>HYPERLINK("https://www.facebook.com/1317328045")</f>
        <v>https://www.facebook.com/1317328045</v>
      </c>
      <c r="K452">
        <v>7075</v>
      </c>
      <c r="L452" t="s">
        <v>6064</v>
      </c>
      <c r="N452" t="s">
        <v>13</v>
      </c>
      <c r="O452" t="s">
        <v>699</v>
      </c>
      <c r="P452" s="2" t="str">
        <f>HYPERLINK("https://www.facebook.com/1317328045")</f>
        <v>https://www.facebook.com/1317328045</v>
      </c>
      <c r="Q452">
        <v>7075</v>
      </c>
      <c r="R452" t="s">
        <v>6067</v>
      </c>
      <c r="S452" t="s">
        <v>6073</v>
      </c>
    </row>
    <row r="453" spans="1:19" ht="14.25" customHeight="1" x14ac:dyDescent="0.3">
      <c r="A453" t="s">
        <v>2225</v>
      </c>
      <c r="B453" t="s">
        <v>2824</v>
      </c>
      <c r="C453" t="s">
        <v>95</v>
      </c>
      <c r="D453" t="s">
        <v>544</v>
      </c>
      <c r="E453" t="s">
        <v>545</v>
      </c>
      <c r="F453" t="s">
        <v>6058</v>
      </c>
      <c r="G453" s="2" t="str">
        <f>HYPERLINK("https://www.facebook.com/100008028888280/posts/2079770158967260")</f>
        <v>https://www.facebook.com/100008028888280/posts/2079770158967260</v>
      </c>
      <c r="H453" t="s">
        <v>6062</v>
      </c>
      <c r="I453" t="s">
        <v>2825</v>
      </c>
      <c r="J453" s="2" t="str">
        <f>HYPERLINK("https://www.facebook.com/100008028888280")</f>
        <v>https://www.facebook.com/100008028888280</v>
      </c>
      <c r="K453">
        <v>752</v>
      </c>
      <c r="L453" t="s">
        <v>6064</v>
      </c>
      <c r="N453" t="s">
        <v>13</v>
      </c>
      <c r="O453" t="s">
        <v>2825</v>
      </c>
      <c r="P453" s="2" t="str">
        <f>HYPERLINK("https://www.facebook.com/100008028888280")</f>
        <v>https://www.facebook.com/100008028888280</v>
      </c>
      <c r="Q453">
        <v>752</v>
      </c>
      <c r="R453" t="s">
        <v>6067</v>
      </c>
    </row>
    <row r="454" spans="1:19" ht="14.25" customHeight="1" x14ac:dyDescent="0.3">
      <c r="A454" t="s">
        <v>4995</v>
      </c>
      <c r="B454" t="s">
        <v>2219</v>
      </c>
      <c r="C454" t="s">
        <v>3538</v>
      </c>
      <c r="D454" t="s">
        <v>4468</v>
      </c>
      <c r="E454" t="s">
        <v>5407</v>
      </c>
      <c r="F454" t="s">
        <v>6059</v>
      </c>
      <c r="G454" s="2" t="str">
        <f>HYPERLINK("https://www.facebook.com/1529329267308888/posts/2058827921025684?comment_id=2058938514347958")</f>
        <v>https://www.facebook.com/1529329267308888/posts/2058827921025684?comment_id=2058938514347958</v>
      </c>
      <c r="H454" t="s">
        <v>6062</v>
      </c>
      <c r="I454" t="s">
        <v>5408</v>
      </c>
      <c r="J454" s="2" t="str">
        <f>HYPERLINK("https://www.facebook.com/100000106276529")</f>
        <v>https://www.facebook.com/100000106276529</v>
      </c>
      <c r="K454">
        <v>0</v>
      </c>
      <c r="L454" t="s">
        <v>6064</v>
      </c>
      <c r="N454" t="s">
        <v>13</v>
      </c>
      <c r="O454" t="s">
        <v>4471</v>
      </c>
      <c r="P454" s="2" t="str">
        <f>HYPERLINK("https://www.facebook.com/1529329267308888")</f>
        <v>https://www.facebook.com/1529329267308888</v>
      </c>
      <c r="R454" t="s">
        <v>6067</v>
      </c>
      <c r="S454" t="s">
        <v>6073</v>
      </c>
    </row>
    <row r="455" spans="1:19" ht="14.25" customHeight="1" x14ac:dyDescent="0.3">
      <c r="A455" t="s">
        <v>629</v>
      </c>
      <c r="B455" t="s">
        <v>363</v>
      </c>
      <c r="C455" t="s">
        <v>95</v>
      </c>
      <c r="D455" t="s">
        <v>370</v>
      </c>
      <c r="E455" t="s">
        <v>371</v>
      </c>
      <c r="F455" t="s">
        <v>6058</v>
      </c>
      <c r="G455" s="2" t="str">
        <f>HYPERLINK("https://www.facebook.com/100023345077136/posts/191428651645303")</f>
        <v>https://www.facebook.com/100023345077136/posts/191428651645303</v>
      </c>
      <c r="H455" t="s">
        <v>6062</v>
      </c>
      <c r="I455" t="s">
        <v>1654</v>
      </c>
      <c r="J455" s="2" t="str">
        <f>HYPERLINK("https://www.facebook.com/100023345077136")</f>
        <v>https://www.facebook.com/100023345077136</v>
      </c>
      <c r="K455">
        <v>139</v>
      </c>
      <c r="L455" t="s">
        <v>6064</v>
      </c>
      <c r="N455" t="s">
        <v>13</v>
      </c>
      <c r="O455" t="s">
        <v>1654</v>
      </c>
      <c r="P455" s="2" t="str">
        <f>HYPERLINK("https://www.facebook.com/100023345077136")</f>
        <v>https://www.facebook.com/100023345077136</v>
      </c>
      <c r="Q455">
        <v>139</v>
      </c>
      <c r="R455" t="s">
        <v>6067</v>
      </c>
      <c r="S455" t="s">
        <v>6073</v>
      </c>
    </row>
    <row r="456" spans="1:19" ht="14.25" customHeight="1" x14ac:dyDescent="0.3">
      <c r="A456" t="s">
        <v>2225</v>
      </c>
      <c r="B456" t="s">
        <v>2516</v>
      </c>
      <c r="C456" t="s">
        <v>95</v>
      </c>
      <c r="D456" t="s">
        <v>544</v>
      </c>
      <c r="E456" t="s">
        <v>545</v>
      </c>
      <c r="F456" t="s">
        <v>6058</v>
      </c>
      <c r="G456" s="2" t="str">
        <f>HYPERLINK("https://www.facebook.com/100007859976226/posts/2062078834064096")</f>
        <v>https://www.facebook.com/100007859976226/posts/2062078834064096</v>
      </c>
      <c r="H456" t="s">
        <v>6062</v>
      </c>
      <c r="I456" t="s">
        <v>2521</v>
      </c>
      <c r="J456" s="2" t="str">
        <f>HYPERLINK("https://www.facebook.com/100007859976226")</f>
        <v>https://www.facebook.com/100007859976226</v>
      </c>
      <c r="K456">
        <v>2888</v>
      </c>
      <c r="L456" t="s">
        <v>6064</v>
      </c>
      <c r="N456" t="s">
        <v>13</v>
      </c>
      <c r="O456" t="s">
        <v>2521</v>
      </c>
      <c r="P456" s="2" t="str">
        <f>HYPERLINK("https://www.facebook.com/100007859976226")</f>
        <v>https://www.facebook.com/100007859976226</v>
      </c>
      <c r="Q456">
        <v>2888</v>
      </c>
      <c r="R456" t="s">
        <v>6067</v>
      </c>
      <c r="S456" t="s">
        <v>6073</v>
      </c>
    </row>
    <row r="457" spans="1:19" ht="14.25" customHeight="1" x14ac:dyDescent="0.3">
      <c r="A457" t="s">
        <v>5409</v>
      </c>
      <c r="B457" t="s">
        <v>3081</v>
      </c>
      <c r="C457" t="s">
        <v>3538</v>
      </c>
      <c r="D457" t="s">
        <v>5117</v>
      </c>
      <c r="E457" t="s">
        <v>5616</v>
      </c>
      <c r="F457" t="s">
        <v>6059</v>
      </c>
      <c r="G457" s="2" t="str">
        <f>HYPERLINK("https://www.facebook.com/100008916314935/posts/1781863062120887?comment_id=1781864548787405")</f>
        <v>https://www.facebook.com/100008916314935/posts/1781863062120887?comment_id=1781864548787405</v>
      </c>
      <c r="H457" t="s">
        <v>6062</v>
      </c>
      <c r="I457" t="s">
        <v>3109</v>
      </c>
      <c r="J457" s="2" t="str">
        <f>HYPERLINK("https://www.facebook.com/100000033162104")</f>
        <v>https://www.facebook.com/100000033162104</v>
      </c>
      <c r="K457">
        <v>658</v>
      </c>
      <c r="L457" t="s">
        <v>6064</v>
      </c>
      <c r="N457" t="s">
        <v>13</v>
      </c>
      <c r="O457" t="s">
        <v>5120</v>
      </c>
      <c r="P457" s="2" t="str">
        <f>HYPERLINK("https://www.facebook.com/100008916314935")</f>
        <v>https://www.facebook.com/100008916314935</v>
      </c>
      <c r="Q457">
        <v>82</v>
      </c>
      <c r="R457" t="s">
        <v>6067</v>
      </c>
      <c r="S457" t="s">
        <v>6073</v>
      </c>
    </row>
    <row r="458" spans="1:19" ht="14.25" customHeight="1" x14ac:dyDescent="0.3">
      <c r="A458" t="s">
        <v>5409</v>
      </c>
      <c r="B458" t="s">
        <v>980</v>
      </c>
      <c r="C458" t="s">
        <v>3538</v>
      </c>
      <c r="D458" t="s">
        <v>5117</v>
      </c>
      <c r="E458" t="s">
        <v>5603</v>
      </c>
      <c r="F458" t="s">
        <v>6059</v>
      </c>
      <c r="G458" s="2" t="str">
        <f>HYPERLINK("https://www.facebook.com/100008916314935/posts/1781863062120887?comment_id=1781870712120122")</f>
        <v>https://www.facebook.com/100008916314935/posts/1781863062120887?comment_id=1781870712120122</v>
      </c>
      <c r="H458" t="s">
        <v>6062</v>
      </c>
      <c r="I458" t="s">
        <v>3109</v>
      </c>
      <c r="J458" s="2" t="str">
        <f>HYPERLINK("https://www.facebook.com/100000033162104")</f>
        <v>https://www.facebook.com/100000033162104</v>
      </c>
      <c r="K458">
        <v>658</v>
      </c>
      <c r="L458" t="s">
        <v>6064</v>
      </c>
      <c r="N458" t="s">
        <v>13</v>
      </c>
      <c r="O458" t="s">
        <v>5120</v>
      </c>
      <c r="P458" s="2" t="str">
        <f>HYPERLINK("https://www.facebook.com/100008916314935")</f>
        <v>https://www.facebook.com/100008916314935</v>
      </c>
      <c r="Q458">
        <v>82</v>
      </c>
      <c r="R458" t="s">
        <v>6067</v>
      </c>
      <c r="S458" t="s">
        <v>6073</v>
      </c>
    </row>
    <row r="459" spans="1:19" ht="14.25" customHeight="1" x14ac:dyDescent="0.3">
      <c r="A459" t="s">
        <v>629</v>
      </c>
      <c r="B459" t="s">
        <v>2018</v>
      </c>
      <c r="C459" t="s">
        <v>95</v>
      </c>
      <c r="D459" t="s">
        <v>370</v>
      </c>
      <c r="E459" t="s">
        <v>371</v>
      </c>
      <c r="F459" t="s">
        <v>6058</v>
      </c>
      <c r="G459" s="2" t="str">
        <f>HYPERLINK("https://www.facebook.com/100009130987123/posts/1962001327447548")</f>
        <v>https://www.facebook.com/100009130987123/posts/1962001327447548</v>
      </c>
      <c r="H459" t="s">
        <v>6062</v>
      </c>
      <c r="I459" t="s">
        <v>2019</v>
      </c>
      <c r="J459" s="2" t="str">
        <f>HYPERLINK("https://www.facebook.com/100009130987123")</f>
        <v>https://www.facebook.com/100009130987123</v>
      </c>
      <c r="K459">
        <v>263</v>
      </c>
      <c r="L459" t="s">
        <v>6064</v>
      </c>
      <c r="N459" t="s">
        <v>13</v>
      </c>
      <c r="O459" t="s">
        <v>2019</v>
      </c>
      <c r="P459" s="2" t="str">
        <f>HYPERLINK("https://www.facebook.com/100009130987123")</f>
        <v>https://www.facebook.com/100009130987123</v>
      </c>
      <c r="Q459">
        <v>263</v>
      </c>
      <c r="R459" t="s">
        <v>6067</v>
      </c>
    </row>
    <row r="460" spans="1:19" ht="14.25" customHeight="1" x14ac:dyDescent="0.3">
      <c r="A460" t="s">
        <v>629</v>
      </c>
      <c r="B460" t="s">
        <v>459</v>
      </c>
      <c r="C460" t="s">
        <v>95</v>
      </c>
      <c r="D460" t="s">
        <v>370</v>
      </c>
      <c r="E460" t="s">
        <v>371</v>
      </c>
      <c r="F460" t="s">
        <v>6058</v>
      </c>
      <c r="G460" s="2" t="str">
        <f>HYPERLINK("https://www.facebook.com/100003118590283/posts/1612955772151694")</f>
        <v>https://www.facebook.com/100003118590283/posts/1612955772151694</v>
      </c>
      <c r="H460" t="s">
        <v>6062</v>
      </c>
      <c r="I460" t="s">
        <v>1897</v>
      </c>
      <c r="J460" s="2" t="str">
        <f>HYPERLINK("https://www.facebook.com/100003118590283")</f>
        <v>https://www.facebook.com/100003118590283</v>
      </c>
      <c r="K460">
        <v>54</v>
      </c>
      <c r="L460" t="s">
        <v>6063</v>
      </c>
      <c r="N460" t="s">
        <v>13</v>
      </c>
      <c r="O460" t="s">
        <v>1897</v>
      </c>
      <c r="P460" s="2" t="str">
        <f>HYPERLINK("https://www.facebook.com/100003118590283")</f>
        <v>https://www.facebook.com/100003118590283</v>
      </c>
      <c r="Q460">
        <v>54</v>
      </c>
      <c r="R460" t="s">
        <v>6067</v>
      </c>
      <c r="S460" t="s">
        <v>6073</v>
      </c>
    </row>
    <row r="461" spans="1:19" ht="14.25" customHeight="1" x14ac:dyDescent="0.3">
      <c r="A461" t="s">
        <v>629</v>
      </c>
      <c r="B461" t="s">
        <v>332</v>
      </c>
      <c r="C461" t="s">
        <v>95</v>
      </c>
      <c r="D461" t="s">
        <v>370</v>
      </c>
      <c r="E461" t="s">
        <v>371</v>
      </c>
      <c r="F461" t="s">
        <v>6058</v>
      </c>
      <c r="G461" s="2" t="str">
        <f>HYPERLINK("https://www.facebook.com/100015428746386/posts/317399338784355")</f>
        <v>https://www.facebook.com/100015428746386/posts/317399338784355</v>
      </c>
      <c r="H461" t="s">
        <v>6062</v>
      </c>
      <c r="I461" t="s">
        <v>1541</v>
      </c>
      <c r="J461" s="2" t="str">
        <f>HYPERLINK("https://www.facebook.com/100015428746386")</f>
        <v>https://www.facebook.com/100015428746386</v>
      </c>
      <c r="K461">
        <v>35</v>
      </c>
      <c r="L461" t="s">
        <v>6063</v>
      </c>
      <c r="N461" t="s">
        <v>13</v>
      </c>
      <c r="O461" t="s">
        <v>1541</v>
      </c>
      <c r="P461" s="2" t="str">
        <f>HYPERLINK("https://www.facebook.com/100015428746386")</f>
        <v>https://www.facebook.com/100015428746386</v>
      </c>
      <c r="Q461">
        <v>35</v>
      </c>
      <c r="R461" t="s">
        <v>6067</v>
      </c>
    </row>
    <row r="462" spans="1:19" ht="14.25" customHeight="1" x14ac:dyDescent="0.3">
      <c r="A462" t="s">
        <v>4439</v>
      </c>
      <c r="B462" t="s">
        <v>4952</v>
      </c>
      <c r="C462" t="s">
        <v>3538</v>
      </c>
      <c r="D462" t="s">
        <v>4953</v>
      </c>
      <c r="E462" t="s">
        <v>4954</v>
      </c>
      <c r="F462" t="s">
        <v>6059</v>
      </c>
      <c r="G462" s="2" t="str">
        <f>HYPERLINK("https://www.facebook.com/100000381326830/posts/1746029718753055?comment_id=1746084518747575")</f>
        <v>https://www.facebook.com/100000381326830/posts/1746029718753055?comment_id=1746084518747575</v>
      </c>
      <c r="H462" t="s">
        <v>6062</v>
      </c>
      <c r="I462" t="s">
        <v>4955</v>
      </c>
      <c r="J462" s="2" t="str">
        <f>HYPERLINK("https://www.facebook.com/1080010778")</f>
        <v>https://www.facebook.com/1080010778</v>
      </c>
      <c r="K462">
        <v>1062</v>
      </c>
      <c r="L462" t="s">
        <v>6063</v>
      </c>
      <c r="N462" t="s">
        <v>13</v>
      </c>
      <c r="O462" t="s">
        <v>4956</v>
      </c>
      <c r="P462" s="2" t="str">
        <f>HYPERLINK("https://www.facebook.com/100000381326830")</f>
        <v>https://www.facebook.com/100000381326830</v>
      </c>
      <c r="Q462">
        <v>156</v>
      </c>
      <c r="R462" t="s">
        <v>6067</v>
      </c>
      <c r="S462" t="s">
        <v>6090</v>
      </c>
    </row>
    <row r="463" spans="1:19" ht="14.25" customHeight="1" x14ac:dyDescent="0.3">
      <c r="A463" t="s">
        <v>629</v>
      </c>
      <c r="B463" t="s">
        <v>1917</v>
      </c>
      <c r="C463" t="s">
        <v>95</v>
      </c>
      <c r="D463" t="s">
        <v>370</v>
      </c>
      <c r="E463" t="s">
        <v>371</v>
      </c>
      <c r="F463" t="s">
        <v>6058</v>
      </c>
      <c r="G463" s="2" t="str">
        <f>HYPERLINK("https://www.facebook.com/100011590740555/posts/498507280545626")</f>
        <v>https://www.facebook.com/100011590740555/posts/498507280545626</v>
      </c>
      <c r="H463" t="s">
        <v>6062</v>
      </c>
      <c r="I463" t="s">
        <v>1922</v>
      </c>
      <c r="J463" s="2" t="str">
        <f>HYPERLINK("https://www.facebook.com/100011590740555")</f>
        <v>https://www.facebook.com/100011590740555</v>
      </c>
      <c r="K463">
        <v>237</v>
      </c>
      <c r="L463" t="s">
        <v>6063</v>
      </c>
      <c r="N463" t="s">
        <v>13</v>
      </c>
      <c r="O463" t="s">
        <v>1922</v>
      </c>
      <c r="P463" s="2" t="str">
        <f>HYPERLINK("https://www.facebook.com/100011590740555")</f>
        <v>https://www.facebook.com/100011590740555</v>
      </c>
      <c r="Q463">
        <v>237</v>
      </c>
      <c r="R463" t="s">
        <v>6067</v>
      </c>
      <c r="S463" t="s">
        <v>6073</v>
      </c>
    </row>
    <row r="464" spans="1:19" ht="14.25" customHeight="1" x14ac:dyDescent="0.3">
      <c r="A464" t="s">
        <v>1</v>
      </c>
      <c r="B464" t="s">
        <v>579</v>
      </c>
      <c r="C464" t="s">
        <v>95</v>
      </c>
      <c r="D464" t="s">
        <v>568</v>
      </c>
      <c r="E464" t="s">
        <v>581</v>
      </c>
      <c r="F464" t="s">
        <v>6059</v>
      </c>
      <c r="G464" s="2" t="str">
        <f>HYPERLINK("https://www.facebook.com/100010421106042/posts/579987695691929?comment_id=580374705653228")</f>
        <v>https://www.facebook.com/100010421106042/posts/579987695691929?comment_id=580374705653228</v>
      </c>
      <c r="H464" t="s">
        <v>6062</v>
      </c>
      <c r="I464" t="s">
        <v>582</v>
      </c>
      <c r="J464" s="2" t="str">
        <f>HYPERLINK("https://www.facebook.com/100005463128752")</f>
        <v>https://www.facebook.com/100005463128752</v>
      </c>
      <c r="K464">
        <v>117</v>
      </c>
      <c r="L464" t="s">
        <v>6063</v>
      </c>
      <c r="N464" t="s">
        <v>13</v>
      </c>
      <c r="O464" t="s">
        <v>571</v>
      </c>
      <c r="P464" s="2" t="str">
        <f>HYPERLINK("https://www.facebook.com/100010421106042")</f>
        <v>https://www.facebook.com/100010421106042</v>
      </c>
      <c r="Q464">
        <v>2614</v>
      </c>
      <c r="R464" t="s">
        <v>6067</v>
      </c>
      <c r="S464" t="s">
        <v>6073</v>
      </c>
    </row>
    <row r="465" spans="1:19" ht="14.25" customHeight="1" x14ac:dyDescent="0.3">
      <c r="A465" t="s">
        <v>1</v>
      </c>
      <c r="B465" t="s">
        <v>587</v>
      </c>
      <c r="C465" t="s">
        <v>95</v>
      </c>
      <c r="D465" t="s">
        <v>568</v>
      </c>
      <c r="E465" t="s">
        <v>588</v>
      </c>
      <c r="F465" t="s">
        <v>6059</v>
      </c>
      <c r="G465" s="2" t="str">
        <f>HYPERLINK("https://www.facebook.com/100010421106042/posts/579987695691929?comment_id=580371872320178")</f>
        <v>https://www.facebook.com/100010421106042/posts/579987695691929?comment_id=580371872320178</v>
      </c>
      <c r="H465" t="s">
        <v>6062</v>
      </c>
      <c r="I465" t="s">
        <v>582</v>
      </c>
      <c r="J465" s="2" t="str">
        <f>HYPERLINK("https://www.facebook.com/100005463128752")</f>
        <v>https://www.facebook.com/100005463128752</v>
      </c>
      <c r="K465">
        <v>117</v>
      </c>
      <c r="L465" t="s">
        <v>6063</v>
      </c>
      <c r="N465" t="s">
        <v>13</v>
      </c>
      <c r="O465" t="s">
        <v>571</v>
      </c>
      <c r="P465" s="2" t="str">
        <f>HYPERLINK("https://www.facebook.com/100010421106042")</f>
        <v>https://www.facebook.com/100010421106042</v>
      </c>
      <c r="Q465">
        <v>2614</v>
      </c>
      <c r="R465" t="s">
        <v>6067</v>
      </c>
      <c r="S465" t="s">
        <v>6073</v>
      </c>
    </row>
    <row r="466" spans="1:19" ht="14.25" customHeight="1" x14ac:dyDescent="0.3">
      <c r="A466" t="s">
        <v>1</v>
      </c>
      <c r="B466" t="s">
        <v>593</v>
      </c>
      <c r="C466" t="s">
        <v>95</v>
      </c>
      <c r="D466" t="s">
        <v>568</v>
      </c>
      <c r="E466" t="s">
        <v>594</v>
      </c>
      <c r="F466" t="s">
        <v>6059</v>
      </c>
      <c r="G466" s="2" t="str">
        <f>HYPERLINK("https://www.facebook.com/100010421106042/posts/579987695691929?comment_id=580370915653607")</f>
        <v>https://www.facebook.com/100010421106042/posts/579987695691929?comment_id=580370915653607</v>
      </c>
      <c r="H466" t="s">
        <v>6062</v>
      </c>
      <c r="I466" t="s">
        <v>582</v>
      </c>
      <c r="J466" s="2" t="str">
        <f>HYPERLINK("https://www.facebook.com/100005463128752")</f>
        <v>https://www.facebook.com/100005463128752</v>
      </c>
      <c r="K466">
        <v>117</v>
      </c>
      <c r="L466" t="s">
        <v>6063</v>
      </c>
      <c r="N466" t="s">
        <v>13</v>
      </c>
      <c r="O466" t="s">
        <v>571</v>
      </c>
      <c r="P466" s="2" t="str">
        <f>HYPERLINK("https://www.facebook.com/100010421106042")</f>
        <v>https://www.facebook.com/100010421106042</v>
      </c>
      <c r="Q466">
        <v>2614</v>
      </c>
      <c r="R466" t="s">
        <v>6067</v>
      </c>
      <c r="S466" t="s">
        <v>6073</v>
      </c>
    </row>
    <row r="467" spans="1:19" ht="14.25" customHeight="1" x14ac:dyDescent="0.3">
      <c r="A467" t="s">
        <v>629</v>
      </c>
      <c r="B467" t="s">
        <v>767</v>
      </c>
      <c r="C467" t="s">
        <v>95</v>
      </c>
      <c r="D467" t="s">
        <v>10</v>
      </c>
      <c r="E467" t="s">
        <v>768</v>
      </c>
      <c r="F467" t="s">
        <v>6059</v>
      </c>
      <c r="G467" s="2" t="str">
        <f>HYPERLINK("https://www.facebook.com/762053551/posts/10156366210158552?comment_id=10156366921883552")</f>
        <v>https://www.facebook.com/762053551/posts/10156366210158552?comment_id=10156366921883552</v>
      </c>
      <c r="H467" t="s">
        <v>6062</v>
      </c>
      <c r="I467" t="s">
        <v>769</v>
      </c>
      <c r="J467" s="2" t="str">
        <f>HYPERLINK("https://www.facebook.com/100009305395010")</f>
        <v>https://www.facebook.com/100009305395010</v>
      </c>
      <c r="K467">
        <v>418</v>
      </c>
      <c r="L467" t="s">
        <v>6063</v>
      </c>
      <c r="N467" t="s">
        <v>13</v>
      </c>
      <c r="O467" t="s">
        <v>14</v>
      </c>
      <c r="P467" s="2" t="str">
        <f>HYPERLINK("https://www.facebook.com/762053551")</f>
        <v>https://www.facebook.com/762053551</v>
      </c>
      <c r="Q467">
        <v>102347</v>
      </c>
      <c r="R467" t="s">
        <v>6067</v>
      </c>
      <c r="S467" t="s">
        <v>6073</v>
      </c>
    </row>
    <row r="468" spans="1:19" ht="14.25" customHeight="1" x14ac:dyDescent="0.3">
      <c r="A468" t="s">
        <v>2225</v>
      </c>
      <c r="B468" t="s">
        <v>2847</v>
      </c>
      <c r="C468" t="s">
        <v>95</v>
      </c>
      <c r="D468" t="s">
        <v>853</v>
      </c>
      <c r="E468" t="s">
        <v>2853</v>
      </c>
      <c r="F468" t="s">
        <v>6059</v>
      </c>
      <c r="G468" s="2" t="str">
        <f>HYPERLINK("https://www.facebook.com/100008934274771/posts/1810262525948206?comment_id=1810266339281158")</f>
        <v>https://www.facebook.com/100008934274771/posts/1810262525948206?comment_id=1810266339281158</v>
      </c>
      <c r="H468" t="s">
        <v>6062</v>
      </c>
      <c r="I468" t="s">
        <v>2854</v>
      </c>
      <c r="J468" s="2" t="str">
        <f>HYPERLINK("https://www.facebook.com/100000371140562")</f>
        <v>https://www.facebook.com/100000371140562</v>
      </c>
      <c r="K468">
        <v>0</v>
      </c>
      <c r="L468" t="s">
        <v>6063</v>
      </c>
      <c r="N468" t="s">
        <v>13</v>
      </c>
      <c r="O468" t="s">
        <v>856</v>
      </c>
      <c r="P468" s="2" t="str">
        <f>HYPERLINK("https://www.facebook.com/100008934274771")</f>
        <v>https://www.facebook.com/100008934274771</v>
      </c>
      <c r="Q468">
        <v>10395</v>
      </c>
      <c r="R468" t="s">
        <v>6067</v>
      </c>
      <c r="S468" t="s">
        <v>6073</v>
      </c>
    </row>
    <row r="469" spans="1:19" ht="14.25" customHeight="1" x14ac:dyDescent="0.3">
      <c r="A469" t="s">
        <v>2225</v>
      </c>
      <c r="B469" t="s">
        <v>2494</v>
      </c>
      <c r="C469" t="s">
        <v>95</v>
      </c>
      <c r="D469" t="s">
        <v>853</v>
      </c>
      <c r="E469" t="s">
        <v>2502</v>
      </c>
      <c r="F469" t="s">
        <v>6059</v>
      </c>
      <c r="G469" s="2" t="str">
        <f>HYPERLINK("https://www.facebook.com/100008934274771/posts/1810262525948206?comment_id=1810291889278603")</f>
        <v>https://www.facebook.com/100008934274771/posts/1810262525948206?comment_id=1810291889278603</v>
      </c>
      <c r="H469" t="s">
        <v>6062</v>
      </c>
      <c r="I469" t="s">
        <v>2503</v>
      </c>
      <c r="J469" s="2" t="str">
        <f>HYPERLINK("https://www.facebook.com/100022577165114")</f>
        <v>https://www.facebook.com/100022577165114</v>
      </c>
      <c r="K469">
        <v>231</v>
      </c>
      <c r="L469" t="s">
        <v>6063</v>
      </c>
      <c r="N469" t="s">
        <v>13</v>
      </c>
      <c r="O469" t="s">
        <v>856</v>
      </c>
      <c r="P469" s="2" t="str">
        <f>HYPERLINK("https://www.facebook.com/100008934274771")</f>
        <v>https://www.facebook.com/100008934274771</v>
      </c>
      <c r="Q469">
        <v>10395</v>
      </c>
      <c r="R469" t="s">
        <v>6067</v>
      </c>
      <c r="S469" t="s">
        <v>6091</v>
      </c>
    </row>
    <row r="470" spans="1:19" ht="14.25" customHeight="1" x14ac:dyDescent="0.3">
      <c r="A470" t="s">
        <v>4439</v>
      </c>
      <c r="B470" t="s">
        <v>2117</v>
      </c>
      <c r="C470" t="s">
        <v>3538</v>
      </c>
      <c r="D470" t="s">
        <v>4801</v>
      </c>
      <c r="E470" t="s">
        <v>4932</v>
      </c>
      <c r="F470" t="s">
        <v>6059</v>
      </c>
      <c r="G470" s="2" t="str">
        <f>HYPERLINK("https://www.facebook.com/100000817437246/posts/1646973195339912?comment_id=1647018208668744")</f>
        <v>https://www.facebook.com/100000817437246/posts/1646973195339912?comment_id=1647018208668744</v>
      </c>
      <c r="H470" t="s">
        <v>6062</v>
      </c>
      <c r="I470" t="s">
        <v>4933</v>
      </c>
      <c r="J470" s="2" t="str">
        <f>HYPERLINK("https://www.facebook.com/100002909565366")</f>
        <v>https://www.facebook.com/100002909565366</v>
      </c>
      <c r="K470">
        <v>545</v>
      </c>
      <c r="L470" t="s">
        <v>6063</v>
      </c>
      <c r="M470">
        <v>44</v>
      </c>
      <c r="N470" t="s">
        <v>13</v>
      </c>
      <c r="O470" t="s">
        <v>4804</v>
      </c>
      <c r="P470" s="2" t="str">
        <f>HYPERLINK("https://www.facebook.com/100000817437246")</f>
        <v>https://www.facebook.com/100000817437246</v>
      </c>
      <c r="Q470">
        <v>1821</v>
      </c>
      <c r="R470" t="s">
        <v>6067</v>
      </c>
      <c r="S470" t="s">
        <v>6073</v>
      </c>
    </row>
    <row r="471" spans="1:19" ht="14.25" customHeight="1" x14ac:dyDescent="0.3">
      <c r="A471" t="s">
        <v>4995</v>
      </c>
      <c r="B471" t="s">
        <v>3562</v>
      </c>
      <c r="C471" t="s">
        <v>3538</v>
      </c>
      <c r="D471" t="s">
        <v>877</v>
      </c>
      <c r="E471" t="s">
        <v>5014</v>
      </c>
      <c r="F471" t="s">
        <v>6059</v>
      </c>
      <c r="G471" s="2" t="str">
        <f>HYPERLINK("https://www.facebook.com/114364555250747/posts/1804141566273029?comment_id=1805415482812304")</f>
        <v>https://www.facebook.com/114364555250747/posts/1804141566273029?comment_id=1805415482812304</v>
      </c>
      <c r="H471" t="s">
        <v>6062</v>
      </c>
      <c r="I471" t="s">
        <v>5015</v>
      </c>
      <c r="J471" s="2" t="str">
        <f>HYPERLINK("https://www.facebook.com/100001494574027")</f>
        <v>https://www.facebook.com/100001494574027</v>
      </c>
      <c r="K471">
        <v>146</v>
      </c>
      <c r="L471" t="s">
        <v>6063</v>
      </c>
      <c r="N471" t="s">
        <v>13</v>
      </c>
      <c r="O471" t="s">
        <v>880</v>
      </c>
      <c r="P471" s="2" t="str">
        <f>HYPERLINK("https://www.facebook.com/114364555250747")</f>
        <v>https://www.facebook.com/114364555250747</v>
      </c>
      <c r="Q471">
        <v>100059</v>
      </c>
      <c r="R471" t="s">
        <v>6067</v>
      </c>
      <c r="S471" t="s">
        <v>6073</v>
      </c>
    </row>
    <row r="472" spans="1:19" ht="14.25" customHeight="1" x14ac:dyDescent="0.3">
      <c r="A472" t="s">
        <v>2225</v>
      </c>
      <c r="B472" t="s">
        <v>645</v>
      </c>
      <c r="C472" t="s">
        <v>95</v>
      </c>
      <c r="D472" t="s">
        <v>1310</v>
      </c>
      <c r="E472" t="s">
        <v>2245</v>
      </c>
      <c r="F472" t="s">
        <v>6056</v>
      </c>
      <c r="G472" s="2" t="str">
        <f>HYPERLINK("https://www.facebook.com/100002596202440/posts/1614339498662575")</f>
        <v>https://www.facebook.com/100002596202440/posts/1614339498662575</v>
      </c>
      <c r="H472" t="s">
        <v>6062</v>
      </c>
      <c r="I472" t="s">
        <v>1312</v>
      </c>
      <c r="J472" s="2" t="str">
        <f t="shared" ref="J472:J477" si="6">HYPERLINK("https://www.facebook.com/100002596202440")</f>
        <v>https://www.facebook.com/100002596202440</v>
      </c>
      <c r="K472">
        <v>531</v>
      </c>
      <c r="L472" t="s">
        <v>6063</v>
      </c>
      <c r="N472" t="s">
        <v>13</v>
      </c>
      <c r="O472" t="s">
        <v>1312</v>
      </c>
      <c r="P472" s="2" t="str">
        <f t="shared" ref="P472:P477" si="7">HYPERLINK("https://www.facebook.com/100002596202440")</f>
        <v>https://www.facebook.com/100002596202440</v>
      </c>
      <c r="Q472">
        <v>531</v>
      </c>
      <c r="R472" t="s">
        <v>6067</v>
      </c>
      <c r="S472" t="s">
        <v>6073</v>
      </c>
    </row>
    <row r="473" spans="1:19" ht="14.25" customHeight="1" x14ac:dyDescent="0.3">
      <c r="A473" t="s">
        <v>629</v>
      </c>
      <c r="B473" t="s">
        <v>1401</v>
      </c>
      <c r="C473" t="s">
        <v>95</v>
      </c>
      <c r="D473" t="s">
        <v>1310</v>
      </c>
      <c r="E473" t="s">
        <v>1403</v>
      </c>
      <c r="F473" t="s">
        <v>6059</v>
      </c>
      <c r="G473" s="2" t="str">
        <f>HYPERLINK("https://www.facebook.com/100002596202440/posts/1614339498662575?comment_id=1614879305275261")</f>
        <v>https://www.facebook.com/100002596202440/posts/1614339498662575?comment_id=1614879305275261</v>
      </c>
      <c r="H473" t="s">
        <v>6062</v>
      </c>
      <c r="I473" t="s">
        <v>1312</v>
      </c>
      <c r="J473" s="2" t="str">
        <f t="shared" si="6"/>
        <v>https://www.facebook.com/100002596202440</v>
      </c>
      <c r="K473">
        <v>531</v>
      </c>
      <c r="L473" t="s">
        <v>6063</v>
      </c>
      <c r="N473" t="s">
        <v>13</v>
      </c>
      <c r="O473" t="s">
        <v>1312</v>
      </c>
      <c r="P473" s="2" t="str">
        <f t="shared" si="7"/>
        <v>https://www.facebook.com/100002596202440</v>
      </c>
      <c r="Q473">
        <v>531</v>
      </c>
      <c r="R473" t="s">
        <v>6067</v>
      </c>
      <c r="S473" t="s">
        <v>6073</v>
      </c>
    </row>
    <row r="474" spans="1:19" ht="14.25" customHeight="1" x14ac:dyDescent="0.3">
      <c r="A474" t="s">
        <v>629</v>
      </c>
      <c r="B474" t="s">
        <v>2188</v>
      </c>
      <c r="C474" t="s">
        <v>95</v>
      </c>
      <c r="D474" t="s">
        <v>1310</v>
      </c>
      <c r="E474" t="s">
        <v>2189</v>
      </c>
      <c r="F474" t="s">
        <v>6059</v>
      </c>
      <c r="G474" s="2" t="str">
        <f>HYPERLINK("https://www.facebook.com/100002596202440/posts/1614339498662575?comment_id=1614366825326509")</f>
        <v>https://www.facebook.com/100002596202440/posts/1614339498662575?comment_id=1614366825326509</v>
      </c>
      <c r="H474" t="s">
        <v>6062</v>
      </c>
      <c r="I474" t="s">
        <v>1312</v>
      </c>
      <c r="J474" s="2" t="str">
        <f t="shared" si="6"/>
        <v>https://www.facebook.com/100002596202440</v>
      </c>
      <c r="K474">
        <v>531</v>
      </c>
      <c r="L474" t="s">
        <v>6063</v>
      </c>
      <c r="N474" t="s">
        <v>13</v>
      </c>
      <c r="O474" t="s">
        <v>1312</v>
      </c>
      <c r="P474" s="2" t="str">
        <f t="shared" si="7"/>
        <v>https://www.facebook.com/100002596202440</v>
      </c>
      <c r="Q474">
        <v>531</v>
      </c>
      <c r="R474" t="s">
        <v>6067</v>
      </c>
      <c r="S474" t="s">
        <v>6073</v>
      </c>
    </row>
    <row r="475" spans="1:19" ht="14.25" customHeight="1" x14ac:dyDescent="0.3">
      <c r="A475" t="s">
        <v>629</v>
      </c>
      <c r="B475" t="s">
        <v>607</v>
      </c>
      <c r="C475" t="s">
        <v>95</v>
      </c>
      <c r="D475" t="s">
        <v>1310</v>
      </c>
      <c r="E475" t="s">
        <v>2187</v>
      </c>
      <c r="F475" t="s">
        <v>6059</v>
      </c>
      <c r="G475" s="2" t="str">
        <f>HYPERLINK("https://www.facebook.com/100002596202440/posts/1614339498662575?comment_id=1614367378659787")</f>
        <v>https://www.facebook.com/100002596202440/posts/1614339498662575?comment_id=1614367378659787</v>
      </c>
      <c r="H475" t="s">
        <v>6062</v>
      </c>
      <c r="I475" t="s">
        <v>1312</v>
      </c>
      <c r="J475" s="2" t="str">
        <f t="shared" si="6"/>
        <v>https://www.facebook.com/100002596202440</v>
      </c>
      <c r="K475">
        <v>531</v>
      </c>
      <c r="L475" t="s">
        <v>6063</v>
      </c>
      <c r="N475" t="s">
        <v>13</v>
      </c>
      <c r="O475" t="s">
        <v>1312</v>
      </c>
      <c r="P475" s="2" t="str">
        <f t="shared" si="7"/>
        <v>https://www.facebook.com/100002596202440</v>
      </c>
      <c r="Q475">
        <v>531</v>
      </c>
      <c r="R475" t="s">
        <v>6067</v>
      </c>
      <c r="S475" t="s">
        <v>6073</v>
      </c>
    </row>
    <row r="476" spans="1:19" ht="14.25" customHeight="1" x14ac:dyDescent="0.3">
      <c r="A476" t="s">
        <v>629</v>
      </c>
      <c r="B476" t="s">
        <v>1309</v>
      </c>
      <c r="C476" t="s">
        <v>95</v>
      </c>
      <c r="D476" t="s">
        <v>1310</v>
      </c>
      <c r="E476" t="s">
        <v>1311</v>
      </c>
      <c r="F476" t="s">
        <v>6059</v>
      </c>
      <c r="G476" s="2" t="str">
        <f>HYPERLINK("https://www.facebook.com/100002596202440/posts/1614339498662575?comment_id=1614968718599653")</f>
        <v>https://www.facebook.com/100002596202440/posts/1614339498662575?comment_id=1614968718599653</v>
      </c>
      <c r="H476" t="s">
        <v>6062</v>
      </c>
      <c r="I476" t="s">
        <v>1312</v>
      </c>
      <c r="J476" s="2" t="str">
        <f t="shared" si="6"/>
        <v>https://www.facebook.com/100002596202440</v>
      </c>
      <c r="K476">
        <v>531</v>
      </c>
      <c r="L476" t="s">
        <v>6063</v>
      </c>
      <c r="N476" t="s">
        <v>13</v>
      </c>
      <c r="O476" t="s">
        <v>1312</v>
      </c>
      <c r="P476" s="2" t="str">
        <f t="shared" si="7"/>
        <v>https://www.facebook.com/100002596202440</v>
      </c>
      <c r="Q476">
        <v>531</v>
      </c>
      <c r="R476" t="s">
        <v>6067</v>
      </c>
      <c r="S476" t="s">
        <v>6073</v>
      </c>
    </row>
    <row r="477" spans="1:19" ht="14.25" customHeight="1" x14ac:dyDescent="0.3">
      <c r="A477" t="s">
        <v>629</v>
      </c>
      <c r="B477" t="s">
        <v>1319</v>
      </c>
      <c r="C477" t="s">
        <v>95</v>
      </c>
      <c r="D477" t="s">
        <v>1310</v>
      </c>
      <c r="E477" t="s">
        <v>1320</v>
      </c>
      <c r="F477" t="s">
        <v>6059</v>
      </c>
      <c r="G477" s="2" t="str">
        <f>HYPERLINK("https://www.facebook.com/100002596202440/posts/1614339498662575?comment_id=1614963451933513")</f>
        <v>https://www.facebook.com/100002596202440/posts/1614339498662575?comment_id=1614963451933513</v>
      </c>
      <c r="H477" t="s">
        <v>6062</v>
      </c>
      <c r="I477" t="s">
        <v>1312</v>
      </c>
      <c r="J477" s="2" t="str">
        <f t="shared" si="6"/>
        <v>https://www.facebook.com/100002596202440</v>
      </c>
      <c r="K477">
        <v>531</v>
      </c>
      <c r="L477" t="s">
        <v>6063</v>
      </c>
      <c r="N477" t="s">
        <v>13</v>
      </c>
      <c r="O477" t="s">
        <v>1312</v>
      </c>
      <c r="P477" s="2" t="str">
        <f t="shared" si="7"/>
        <v>https://www.facebook.com/100002596202440</v>
      </c>
      <c r="Q477">
        <v>531</v>
      </c>
      <c r="R477" t="s">
        <v>6067</v>
      </c>
      <c r="S477" t="s">
        <v>6073</v>
      </c>
    </row>
    <row r="478" spans="1:19" ht="14.25" customHeight="1" x14ac:dyDescent="0.3">
      <c r="A478" t="s">
        <v>3527</v>
      </c>
      <c r="B478" t="s">
        <v>3651</v>
      </c>
      <c r="C478" t="s">
        <v>95</v>
      </c>
      <c r="D478" t="s">
        <v>522</v>
      </c>
      <c r="E478" t="s">
        <v>523</v>
      </c>
      <c r="F478" t="s">
        <v>6058</v>
      </c>
      <c r="G478" s="2" t="str">
        <f>HYPERLINK("https://www.facebook.com/100003279846775/posts/1605787996207180")</f>
        <v>https://www.facebook.com/100003279846775/posts/1605787996207180</v>
      </c>
      <c r="H478" t="s">
        <v>6062</v>
      </c>
      <c r="I478" t="s">
        <v>3653</v>
      </c>
      <c r="J478" s="2" t="str">
        <f>HYPERLINK("https://www.facebook.com/100003279846775")</f>
        <v>https://www.facebook.com/100003279846775</v>
      </c>
      <c r="K478">
        <v>0</v>
      </c>
      <c r="L478" t="s">
        <v>6064</v>
      </c>
      <c r="N478" t="s">
        <v>13</v>
      </c>
      <c r="O478" t="s">
        <v>3653</v>
      </c>
      <c r="P478" s="2" t="str">
        <f>HYPERLINK("https://www.facebook.com/100003279846775")</f>
        <v>https://www.facebook.com/100003279846775</v>
      </c>
      <c r="Q478">
        <v>0</v>
      </c>
      <c r="R478" t="s">
        <v>6067</v>
      </c>
      <c r="S478" t="s">
        <v>6073</v>
      </c>
    </row>
    <row r="479" spans="1:19" ht="14.25" customHeight="1" x14ac:dyDescent="0.3">
      <c r="A479" t="s">
        <v>629</v>
      </c>
      <c r="B479" t="s">
        <v>1164</v>
      </c>
      <c r="C479" t="s">
        <v>95</v>
      </c>
      <c r="D479" t="s">
        <v>10</v>
      </c>
      <c r="E479" t="s">
        <v>1167</v>
      </c>
      <c r="F479" t="s">
        <v>6059</v>
      </c>
      <c r="G479" s="2" t="str">
        <f>HYPERLINK("https://www.facebook.com/762053551/posts/10156366210158552?comment_id=10156366272503552")</f>
        <v>https://www.facebook.com/762053551/posts/10156366210158552?comment_id=10156366272503552</v>
      </c>
      <c r="H479" t="s">
        <v>6062</v>
      </c>
      <c r="I479" t="s">
        <v>992</v>
      </c>
      <c r="J479" s="2" t="str">
        <f t="shared" ref="J479:J486" si="8">HYPERLINK("https://www.facebook.com/1170441054")</f>
        <v>https://www.facebook.com/1170441054</v>
      </c>
      <c r="K479">
        <v>64</v>
      </c>
      <c r="N479" t="s">
        <v>13</v>
      </c>
      <c r="O479" t="s">
        <v>14</v>
      </c>
      <c r="P479" s="2" t="str">
        <f t="shared" ref="P479:P486" si="9">HYPERLINK("https://www.facebook.com/762053551")</f>
        <v>https://www.facebook.com/762053551</v>
      </c>
      <c r="Q479">
        <v>102347</v>
      </c>
      <c r="R479" t="s">
        <v>6067</v>
      </c>
      <c r="S479" t="s">
        <v>6084</v>
      </c>
    </row>
    <row r="480" spans="1:19" ht="14.25" customHeight="1" x14ac:dyDescent="0.3">
      <c r="A480" t="s">
        <v>629</v>
      </c>
      <c r="B480" t="s">
        <v>1238</v>
      </c>
      <c r="C480" t="s">
        <v>95</v>
      </c>
      <c r="D480" t="s">
        <v>10</v>
      </c>
      <c r="E480" t="s">
        <v>1239</v>
      </c>
      <c r="F480" t="s">
        <v>6059</v>
      </c>
      <c r="G480" s="2" t="str">
        <f>HYPERLINK("https://www.facebook.com/762053551/posts/10156366210158552?comment_id=10156366236423552")</f>
        <v>https://www.facebook.com/762053551/posts/10156366210158552?comment_id=10156366236423552</v>
      </c>
      <c r="H480" t="s">
        <v>6062</v>
      </c>
      <c r="I480" t="s">
        <v>992</v>
      </c>
      <c r="J480" s="2" t="str">
        <f t="shared" si="8"/>
        <v>https://www.facebook.com/1170441054</v>
      </c>
      <c r="K480">
        <v>64</v>
      </c>
      <c r="N480" t="s">
        <v>13</v>
      </c>
      <c r="O480" t="s">
        <v>14</v>
      </c>
      <c r="P480" s="2" t="str">
        <f t="shared" si="9"/>
        <v>https://www.facebook.com/762053551</v>
      </c>
      <c r="Q480">
        <v>102347</v>
      </c>
      <c r="R480" t="s">
        <v>6067</v>
      </c>
      <c r="S480" t="s">
        <v>6084</v>
      </c>
    </row>
    <row r="481" spans="1:19" ht="14.25" customHeight="1" x14ac:dyDescent="0.3">
      <c r="A481" t="s">
        <v>629</v>
      </c>
      <c r="B481" t="s">
        <v>1232</v>
      </c>
      <c r="C481" t="s">
        <v>95</v>
      </c>
      <c r="D481" t="s">
        <v>10</v>
      </c>
      <c r="E481" t="s">
        <v>1233</v>
      </c>
      <c r="F481" t="s">
        <v>6059</v>
      </c>
      <c r="G481" s="2" t="str">
        <f>HYPERLINK("https://www.facebook.com/762053551/posts/10156366210158552?comment_id=10156366240578552")</f>
        <v>https://www.facebook.com/762053551/posts/10156366210158552?comment_id=10156366240578552</v>
      </c>
      <c r="H481" t="s">
        <v>6062</v>
      </c>
      <c r="I481" t="s">
        <v>992</v>
      </c>
      <c r="J481" s="2" t="str">
        <f t="shared" si="8"/>
        <v>https://www.facebook.com/1170441054</v>
      </c>
      <c r="K481">
        <v>64</v>
      </c>
      <c r="N481" t="s">
        <v>13</v>
      </c>
      <c r="O481" t="s">
        <v>14</v>
      </c>
      <c r="P481" s="2" t="str">
        <f t="shared" si="9"/>
        <v>https://www.facebook.com/762053551</v>
      </c>
      <c r="Q481">
        <v>102347</v>
      </c>
      <c r="R481" t="s">
        <v>6067</v>
      </c>
      <c r="S481" t="s">
        <v>6084</v>
      </c>
    </row>
    <row r="482" spans="1:19" ht="14.25" customHeight="1" x14ac:dyDescent="0.3">
      <c r="A482" t="s">
        <v>629</v>
      </c>
      <c r="B482" t="s">
        <v>1183</v>
      </c>
      <c r="C482" t="s">
        <v>95</v>
      </c>
      <c r="D482" t="s">
        <v>10</v>
      </c>
      <c r="E482" t="s">
        <v>1185</v>
      </c>
      <c r="F482" t="s">
        <v>6059</v>
      </c>
      <c r="G482" s="2" t="str">
        <f>HYPERLINK("https://www.facebook.com/762053551/posts/10156366210158552?comment_id=10156366263983552")</f>
        <v>https://www.facebook.com/762053551/posts/10156366210158552?comment_id=10156366263983552</v>
      </c>
      <c r="H482" t="s">
        <v>6062</v>
      </c>
      <c r="I482" t="s">
        <v>992</v>
      </c>
      <c r="J482" s="2" t="str">
        <f t="shared" si="8"/>
        <v>https://www.facebook.com/1170441054</v>
      </c>
      <c r="K482">
        <v>64</v>
      </c>
      <c r="N482" t="s">
        <v>13</v>
      </c>
      <c r="O482" t="s">
        <v>14</v>
      </c>
      <c r="P482" s="2" t="str">
        <f t="shared" si="9"/>
        <v>https://www.facebook.com/762053551</v>
      </c>
      <c r="Q482">
        <v>102347</v>
      </c>
      <c r="R482" t="s">
        <v>6067</v>
      </c>
      <c r="S482" t="s">
        <v>6084</v>
      </c>
    </row>
    <row r="483" spans="1:19" ht="14.25" customHeight="1" x14ac:dyDescent="0.3">
      <c r="A483" t="s">
        <v>629</v>
      </c>
      <c r="B483" t="s">
        <v>1022</v>
      </c>
      <c r="C483" t="s">
        <v>95</v>
      </c>
      <c r="D483" t="s">
        <v>10</v>
      </c>
      <c r="E483" t="s">
        <v>1027</v>
      </c>
      <c r="F483" t="s">
        <v>6059</v>
      </c>
      <c r="G483" s="2" t="str">
        <f>HYPERLINK("https://www.facebook.com/762053551/posts/10156366210158552?comment_id=10156366384528552")</f>
        <v>https://www.facebook.com/762053551/posts/10156366210158552?comment_id=10156366384528552</v>
      </c>
      <c r="H483" t="s">
        <v>6062</v>
      </c>
      <c r="I483" t="s">
        <v>992</v>
      </c>
      <c r="J483" s="2" t="str">
        <f t="shared" si="8"/>
        <v>https://www.facebook.com/1170441054</v>
      </c>
      <c r="K483">
        <v>64</v>
      </c>
      <c r="N483" t="s">
        <v>13</v>
      </c>
      <c r="O483" t="s">
        <v>14</v>
      </c>
      <c r="P483" s="2" t="str">
        <f t="shared" si="9"/>
        <v>https://www.facebook.com/762053551</v>
      </c>
      <c r="Q483">
        <v>102347</v>
      </c>
      <c r="R483" t="s">
        <v>6067</v>
      </c>
      <c r="S483" t="s">
        <v>6084</v>
      </c>
    </row>
    <row r="484" spans="1:19" ht="14.25" customHeight="1" x14ac:dyDescent="0.3">
      <c r="A484" t="s">
        <v>629</v>
      </c>
      <c r="B484" t="s">
        <v>1130</v>
      </c>
      <c r="C484" t="s">
        <v>95</v>
      </c>
      <c r="D484" t="s">
        <v>10</v>
      </c>
      <c r="E484" t="s">
        <v>1134</v>
      </c>
      <c r="F484" t="s">
        <v>6059</v>
      </c>
      <c r="G484" s="2" t="str">
        <f>HYPERLINK("https://www.facebook.com/762053551/posts/10156366210158552?comment_id=10156366293883552")</f>
        <v>https://www.facebook.com/762053551/posts/10156366210158552?comment_id=10156366293883552</v>
      </c>
      <c r="H484" t="s">
        <v>6062</v>
      </c>
      <c r="I484" t="s">
        <v>992</v>
      </c>
      <c r="J484" s="2" t="str">
        <f t="shared" si="8"/>
        <v>https://www.facebook.com/1170441054</v>
      </c>
      <c r="K484">
        <v>64</v>
      </c>
      <c r="N484" t="s">
        <v>13</v>
      </c>
      <c r="O484" t="s">
        <v>14</v>
      </c>
      <c r="P484" s="2" t="str">
        <f t="shared" si="9"/>
        <v>https://www.facebook.com/762053551</v>
      </c>
      <c r="Q484">
        <v>102347</v>
      </c>
      <c r="R484" t="s">
        <v>6067</v>
      </c>
      <c r="S484" t="s">
        <v>6084</v>
      </c>
    </row>
    <row r="485" spans="1:19" ht="14.25" customHeight="1" x14ac:dyDescent="0.3">
      <c r="A485" t="s">
        <v>629</v>
      </c>
      <c r="B485" t="s">
        <v>1005</v>
      </c>
      <c r="C485" t="s">
        <v>95</v>
      </c>
      <c r="D485" t="s">
        <v>10</v>
      </c>
      <c r="E485" t="s">
        <v>1006</v>
      </c>
      <c r="F485" t="s">
        <v>6059</v>
      </c>
      <c r="G485" s="2" t="str">
        <f>HYPERLINK("https://www.facebook.com/762053551/posts/10156366210158552?comment_id=10156366405338552")</f>
        <v>https://www.facebook.com/762053551/posts/10156366210158552?comment_id=10156366405338552</v>
      </c>
      <c r="H485" t="s">
        <v>6062</v>
      </c>
      <c r="I485" t="s">
        <v>992</v>
      </c>
      <c r="J485" s="2" t="str">
        <f t="shared" si="8"/>
        <v>https://www.facebook.com/1170441054</v>
      </c>
      <c r="K485">
        <v>64</v>
      </c>
      <c r="N485" t="s">
        <v>13</v>
      </c>
      <c r="O485" t="s">
        <v>14</v>
      </c>
      <c r="P485" s="2" t="str">
        <f t="shared" si="9"/>
        <v>https://www.facebook.com/762053551</v>
      </c>
      <c r="Q485">
        <v>102347</v>
      </c>
      <c r="R485" t="s">
        <v>6067</v>
      </c>
      <c r="S485" t="s">
        <v>6084</v>
      </c>
    </row>
    <row r="486" spans="1:19" ht="14.25" customHeight="1" x14ac:dyDescent="0.3">
      <c r="A486" t="s">
        <v>629</v>
      </c>
      <c r="B486" t="s">
        <v>986</v>
      </c>
      <c r="C486" t="s">
        <v>95</v>
      </c>
      <c r="D486" t="s">
        <v>10</v>
      </c>
      <c r="E486" t="s">
        <v>991</v>
      </c>
      <c r="F486" t="s">
        <v>6059</v>
      </c>
      <c r="G486" s="2" t="str">
        <f>HYPERLINK("https://www.facebook.com/762053551/posts/10156366210158552?comment_id=10156366443678552")</f>
        <v>https://www.facebook.com/762053551/posts/10156366210158552?comment_id=10156366443678552</v>
      </c>
      <c r="H486" t="s">
        <v>6062</v>
      </c>
      <c r="I486" t="s">
        <v>992</v>
      </c>
      <c r="J486" s="2" t="str">
        <f t="shared" si="8"/>
        <v>https://www.facebook.com/1170441054</v>
      </c>
      <c r="K486">
        <v>64</v>
      </c>
      <c r="N486" t="s">
        <v>13</v>
      </c>
      <c r="O486" t="s">
        <v>14</v>
      </c>
      <c r="P486" s="2" t="str">
        <f t="shared" si="9"/>
        <v>https://www.facebook.com/762053551</v>
      </c>
      <c r="Q486">
        <v>102347</v>
      </c>
      <c r="R486" t="s">
        <v>6067</v>
      </c>
      <c r="S486" t="s">
        <v>6084</v>
      </c>
    </row>
    <row r="487" spans="1:19" ht="14.25" customHeight="1" x14ac:dyDescent="0.3">
      <c r="A487" t="s">
        <v>2225</v>
      </c>
      <c r="B487" t="s">
        <v>2433</v>
      </c>
      <c r="C487" t="s">
        <v>95</v>
      </c>
      <c r="D487" t="s">
        <v>544</v>
      </c>
      <c r="E487" t="s">
        <v>545</v>
      </c>
      <c r="F487" t="s">
        <v>6058</v>
      </c>
      <c r="G487" s="2" t="str">
        <f>HYPERLINK("https://www.facebook.com/100025243473873/posts/110635913121191")</f>
        <v>https://www.facebook.com/100025243473873/posts/110635913121191</v>
      </c>
      <c r="H487" t="s">
        <v>6062</v>
      </c>
      <c r="I487" t="s">
        <v>1781</v>
      </c>
      <c r="J487" s="2" t="str">
        <f>HYPERLINK("https://www.facebook.com/100025243473873")</f>
        <v>https://www.facebook.com/100025243473873</v>
      </c>
      <c r="K487">
        <v>293</v>
      </c>
      <c r="L487" t="s">
        <v>6064</v>
      </c>
      <c r="N487" t="s">
        <v>13</v>
      </c>
      <c r="O487" t="s">
        <v>1781</v>
      </c>
      <c r="P487" s="2" t="str">
        <f>HYPERLINK("https://www.facebook.com/100025243473873")</f>
        <v>https://www.facebook.com/100025243473873</v>
      </c>
      <c r="Q487">
        <v>293</v>
      </c>
      <c r="R487" t="s">
        <v>6067</v>
      </c>
      <c r="S487" t="s">
        <v>6073</v>
      </c>
    </row>
    <row r="488" spans="1:19" ht="14.25" customHeight="1" x14ac:dyDescent="0.3">
      <c r="A488" t="s">
        <v>629</v>
      </c>
      <c r="B488" t="s">
        <v>1780</v>
      </c>
      <c r="C488" t="s">
        <v>95</v>
      </c>
      <c r="D488" t="s">
        <v>370</v>
      </c>
      <c r="E488" t="s">
        <v>371</v>
      </c>
      <c r="F488" t="s">
        <v>6058</v>
      </c>
      <c r="G488" s="2" t="str">
        <f>HYPERLINK("https://www.facebook.com/100025243473873/posts/111659709685478")</f>
        <v>https://www.facebook.com/100025243473873/posts/111659709685478</v>
      </c>
      <c r="H488" t="s">
        <v>6062</v>
      </c>
      <c r="I488" t="s">
        <v>1781</v>
      </c>
      <c r="J488" s="2" t="str">
        <f>HYPERLINK("https://www.facebook.com/100025243473873")</f>
        <v>https://www.facebook.com/100025243473873</v>
      </c>
      <c r="K488">
        <v>293</v>
      </c>
      <c r="L488" t="s">
        <v>6064</v>
      </c>
      <c r="N488" t="s">
        <v>13</v>
      </c>
      <c r="O488" t="s">
        <v>1781</v>
      </c>
      <c r="P488" s="2" t="str">
        <f>HYPERLINK("https://www.facebook.com/100025243473873")</f>
        <v>https://www.facebook.com/100025243473873</v>
      </c>
      <c r="Q488">
        <v>293</v>
      </c>
      <c r="R488" t="s">
        <v>6067</v>
      </c>
      <c r="S488" t="s">
        <v>6073</v>
      </c>
    </row>
    <row r="489" spans="1:19" ht="14.25" customHeight="1" x14ac:dyDescent="0.3">
      <c r="A489" t="s">
        <v>4995</v>
      </c>
      <c r="B489" t="s">
        <v>1907</v>
      </c>
      <c r="C489" t="s">
        <v>3538</v>
      </c>
      <c r="D489" t="s">
        <v>5333</v>
      </c>
      <c r="E489" t="s">
        <v>5337</v>
      </c>
      <c r="F489" t="s">
        <v>6059</v>
      </c>
      <c r="G489" s="2" t="str">
        <f>HYPERLINK("https://www.facebook.com/100009578475197/posts/1951863175142946?comment_id=1951894475139816")</f>
        <v>https://www.facebook.com/100009578475197/posts/1951863175142946?comment_id=1951894475139816</v>
      </c>
      <c r="H489" t="s">
        <v>6062</v>
      </c>
      <c r="I489" t="s">
        <v>5338</v>
      </c>
      <c r="J489" s="2" t="str">
        <f>HYPERLINK("https://www.facebook.com/1582002785")</f>
        <v>https://www.facebook.com/1582002785</v>
      </c>
      <c r="K489">
        <v>160</v>
      </c>
      <c r="L489" t="s">
        <v>6064</v>
      </c>
      <c r="N489" t="s">
        <v>13</v>
      </c>
      <c r="O489" t="s">
        <v>3317</v>
      </c>
      <c r="P489" s="2" t="str">
        <f>HYPERLINK("https://www.facebook.com/100009578475197")</f>
        <v>https://www.facebook.com/100009578475197</v>
      </c>
      <c r="Q489">
        <v>254</v>
      </c>
      <c r="R489" t="s">
        <v>6067</v>
      </c>
      <c r="S489" t="s">
        <v>6087</v>
      </c>
    </row>
    <row r="490" spans="1:19" ht="14.25" customHeight="1" x14ac:dyDescent="0.3">
      <c r="A490" t="s">
        <v>3527</v>
      </c>
      <c r="B490" t="s">
        <v>3927</v>
      </c>
      <c r="C490" t="s">
        <v>95</v>
      </c>
      <c r="D490" t="s">
        <v>2321</v>
      </c>
      <c r="E490" t="s">
        <v>3928</v>
      </c>
      <c r="F490" t="s">
        <v>6056</v>
      </c>
      <c r="G490" s="2" t="str">
        <f>HYPERLINK("https://www.facebook.com/100003605871974/posts/1241386752658175")</f>
        <v>https://www.facebook.com/100003605871974/posts/1241386752658175</v>
      </c>
      <c r="H490" t="s">
        <v>6062</v>
      </c>
      <c r="I490" t="s">
        <v>3929</v>
      </c>
      <c r="J490" s="2" t="str">
        <f>HYPERLINK("https://www.facebook.com/100003605871974")</f>
        <v>https://www.facebook.com/100003605871974</v>
      </c>
      <c r="K490">
        <v>549</v>
      </c>
      <c r="L490" t="s">
        <v>6064</v>
      </c>
      <c r="N490" t="s">
        <v>13</v>
      </c>
      <c r="O490" t="s">
        <v>3929</v>
      </c>
      <c r="P490" s="2" t="str">
        <f>HYPERLINK("https://www.facebook.com/100003605871974")</f>
        <v>https://www.facebook.com/100003605871974</v>
      </c>
      <c r="Q490">
        <v>549</v>
      </c>
      <c r="R490" t="s">
        <v>6067</v>
      </c>
      <c r="S490" t="s">
        <v>6073</v>
      </c>
    </row>
    <row r="491" spans="1:19" ht="14.25" customHeight="1" x14ac:dyDescent="0.3">
      <c r="A491" t="s">
        <v>5409</v>
      </c>
      <c r="B491" t="s">
        <v>311</v>
      </c>
      <c r="C491" t="s">
        <v>3538</v>
      </c>
      <c r="D491" t="s">
        <v>5442</v>
      </c>
      <c r="E491" t="s">
        <v>5592</v>
      </c>
      <c r="F491" t="s">
        <v>6058</v>
      </c>
      <c r="G491" s="2" t="str">
        <f>HYPERLINK("https://www.facebook.com/100001709043091/posts/1647917195275233")</f>
        <v>https://www.facebook.com/100001709043091/posts/1647917195275233</v>
      </c>
      <c r="H491" t="s">
        <v>6062</v>
      </c>
      <c r="I491" t="s">
        <v>5831</v>
      </c>
      <c r="J491" s="2" t="str">
        <f>HYPERLINK("https://www.facebook.com/100001709043091")</f>
        <v>https://www.facebook.com/100001709043091</v>
      </c>
      <c r="K491">
        <v>601</v>
      </c>
      <c r="N491" t="s">
        <v>13</v>
      </c>
      <c r="O491" t="s">
        <v>5831</v>
      </c>
      <c r="P491" s="2" t="str">
        <f>HYPERLINK("https://www.facebook.com/100001709043091")</f>
        <v>https://www.facebook.com/100001709043091</v>
      </c>
      <c r="Q491">
        <v>601</v>
      </c>
      <c r="R491" t="s">
        <v>6067</v>
      </c>
    </row>
    <row r="492" spans="1:19" ht="14.25" customHeight="1" x14ac:dyDescent="0.3">
      <c r="A492" t="s">
        <v>2225</v>
      </c>
      <c r="B492" t="s">
        <v>2824</v>
      </c>
      <c r="C492" t="s">
        <v>95</v>
      </c>
      <c r="D492" t="s">
        <v>544</v>
      </c>
      <c r="E492" t="s">
        <v>545</v>
      </c>
      <c r="F492" t="s">
        <v>6058</v>
      </c>
      <c r="G492" s="2" t="str">
        <f>HYPERLINK("https://www.facebook.com/100006885791021/posts/2081562288749944")</f>
        <v>https://www.facebook.com/100006885791021/posts/2081562288749944</v>
      </c>
      <c r="H492" t="s">
        <v>6062</v>
      </c>
      <c r="I492" t="s">
        <v>1920</v>
      </c>
      <c r="J492" s="2" t="str">
        <f>HYPERLINK("https://www.facebook.com/100006885791021")</f>
        <v>https://www.facebook.com/100006885791021</v>
      </c>
      <c r="K492">
        <v>0</v>
      </c>
      <c r="L492" t="s">
        <v>6063</v>
      </c>
      <c r="N492" t="s">
        <v>13</v>
      </c>
      <c r="O492" t="s">
        <v>1920</v>
      </c>
      <c r="P492" s="2" t="str">
        <f>HYPERLINK("https://www.facebook.com/100006885791021")</f>
        <v>https://www.facebook.com/100006885791021</v>
      </c>
      <c r="Q492">
        <v>0</v>
      </c>
      <c r="R492" t="s">
        <v>6067</v>
      </c>
      <c r="S492" t="s">
        <v>6073</v>
      </c>
    </row>
    <row r="493" spans="1:19" ht="14.25" customHeight="1" x14ac:dyDescent="0.3">
      <c r="A493" t="s">
        <v>629</v>
      </c>
      <c r="B493" t="s">
        <v>1917</v>
      </c>
      <c r="C493" t="s">
        <v>95</v>
      </c>
      <c r="D493" t="s">
        <v>1918</v>
      </c>
      <c r="E493" t="s">
        <v>1919</v>
      </c>
      <c r="F493" t="s">
        <v>6057</v>
      </c>
      <c r="G493" s="2" t="str">
        <f>HYPERLINK("https://www.facebook.com/100006885791021/posts/2081782628727910")</f>
        <v>https://www.facebook.com/100006885791021/posts/2081782628727910</v>
      </c>
      <c r="H493" t="s">
        <v>6062</v>
      </c>
      <c r="I493" t="s">
        <v>1920</v>
      </c>
      <c r="J493" s="2" t="str">
        <f>HYPERLINK("https://www.facebook.com/100006885791021")</f>
        <v>https://www.facebook.com/100006885791021</v>
      </c>
      <c r="K493">
        <v>0</v>
      </c>
      <c r="L493" t="s">
        <v>6063</v>
      </c>
      <c r="N493" t="s">
        <v>13</v>
      </c>
      <c r="O493" t="s">
        <v>1920</v>
      </c>
      <c r="P493" s="2" t="str">
        <f>HYPERLINK("https://www.facebook.com/100006885791021")</f>
        <v>https://www.facebook.com/100006885791021</v>
      </c>
      <c r="Q493">
        <v>0</v>
      </c>
      <c r="R493" t="s">
        <v>6067</v>
      </c>
      <c r="S493" t="s">
        <v>6073</v>
      </c>
    </row>
    <row r="494" spans="1:19" ht="14.25" customHeight="1" x14ac:dyDescent="0.3">
      <c r="A494" t="s">
        <v>2225</v>
      </c>
      <c r="B494" t="s">
        <v>762</v>
      </c>
      <c r="C494" t="s">
        <v>95</v>
      </c>
      <c r="D494" t="s">
        <v>2821</v>
      </c>
      <c r="E494" t="s">
        <v>2822</v>
      </c>
      <c r="F494" t="s">
        <v>6057</v>
      </c>
      <c r="G494" s="2" t="str">
        <f>HYPERLINK("https://www.facebook.com/100006885791021/posts/2081562608749912")</f>
        <v>https://www.facebook.com/100006885791021/posts/2081562608749912</v>
      </c>
      <c r="H494" t="s">
        <v>6062</v>
      </c>
      <c r="I494" t="s">
        <v>1920</v>
      </c>
      <c r="J494" s="2" t="str">
        <f>HYPERLINK("https://www.facebook.com/100006885791021")</f>
        <v>https://www.facebook.com/100006885791021</v>
      </c>
      <c r="K494">
        <v>0</v>
      </c>
      <c r="L494" t="s">
        <v>6063</v>
      </c>
      <c r="N494" t="s">
        <v>13</v>
      </c>
      <c r="O494" t="s">
        <v>1920</v>
      </c>
      <c r="P494" s="2" t="str">
        <f>HYPERLINK("https://www.facebook.com/100006885791021")</f>
        <v>https://www.facebook.com/100006885791021</v>
      </c>
      <c r="Q494">
        <v>0</v>
      </c>
      <c r="R494" t="s">
        <v>6067</v>
      </c>
      <c r="S494" t="s">
        <v>6073</v>
      </c>
    </row>
    <row r="495" spans="1:19" ht="14.25" customHeight="1" x14ac:dyDescent="0.3">
      <c r="A495" t="s">
        <v>2225</v>
      </c>
      <c r="B495" t="s">
        <v>1136</v>
      </c>
      <c r="C495" t="s">
        <v>95</v>
      </c>
      <c r="D495" t="s">
        <v>3175</v>
      </c>
      <c r="E495" t="s">
        <v>3176</v>
      </c>
      <c r="F495" t="s">
        <v>6059</v>
      </c>
      <c r="G495" s="2" t="str">
        <f>HYPERLINK("https://www.facebook.com/100001787112815/posts/1612441262158762?comment_id=1615483041854584")</f>
        <v>https://www.facebook.com/100001787112815/posts/1612441262158762?comment_id=1615483041854584</v>
      </c>
      <c r="H495" t="s">
        <v>6062</v>
      </c>
      <c r="I495" t="s">
        <v>3177</v>
      </c>
      <c r="J495" s="2" t="str">
        <f>HYPERLINK("https://www.facebook.com/100001787112815")</f>
        <v>https://www.facebook.com/100001787112815</v>
      </c>
      <c r="K495">
        <v>652</v>
      </c>
      <c r="L495" t="s">
        <v>6064</v>
      </c>
      <c r="N495" t="s">
        <v>13</v>
      </c>
      <c r="O495" t="s">
        <v>3177</v>
      </c>
      <c r="P495" s="2" t="str">
        <f>HYPERLINK("https://www.facebook.com/100001787112815")</f>
        <v>https://www.facebook.com/100001787112815</v>
      </c>
      <c r="Q495">
        <v>652</v>
      </c>
      <c r="R495" t="s">
        <v>6067</v>
      </c>
      <c r="S495" t="s">
        <v>6073</v>
      </c>
    </row>
    <row r="496" spans="1:19" ht="14.25" customHeight="1" x14ac:dyDescent="0.3">
      <c r="A496" t="s">
        <v>5409</v>
      </c>
      <c r="B496" t="s">
        <v>3889</v>
      </c>
      <c r="C496" t="s">
        <v>3538</v>
      </c>
      <c r="D496" t="s">
        <v>5568</v>
      </c>
      <c r="E496" t="s">
        <v>5568</v>
      </c>
      <c r="F496" t="s">
        <v>6056</v>
      </c>
      <c r="G496" s="2" t="str">
        <f>HYPERLINK("https://www.facebook.com/1325330313/posts/10215945026801608")</f>
        <v>https://www.facebook.com/1325330313/posts/10215945026801608</v>
      </c>
      <c r="H496" t="s">
        <v>6062</v>
      </c>
      <c r="I496" t="s">
        <v>5204</v>
      </c>
      <c r="J496" s="2" t="str">
        <f>HYPERLINK("https://www.facebook.com/1325330313")</f>
        <v>https://www.facebook.com/1325330313</v>
      </c>
      <c r="K496">
        <v>1666</v>
      </c>
      <c r="L496" t="s">
        <v>6064</v>
      </c>
      <c r="M496">
        <v>30</v>
      </c>
      <c r="N496" t="s">
        <v>13</v>
      </c>
      <c r="O496" t="s">
        <v>5204</v>
      </c>
      <c r="P496" s="2" t="str">
        <f>HYPERLINK("https://www.facebook.com/1325330313")</f>
        <v>https://www.facebook.com/1325330313</v>
      </c>
      <c r="Q496">
        <v>1666</v>
      </c>
      <c r="R496" t="s">
        <v>6067</v>
      </c>
      <c r="S496" t="s">
        <v>6073</v>
      </c>
    </row>
    <row r="497" spans="1:19" ht="14.25" customHeight="1" x14ac:dyDescent="0.3">
      <c r="A497" t="s">
        <v>4995</v>
      </c>
      <c r="B497" t="s">
        <v>1801</v>
      </c>
      <c r="C497" t="s">
        <v>3538</v>
      </c>
      <c r="D497" t="s">
        <v>5324</v>
      </c>
      <c r="E497" t="s">
        <v>5325</v>
      </c>
      <c r="F497" t="s">
        <v>6056</v>
      </c>
      <c r="G497" s="2" t="str">
        <f>HYPERLINK("https://www.facebook.com/100002116781587/posts/1657606774319866")</f>
        <v>https://www.facebook.com/100002116781587/posts/1657606774319866</v>
      </c>
      <c r="H497" t="s">
        <v>6062</v>
      </c>
      <c r="I497" t="s">
        <v>5326</v>
      </c>
      <c r="J497" s="2" t="str">
        <f>HYPERLINK("https://www.facebook.com/100002116781587")</f>
        <v>https://www.facebook.com/100002116781587</v>
      </c>
      <c r="K497">
        <v>304</v>
      </c>
      <c r="L497" t="s">
        <v>6064</v>
      </c>
      <c r="M497">
        <v>26</v>
      </c>
      <c r="N497" t="s">
        <v>13</v>
      </c>
      <c r="O497" t="s">
        <v>5326</v>
      </c>
      <c r="P497" s="2" t="str">
        <f>HYPERLINK("https://www.facebook.com/100002116781587")</f>
        <v>https://www.facebook.com/100002116781587</v>
      </c>
      <c r="Q497">
        <v>304</v>
      </c>
      <c r="R497" t="s">
        <v>6067</v>
      </c>
      <c r="S497" t="s">
        <v>6073</v>
      </c>
    </row>
    <row r="498" spans="1:19" ht="14.25" customHeight="1" x14ac:dyDescent="0.3">
      <c r="A498" t="s">
        <v>629</v>
      </c>
      <c r="B498" t="s">
        <v>1322</v>
      </c>
      <c r="C498" t="s">
        <v>95</v>
      </c>
      <c r="D498" t="s">
        <v>1323</v>
      </c>
      <c r="E498" t="s">
        <v>1324</v>
      </c>
      <c r="F498" t="s">
        <v>6059</v>
      </c>
      <c r="G498" s="2" t="str">
        <f>HYPERLINK("https://www.facebook.com/100002102391983/posts/1673027632777300?comment_id=1673068032773260")</f>
        <v>https://www.facebook.com/100002102391983/posts/1673027632777300?comment_id=1673068032773260</v>
      </c>
      <c r="H498" t="s">
        <v>6062</v>
      </c>
      <c r="I498" t="s">
        <v>1325</v>
      </c>
      <c r="J498" s="2" t="str">
        <f>HYPERLINK("https://www.facebook.com/100001616356242")</f>
        <v>https://www.facebook.com/100001616356242</v>
      </c>
      <c r="K498">
        <v>3914</v>
      </c>
      <c r="L498" t="s">
        <v>6064</v>
      </c>
      <c r="N498" t="s">
        <v>13</v>
      </c>
      <c r="O498" t="s">
        <v>1326</v>
      </c>
      <c r="P498" s="2" t="str">
        <f>HYPERLINK("https://www.facebook.com/100002102391983")</f>
        <v>https://www.facebook.com/100002102391983</v>
      </c>
      <c r="Q498">
        <v>23807</v>
      </c>
      <c r="R498" t="s">
        <v>6067</v>
      </c>
      <c r="S498" t="s">
        <v>6073</v>
      </c>
    </row>
    <row r="499" spans="1:19" ht="14.25" customHeight="1" x14ac:dyDescent="0.3">
      <c r="A499" t="s">
        <v>629</v>
      </c>
      <c r="B499" t="s">
        <v>94</v>
      </c>
      <c r="C499" t="s">
        <v>95</v>
      </c>
      <c r="D499" t="s">
        <v>1323</v>
      </c>
      <c r="E499" t="s">
        <v>1374</v>
      </c>
      <c r="F499" t="s">
        <v>6059</v>
      </c>
      <c r="G499" s="2" t="str">
        <f>HYPERLINK("https://www.facebook.com/100002102391983/posts/1673027632777300?comment_id=1673029486110448")</f>
        <v>https://www.facebook.com/100002102391983/posts/1673027632777300?comment_id=1673029486110448</v>
      </c>
      <c r="H499" t="s">
        <v>6062</v>
      </c>
      <c r="I499" t="s">
        <v>1325</v>
      </c>
      <c r="J499" s="2" t="str">
        <f>HYPERLINK("https://www.facebook.com/100001616356242")</f>
        <v>https://www.facebook.com/100001616356242</v>
      </c>
      <c r="K499">
        <v>3914</v>
      </c>
      <c r="L499" t="s">
        <v>6064</v>
      </c>
      <c r="N499" t="s">
        <v>13</v>
      </c>
      <c r="O499" t="s">
        <v>1326</v>
      </c>
      <c r="P499" s="2" t="str">
        <f>HYPERLINK("https://www.facebook.com/100002102391983")</f>
        <v>https://www.facebook.com/100002102391983</v>
      </c>
      <c r="Q499">
        <v>23807</v>
      </c>
      <c r="R499" t="s">
        <v>6067</v>
      </c>
      <c r="S499" t="s">
        <v>6073</v>
      </c>
    </row>
    <row r="500" spans="1:19" ht="14.25" customHeight="1" x14ac:dyDescent="0.3">
      <c r="A500" t="s">
        <v>3527</v>
      </c>
      <c r="B500" t="s">
        <v>3816</v>
      </c>
      <c r="C500" t="s">
        <v>95</v>
      </c>
      <c r="D500" t="s">
        <v>1990</v>
      </c>
      <c r="E500" t="s">
        <v>3649</v>
      </c>
      <c r="F500" t="s">
        <v>6056</v>
      </c>
      <c r="G500" s="2" t="str">
        <f>HYPERLINK("https://www.facebook.com/100007018560957/posts/2076065942637338")</f>
        <v>https://www.facebook.com/100007018560957/posts/2076065942637338</v>
      </c>
      <c r="H500" t="s">
        <v>6062</v>
      </c>
      <c r="I500" t="s">
        <v>3819</v>
      </c>
      <c r="J500" s="2" t="str">
        <f>HYPERLINK("https://www.facebook.com/100007018560957")</f>
        <v>https://www.facebook.com/100007018560957</v>
      </c>
      <c r="K500">
        <v>0</v>
      </c>
      <c r="L500" t="s">
        <v>6064</v>
      </c>
      <c r="N500" t="s">
        <v>13</v>
      </c>
      <c r="O500" t="s">
        <v>3819</v>
      </c>
      <c r="P500" s="2" t="str">
        <f>HYPERLINK("https://www.facebook.com/100007018560957")</f>
        <v>https://www.facebook.com/100007018560957</v>
      </c>
      <c r="Q500">
        <v>0</v>
      </c>
      <c r="R500" t="s">
        <v>6067</v>
      </c>
      <c r="S500" t="s">
        <v>6073</v>
      </c>
    </row>
    <row r="501" spans="1:19" ht="14.25" customHeight="1" x14ac:dyDescent="0.3">
      <c r="A501" t="s">
        <v>4995</v>
      </c>
      <c r="B501" t="s">
        <v>171</v>
      </c>
      <c r="C501" t="s">
        <v>3538</v>
      </c>
      <c r="D501" t="s">
        <v>4468</v>
      </c>
      <c r="E501" t="s">
        <v>5251</v>
      </c>
      <c r="F501" t="s">
        <v>6059</v>
      </c>
      <c r="G501" s="2" t="str">
        <f>HYPERLINK("https://www.facebook.com/1529329267308888/posts/2058827921025684?comment_id=2059177627657380")</f>
        <v>https://www.facebook.com/1529329267308888/posts/2058827921025684?comment_id=2059177627657380</v>
      </c>
      <c r="H501" t="s">
        <v>6062</v>
      </c>
      <c r="I501" t="s">
        <v>5252</v>
      </c>
      <c r="J501" s="2" t="str">
        <f>HYPERLINK("https://www.facebook.com/100001252479022")</f>
        <v>https://www.facebook.com/100001252479022</v>
      </c>
      <c r="K501">
        <v>0</v>
      </c>
      <c r="L501" t="s">
        <v>6064</v>
      </c>
      <c r="N501" t="s">
        <v>13</v>
      </c>
      <c r="O501" t="s">
        <v>4471</v>
      </c>
      <c r="P501" s="2" t="str">
        <f>HYPERLINK("https://www.facebook.com/1529329267308888")</f>
        <v>https://www.facebook.com/1529329267308888</v>
      </c>
      <c r="R501" t="s">
        <v>6067</v>
      </c>
    </row>
    <row r="502" spans="1:19" ht="14.25" customHeight="1" x14ac:dyDescent="0.3">
      <c r="A502" t="s">
        <v>4995</v>
      </c>
      <c r="B502" t="s">
        <v>4927</v>
      </c>
      <c r="C502" t="s">
        <v>3538</v>
      </c>
      <c r="D502" t="s">
        <v>4468</v>
      </c>
      <c r="E502" t="s">
        <v>5393</v>
      </c>
      <c r="F502" t="s">
        <v>6059</v>
      </c>
      <c r="G502" s="2" t="str">
        <f>HYPERLINK("https://www.facebook.com/1529329267308888/posts/2058827921025684?comment_id=2058963987678744")</f>
        <v>https://www.facebook.com/1529329267308888/posts/2058827921025684?comment_id=2058963987678744</v>
      </c>
      <c r="H502" t="s">
        <v>6062</v>
      </c>
      <c r="I502" t="s">
        <v>5252</v>
      </c>
      <c r="J502" s="2" t="str">
        <f>HYPERLINK("https://www.facebook.com/100001252479022")</f>
        <v>https://www.facebook.com/100001252479022</v>
      </c>
      <c r="K502">
        <v>0</v>
      </c>
      <c r="L502" t="s">
        <v>6064</v>
      </c>
      <c r="N502" t="s">
        <v>13</v>
      </c>
      <c r="O502" t="s">
        <v>4471</v>
      </c>
      <c r="P502" s="2" t="str">
        <f>HYPERLINK("https://www.facebook.com/1529329267308888")</f>
        <v>https://www.facebook.com/1529329267308888</v>
      </c>
      <c r="R502" t="s">
        <v>6067</v>
      </c>
    </row>
    <row r="503" spans="1:19" ht="14.25" customHeight="1" x14ac:dyDescent="0.3">
      <c r="A503" t="s">
        <v>629</v>
      </c>
      <c r="B503" t="s">
        <v>1186</v>
      </c>
      <c r="C503" t="s">
        <v>95</v>
      </c>
      <c r="D503" t="s">
        <v>10</v>
      </c>
      <c r="E503" t="s">
        <v>1187</v>
      </c>
      <c r="F503" t="s">
        <v>6059</v>
      </c>
      <c r="G503" s="2" t="str">
        <f>HYPERLINK("https://www.facebook.com/762053551/posts/10156366210158552?comment_id=10156366262648552")</f>
        <v>https://www.facebook.com/762053551/posts/10156366210158552?comment_id=10156366262648552</v>
      </c>
      <c r="H503" t="s">
        <v>6062</v>
      </c>
      <c r="I503" t="s">
        <v>1177</v>
      </c>
      <c r="J503" s="2" t="str">
        <f>HYPERLINK("https://www.facebook.com/100001168129514")</f>
        <v>https://www.facebook.com/100001168129514</v>
      </c>
      <c r="K503">
        <v>0</v>
      </c>
      <c r="L503" t="s">
        <v>6063</v>
      </c>
      <c r="N503" t="s">
        <v>13</v>
      </c>
      <c r="O503" t="s">
        <v>14</v>
      </c>
      <c r="P503" s="2" t="str">
        <f>HYPERLINK("https://www.facebook.com/762053551")</f>
        <v>https://www.facebook.com/762053551</v>
      </c>
      <c r="Q503">
        <v>102347</v>
      </c>
      <c r="R503" t="s">
        <v>6067</v>
      </c>
      <c r="S503" t="s">
        <v>6073</v>
      </c>
    </row>
    <row r="504" spans="1:19" ht="14.25" customHeight="1" x14ac:dyDescent="0.3">
      <c r="A504" t="s">
        <v>629</v>
      </c>
      <c r="B504" t="s">
        <v>1172</v>
      </c>
      <c r="C504" t="s">
        <v>95</v>
      </c>
      <c r="D504" t="s">
        <v>10</v>
      </c>
      <c r="E504" t="s">
        <v>1176</v>
      </c>
      <c r="F504" t="s">
        <v>6059</v>
      </c>
      <c r="G504" s="2" t="str">
        <f>HYPERLINK("https://www.facebook.com/762053551/posts/10156366210158552?comment_id=10156366267233552")</f>
        <v>https://www.facebook.com/762053551/posts/10156366210158552?comment_id=10156366267233552</v>
      </c>
      <c r="H504" t="s">
        <v>6062</v>
      </c>
      <c r="I504" t="s">
        <v>1177</v>
      </c>
      <c r="J504" s="2" t="str">
        <f>HYPERLINK("https://www.facebook.com/100001168129514")</f>
        <v>https://www.facebook.com/100001168129514</v>
      </c>
      <c r="K504">
        <v>0</v>
      </c>
      <c r="L504" t="s">
        <v>6063</v>
      </c>
      <c r="N504" t="s">
        <v>13</v>
      </c>
      <c r="O504" t="s">
        <v>14</v>
      </c>
      <c r="P504" s="2" t="str">
        <f>HYPERLINK("https://www.facebook.com/762053551")</f>
        <v>https://www.facebook.com/762053551</v>
      </c>
      <c r="Q504">
        <v>102347</v>
      </c>
      <c r="R504" t="s">
        <v>6067</v>
      </c>
      <c r="S504" t="s">
        <v>6073</v>
      </c>
    </row>
    <row r="505" spans="1:19" ht="14.25" customHeight="1" x14ac:dyDescent="0.3">
      <c r="A505" t="s">
        <v>2225</v>
      </c>
      <c r="B505" t="s">
        <v>2614</v>
      </c>
      <c r="C505" t="s">
        <v>95</v>
      </c>
      <c r="D505" t="s">
        <v>544</v>
      </c>
      <c r="E505" t="s">
        <v>545</v>
      </c>
      <c r="F505" t="s">
        <v>6058</v>
      </c>
      <c r="G505" s="2" t="str">
        <f>HYPERLINK("https://www.facebook.com/100003527791794/posts/1527818524012393")</f>
        <v>https://www.facebook.com/100003527791794/posts/1527818524012393</v>
      </c>
      <c r="H505" t="s">
        <v>6062</v>
      </c>
      <c r="I505" t="s">
        <v>2617</v>
      </c>
      <c r="J505" s="2" t="str">
        <f>HYPERLINK("https://www.facebook.com/100003527791794")</f>
        <v>https://www.facebook.com/100003527791794</v>
      </c>
      <c r="K505">
        <v>312</v>
      </c>
      <c r="L505" t="s">
        <v>6063</v>
      </c>
      <c r="N505" t="s">
        <v>13</v>
      </c>
      <c r="O505" t="s">
        <v>2617</v>
      </c>
      <c r="P505" s="2" t="str">
        <f>HYPERLINK("https://www.facebook.com/100003527791794")</f>
        <v>https://www.facebook.com/100003527791794</v>
      </c>
      <c r="Q505">
        <v>312</v>
      </c>
      <c r="R505" t="s">
        <v>6067</v>
      </c>
      <c r="S505" t="s">
        <v>6073</v>
      </c>
    </row>
    <row r="506" spans="1:19" ht="14.25" customHeight="1" x14ac:dyDescent="0.3">
      <c r="A506" t="s">
        <v>1</v>
      </c>
      <c r="B506" t="s">
        <v>307</v>
      </c>
      <c r="C506" t="s">
        <v>95</v>
      </c>
      <c r="D506" t="s">
        <v>10</v>
      </c>
      <c r="E506" t="s">
        <v>308</v>
      </c>
      <c r="F506" t="s">
        <v>6059</v>
      </c>
      <c r="G506" s="2" t="str">
        <f>HYPERLINK("https://www.facebook.com/762053551/posts/10156366210158552?comment_id=10156368293383552")</f>
        <v>https://www.facebook.com/762053551/posts/10156366210158552?comment_id=10156368293383552</v>
      </c>
      <c r="H506" t="s">
        <v>6062</v>
      </c>
      <c r="I506" t="s">
        <v>160</v>
      </c>
      <c r="J506" s="2" t="str">
        <f>HYPERLINK("https://www.facebook.com/100001241341184")</f>
        <v>https://www.facebook.com/100001241341184</v>
      </c>
      <c r="K506">
        <v>306</v>
      </c>
      <c r="L506" t="s">
        <v>6063</v>
      </c>
      <c r="N506" t="s">
        <v>13</v>
      </c>
      <c r="O506" t="s">
        <v>14</v>
      </c>
      <c r="P506" s="2" t="str">
        <f>HYPERLINK("https://www.facebook.com/762053551")</f>
        <v>https://www.facebook.com/762053551</v>
      </c>
      <c r="Q506">
        <v>102347</v>
      </c>
      <c r="R506" t="s">
        <v>6067</v>
      </c>
      <c r="S506" t="s">
        <v>6073</v>
      </c>
    </row>
    <row r="507" spans="1:19" ht="14.25" customHeight="1" x14ac:dyDescent="0.3">
      <c r="A507" t="s">
        <v>629</v>
      </c>
      <c r="B507" t="s">
        <v>1924</v>
      </c>
      <c r="C507" t="s">
        <v>95</v>
      </c>
      <c r="D507" t="s">
        <v>370</v>
      </c>
      <c r="E507" t="s">
        <v>371</v>
      </c>
      <c r="F507" t="s">
        <v>6058</v>
      </c>
      <c r="G507" s="2" t="str">
        <f>HYPERLINK("https://www.facebook.com/100023917387763/posts/186367205503858")</f>
        <v>https://www.facebook.com/100023917387763/posts/186367205503858</v>
      </c>
      <c r="H507" t="s">
        <v>6062</v>
      </c>
      <c r="I507" t="s">
        <v>1925</v>
      </c>
      <c r="J507" s="2" t="str">
        <f>HYPERLINK("https://www.facebook.com/100023917387763")</f>
        <v>https://www.facebook.com/100023917387763</v>
      </c>
      <c r="K507">
        <v>468</v>
      </c>
      <c r="L507" t="s">
        <v>6063</v>
      </c>
      <c r="N507" t="s">
        <v>13</v>
      </c>
      <c r="O507" t="s">
        <v>1925</v>
      </c>
      <c r="P507" s="2" t="str">
        <f>HYPERLINK("https://www.facebook.com/100023917387763")</f>
        <v>https://www.facebook.com/100023917387763</v>
      </c>
      <c r="Q507">
        <v>468</v>
      </c>
      <c r="R507" t="s">
        <v>6067</v>
      </c>
    </row>
    <row r="508" spans="1:19" ht="14.25" customHeight="1" x14ac:dyDescent="0.3">
      <c r="A508" t="s">
        <v>629</v>
      </c>
      <c r="B508" t="s">
        <v>2147</v>
      </c>
      <c r="C508" t="s">
        <v>95</v>
      </c>
      <c r="D508" t="s">
        <v>2148</v>
      </c>
      <c r="E508" t="s">
        <v>2149</v>
      </c>
      <c r="F508" t="s">
        <v>6056</v>
      </c>
      <c r="G508" s="2" t="str">
        <f>HYPERLINK("https://www.facebook.com/100000439946976/posts/1933842526640393")</f>
        <v>https://www.facebook.com/100000439946976/posts/1933842526640393</v>
      </c>
      <c r="H508" t="s">
        <v>6062</v>
      </c>
      <c r="I508" t="s">
        <v>2150</v>
      </c>
      <c r="J508" s="2" t="str">
        <f>HYPERLINK("https://www.facebook.com/100000439946976")</f>
        <v>https://www.facebook.com/100000439946976</v>
      </c>
      <c r="K508">
        <v>562</v>
      </c>
      <c r="L508" t="s">
        <v>6063</v>
      </c>
      <c r="N508" t="s">
        <v>13</v>
      </c>
      <c r="O508" t="s">
        <v>2150</v>
      </c>
      <c r="P508" s="2" t="str">
        <f>HYPERLINK("https://www.facebook.com/100000439946976")</f>
        <v>https://www.facebook.com/100000439946976</v>
      </c>
      <c r="Q508">
        <v>562</v>
      </c>
      <c r="R508" t="s">
        <v>6067</v>
      </c>
      <c r="S508" t="s">
        <v>6073</v>
      </c>
    </row>
    <row r="509" spans="1:19" ht="14.25" customHeight="1" x14ac:dyDescent="0.3">
      <c r="A509" t="s">
        <v>2225</v>
      </c>
      <c r="B509" t="s">
        <v>3079</v>
      </c>
      <c r="C509" t="s">
        <v>95</v>
      </c>
      <c r="D509" t="s">
        <v>464</v>
      </c>
      <c r="E509" t="s">
        <v>3080</v>
      </c>
      <c r="F509" t="s">
        <v>6059</v>
      </c>
      <c r="G509" s="2" t="str">
        <f>HYPERLINK("https://www.facebook.com/1362386453/posts/10216460219362335?comment_id=10216460578131304")</f>
        <v>https://www.facebook.com/1362386453/posts/10216460219362335?comment_id=10216460578131304</v>
      </c>
      <c r="H509" t="s">
        <v>6062</v>
      </c>
      <c r="I509" t="s">
        <v>3073</v>
      </c>
      <c r="J509" s="2" t="str">
        <f>HYPERLINK("https://www.facebook.com/100000987411565")</f>
        <v>https://www.facebook.com/100000987411565</v>
      </c>
      <c r="K509">
        <v>143</v>
      </c>
      <c r="L509" t="s">
        <v>6063</v>
      </c>
      <c r="N509" t="s">
        <v>13</v>
      </c>
      <c r="O509" t="s">
        <v>467</v>
      </c>
      <c r="P509" s="2" t="str">
        <f>HYPERLINK("https://www.facebook.com/1362386453")</f>
        <v>https://www.facebook.com/1362386453</v>
      </c>
      <c r="Q509">
        <v>3896</v>
      </c>
      <c r="R509" t="s">
        <v>6067</v>
      </c>
      <c r="S509" t="s">
        <v>6073</v>
      </c>
    </row>
    <row r="510" spans="1:19" ht="14.25" customHeight="1" x14ac:dyDescent="0.3">
      <c r="A510" t="s">
        <v>2225</v>
      </c>
      <c r="B510" t="s">
        <v>3074</v>
      </c>
      <c r="C510" t="s">
        <v>95</v>
      </c>
      <c r="D510" t="s">
        <v>464</v>
      </c>
      <c r="E510" t="s">
        <v>3075</v>
      </c>
      <c r="F510" t="s">
        <v>6059</v>
      </c>
      <c r="G510" s="2" t="str">
        <f>HYPERLINK("https://www.facebook.com/1362386453/posts/10216460219362335?comment_id=10216460610212106")</f>
        <v>https://www.facebook.com/1362386453/posts/10216460219362335?comment_id=10216460610212106</v>
      </c>
      <c r="H510" t="s">
        <v>6062</v>
      </c>
      <c r="I510" t="s">
        <v>3073</v>
      </c>
      <c r="J510" s="2" t="str">
        <f>HYPERLINK("https://www.facebook.com/100000987411565")</f>
        <v>https://www.facebook.com/100000987411565</v>
      </c>
      <c r="K510">
        <v>143</v>
      </c>
      <c r="L510" t="s">
        <v>6063</v>
      </c>
      <c r="N510" t="s">
        <v>13</v>
      </c>
      <c r="O510" t="s">
        <v>467</v>
      </c>
      <c r="P510" s="2" t="str">
        <f>HYPERLINK("https://www.facebook.com/1362386453")</f>
        <v>https://www.facebook.com/1362386453</v>
      </c>
      <c r="Q510">
        <v>3896</v>
      </c>
      <c r="R510" t="s">
        <v>6067</v>
      </c>
      <c r="S510" t="s">
        <v>6073</v>
      </c>
    </row>
    <row r="511" spans="1:19" ht="14.25" customHeight="1" x14ac:dyDescent="0.3">
      <c r="A511" t="s">
        <v>2225</v>
      </c>
      <c r="B511" t="s">
        <v>3071</v>
      </c>
      <c r="C511" t="s">
        <v>95</v>
      </c>
      <c r="D511" t="s">
        <v>464</v>
      </c>
      <c r="E511" t="s">
        <v>3072</v>
      </c>
      <c r="F511" t="s">
        <v>6059</v>
      </c>
      <c r="G511" s="2" t="str">
        <f>HYPERLINK("https://www.facebook.com/1362386453/posts/10216460219362335?comment_id=10216460630692618")</f>
        <v>https://www.facebook.com/1362386453/posts/10216460219362335?comment_id=10216460630692618</v>
      </c>
      <c r="H511" t="s">
        <v>6062</v>
      </c>
      <c r="I511" t="s">
        <v>3073</v>
      </c>
      <c r="J511" s="2" t="str">
        <f>HYPERLINK("https://www.facebook.com/100000987411565")</f>
        <v>https://www.facebook.com/100000987411565</v>
      </c>
      <c r="K511">
        <v>143</v>
      </c>
      <c r="L511" t="s">
        <v>6063</v>
      </c>
      <c r="N511" t="s">
        <v>13</v>
      </c>
      <c r="O511" t="s">
        <v>467</v>
      </c>
      <c r="P511" s="2" t="str">
        <f>HYPERLINK("https://www.facebook.com/1362386453")</f>
        <v>https://www.facebook.com/1362386453</v>
      </c>
      <c r="Q511">
        <v>3896</v>
      </c>
      <c r="R511" t="s">
        <v>6067</v>
      </c>
      <c r="S511" t="s">
        <v>6073</v>
      </c>
    </row>
    <row r="512" spans="1:19" ht="14.25" customHeight="1" x14ac:dyDescent="0.3">
      <c r="A512" t="s">
        <v>3527</v>
      </c>
      <c r="B512" t="s">
        <v>2896</v>
      </c>
      <c r="C512" t="s">
        <v>95</v>
      </c>
      <c r="D512" t="s">
        <v>3716</v>
      </c>
      <c r="E512" t="s">
        <v>3717</v>
      </c>
      <c r="F512" t="s">
        <v>6056</v>
      </c>
      <c r="G512" s="2" t="str">
        <f>HYPERLINK("https://www.facebook.com/100000460660486/posts/2160201167338551")</f>
        <v>https://www.facebook.com/100000460660486/posts/2160201167338551</v>
      </c>
      <c r="H512" t="s">
        <v>6062</v>
      </c>
      <c r="I512" t="s">
        <v>3673</v>
      </c>
      <c r="J512" s="2" t="str">
        <f>HYPERLINK("https://www.facebook.com/100000460660486")</f>
        <v>https://www.facebook.com/100000460660486</v>
      </c>
      <c r="K512">
        <v>30</v>
      </c>
      <c r="L512" t="s">
        <v>6064</v>
      </c>
      <c r="N512" t="s">
        <v>13</v>
      </c>
      <c r="O512" t="s">
        <v>3673</v>
      </c>
      <c r="P512" s="2" t="str">
        <f>HYPERLINK("https://www.facebook.com/100000460660486")</f>
        <v>https://www.facebook.com/100000460660486</v>
      </c>
      <c r="Q512">
        <v>30</v>
      </c>
      <c r="R512" t="s">
        <v>6067</v>
      </c>
    </row>
    <row r="513" spans="1:19" ht="14.25" customHeight="1" x14ac:dyDescent="0.3">
      <c r="A513" t="s">
        <v>3527</v>
      </c>
      <c r="B513" t="s">
        <v>2573</v>
      </c>
      <c r="C513" t="s">
        <v>95</v>
      </c>
      <c r="D513" t="s">
        <v>1990</v>
      </c>
      <c r="E513" t="s">
        <v>3672</v>
      </c>
      <c r="F513" t="s">
        <v>6056</v>
      </c>
      <c r="G513" s="2" t="str">
        <f>HYPERLINK("https://www.facebook.com/293970997299944/posts/1874013519295676")</f>
        <v>https://www.facebook.com/293970997299944/posts/1874013519295676</v>
      </c>
      <c r="H513" t="s">
        <v>6062</v>
      </c>
      <c r="I513" t="s">
        <v>3673</v>
      </c>
      <c r="J513" s="2" t="str">
        <f>HYPERLINK("https://www.facebook.com/100000460660486")</f>
        <v>https://www.facebook.com/100000460660486</v>
      </c>
      <c r="K513">
        <v>30</v>
      </c>
      <c r="L513" t="s">
        <v>6064</v>
      </c>
      <c r="N513" t="s">
        <v>13</v>
      </c>
      <c r="O513" t="s">
        <v>3674</v>
      </c>
      <c r="P513" s="2" t="str">
        <f>HYPERLINK("https://www.facebook.com/293970997299944")</f>
        <v>https://www.facebook.com/293970997299944</v>
      </c>
      <c r="R513" t="s">
        <v>6067</v>
      </c>
    </row>
    <row r="514" spans="1:19" ht="14.25" customHeight="1" x14ac:dyDescent="0.3">
      <c r="A514" t="s">
        <v>5409</v>
      </c>
      <c r="B514" t="s">
        <v>713</v>
      </c>
      <c r="C514" t="s">
        <v>3538</v>
      </c>
      <c r="D514" t="s">
        <v>4318</v>
      </c>
      <c r="E514" t="s">
        <v>5429</v>
      </c>
      <c r="F514" t="s">
        <v>6058</v>
      </c>
      <c r="G514" s="2" t="str">
        <f>HYPERLINK("https://www.facebook.com/100006469733317/posts/2465694226989544")</f>
        <v>https://www.facebook.com/100006469733317/posts/2465694226989544</v>
      </c>
      <c r="H514" t="s">
        <v>6062</v>
      </c>
      <c r="I514" t="s">
        <v>5465</v>
      </c>
      <c r="J514" s="2" t="str">
        <f>HYPERLINK("https://www.facebook.com/100006469733317")</f>
        <v>https://www.facebook.com/100006469733317</v>
      </c>
      <c r="K514">
        <v>0</v>
      </c>
      <c r="L514" t="s">
        <v>6064</v>
      </c>
      <c r="N514" t="s">
        <v>13</v>
      </c>
      <c r="O514" t="s">
        <v>5465</v>
      </c>
      <c r="P514" s="2" t="str">
        <f>HYPERLINK("https://www.facebook.com/100006469733317")</f>
        <v>https://www.facebook.com/100006469733317</v>
      </c>
      <c r="Q514">
        <v>0</v>
      </c>
      <c r="R514" t="s">
        <v>6067</v>
      </c>
    </row>
    <row r="515" spans="1:19" ht="14.25" customHeight="1" x14ac:dyDescent="0.3">
      <c r="A515" t="s">
        <v>629</v>
      </c>
      <c r="B515" t="s">
        <v>595</v>
      </c>
      <c r="C515" t="s">
        <v>95</v>
      </c>
      <c r="D515" t="s">
        <v>2169</v>
      </c>
      <c r="E515" t="s">
        <v>2170</v>
      </c>
      <c r="F515" t="s">
        <v>6059</v>
      </c>
      <c r="G515" s="2" t="str">
        <f>HYPERLINK("https://www.facebook.com/100003309921319/posts/1593266627460319?comment_id=1593497017437280")</f>
        <v>https://www.facebook.com/100003309921319/posts/1593266627460319?comment_id=1593497017437280</v>
      </c>
      <c r="H515" t="s">
        <v>6062</v>
      </c>
      <c r="I515" t="s">
        <v>2171</v>
      </c>
      <c r="J515" s="2" t="str">
        <f>HYPERLINK("https://www.facebook.com/100001799057056")</f>
        <v>https://www.facebook.com/100001799057056</v>
      </c>
      <c r="K515">
        <v>76</v>
      </c>
      <c r="L515" t="s">
        <v>6064</v>
      </c>
      <c r="N515" t="s">
        <v>13</v>
      </c>
      <c r="O515" t="s">
        <v>2172</v>
      </c>
      <c r="P515" s="2" t="str">
        <f>HYPERLINK("https://www.facebook.com/100003309921319")</f>
        <v>https://www.facebook.com/100003309921319</v>
      </c>
      <c r="Q515">
        <v>4872</v>
      </c>
      <c r="R515" t="s">
        <v>6067</v>
      </c>
      <c r="S515" t="s">
        <v>6073</v>
      </c>
    </row>
    <row r="516" spans="1:19" ht="14.25" customHeight="1" x14ac:dyDescent="0.3">
      <c r="A516" t="s">
        <v>2225</v>
      </c>
      <c r="B516" t="s">
        <v>738</v>
      </c>
      <c r="C516" t="s">
        <v>95</v>
      </c>
      <c r="D516" t="s">
        <v>544</v>
      </c>
      <c r="E516" t="s">
        <v>545</v>
      </c>
      <c r="F516" t="s">
        <v>6058</v>
      </c>
      <c r="G516" s="2" t="str">
        <f>HYPERLINK("https://www.facebook.com/100025109084955/posts/127429454770690")</f>
        <v>https://www.facebook.com/100025109084955/posts/127429454770690</v>
      </c>
      <c r="H516" t="s">
        <v>6062</v>
      </c>
      <c r="I516" t="s">
        <v>1475</v>
      </c>
      <c r="J516" s="2" t="str">
        <f>HYPERLINK("https://www.facebook.com/100025109084955")</f>
        <v>https://www.facebook.com/100025109084955</v>
      </c>
      <c r="K516">
        <v>142</v>
      </c>
      <c r="L516" t="s">
        <v>6064</v>
      </c>
      <c r="N516" t="s">
        <v>13</v>
      </c>
      <c r="O516" t="s">
        <v>1475</v>
      </c>
      <c r="P516" s="2" t="str">
        <f>HYPERLINK("https://www.facebook.com/100025109084955")</f>
        <v>https://www.facebook.com/100025109084955</v>
      </c>
      <c r="Q516">
        <v>142</v>
      </c>
      <c r="R516" t="s">
        <v>6067</v>
      </c>
      <c r="S516" t="s">
        <v>6091</v>
      </c>
    </row>
    <row r="517" spans="1:19" ht="14.25" customHeight="1" x14ac:dyDescent="0.3">
      <c r="A517" t="s">
        <v>629</v>
      </c>
      <c r="B517" t="s">
        <v>265</v>
      </c>
      <c r="C517" t="s">
        <v>95</v>
      </c>
      <c r="D517" t="s">
        <v>667</v>
      </c>
      <c r="E517" t="s">
        <v>668</v>
      </c>
      <c r="F517" t="s">
        <v>6058</v>
      </c>
      <c r="G517" s="2" t="str">
        <f>HYPERLINK("https://www.facebook.com/100025109084955/posts/128057848041184")</f>
        <v>https://www.facebook.com/100025109084955/posts/128057848041184</v>
      </c>
      <c r="H517" t="s">
        <v>6062</v>
      </c>
      <c r="I517" t="s">
        <v>1475</v>
      </c>
      <c r="J517" s="2" t="str">
        <f>HYPERLINK("https://www.facebook.com/100025109084955")</f>
        <v>https://www.facebook.com/100025109084955</v>
      </c>
      <c r="K517">
        <v>142</v>
      </c>
      <c r="L517" t="s">
        <v>6064</v>
      </c>
      <c r="N517" t="s">
        <v>13</v>
      </c>
      <c r="O517" t="s">
        <v>1475</v>
      </c>
      <c r="P517" s="2" t="str">
        <f>HYPERLINK("https://www.facebook.com/100025109084955")</f>
        <v>https://www.facebook.com/100025109084955</v>
      </c>
      <c r="Q517">
        <v>142</v>
      </c>
      <c r="R517" t="s">
        <v>6067</v>
      </c>
      <c r="S517" t="s">
        <v>6091</v>
      </c>
    </row>
    <row r="518" spans="1:19" ht="14.25" customHeight="1" x14ac:dyDescent="0.3">
      <c r="A518" t="s">
        <v>629</v>
      </c>
      <c r="B518" t="s">
        <v>457</v>
      </c>
      <c r="C518" t="s">
        <v>95</v>
      </c>
      <c r="D518" t="s">
        <v>370</v>
      </c>
      <c r="E518" t="s">
        <v>371</v>
      </c>
      <c r="F518" t="s">
        <v>6058</v>
      </c>
      <c r="G518" s="2" t="str">
        <f>HYPERLINK("https://www.facebook.com/100005617295528/posts/783319978531905")</f>
        <v>https://www.facebook.com/100005617295528/posts/783319978531905</v>
      </c>
      <c r="H518" t="s">
        <v>6062</v>
      </c>
      <c r="I518" t="s">
        <v>1889</v>
      </c>
      <c r="J518" s="2" t="str">
        <f>HYPERLINK("https://www.facebook.com/100005617295528")</f>
        <v>https://www.facebook.com/100005617295528</v>
      </c>
      <c r="K518">
        <v>259</v>
      </c>
      <c r="L518" t="s">
        <v>6063</v>
      </c>
      <c r="N518" t="s">
        <v>13</v>
      </c>
      <c r="O518" t="s">
        <v>1889</v>
      </c>
      <c r="P518" s="2" t="str">
        <f>HYPERLINK("https://www.facebook.com/100005617295528")</f>
        <v>https://www.facebook.com/100005617295528</v>
      </c>
      <c r="Q518">
        <v>259</v>
      </c>
      <c r="R518" t="s">
        <v>6067</v>
      </c>
      <c r="S518" t="s">
        <v>6076</v>
      </c>
    </row>
    <row r="519" spans="1:19" ht="14.25" customHeight="1" x14ac:dyDescent="0.3">
      <c r="A519" t="s">
        <v>2225</v>
      </c>
      <c r="B519" t="s">
        <v>762</v>
      </c>
      <c r="C519" t="s">
        <v>95</v>
      </c>
      <c r="D519" t="s">
        <v>853</v>
      </c>
      <c r="E519" t="s">
        <v>2818</v>
      </c>
      <c r="F519" t="s">
        <v>6059</v>
      </c>
      <c r="G519" s="2" t="str">
        <f>HYPERLINK("https://www.facebook.com/100008934274771/posts/1810262525948206?comment_id=1810268095947649")</f>
        <v>https://www.facebook.com/100008934274771/posts/1810262525948206?comment_id=1810268095947649</v>
      </c>
      <c r="H519" t="s">
        <v>6062</v>
      </c>
      <c r="I519" t="s">
        <v>1889</v>
      </c>
      <c r="J519" s="2" t="str">
        <f>HYPERLINK("https://www.facebook.com/100005617295528")</f>
        <v>https://www.facebook.com/100005617295528</v>
      </c>
      <c r="K519">
        <v>259</v>
      </c>
      <c r="L519" t="s">
        <v>6063</v>
      </c>
      <c r="N519" t="s">
        <v>13</v>
      </c>
      <c r="O519" t="s">
        <v>856</v>
      </c>
      <c r="P519" s="2" t="str">
        <f>HYPERLINK("https://www.facebook.com/100008934274771")</f>
        <v>https://www.facebook.com/100008934274771</v>
      </c>
      <c r="Q519">
        <v>10395</v>
      </c>
      <c r="R519" t="s">
        <v>6067</v>
      </c>
      <c r="S519" t="s">
        <v>6076</v>
      </c>
    </row>
    <row r="520" spans="1:19" ht="14.25" customHeight="1" x14ac:dyDescent="0.3">
      <c r="A520" t="s">
        <v>629</v>
      </c>
      <c r="B520" t="s">
        <v>1845</v>
      </c>
      <c r="C520" t="s">
        <v>95</v>
      </c>
      <c r="D520" t="s">
        <v>370</v>
      </c>
      <c r="E520" t="s">
        <v>371</v>
      </c>
      <c r="F520" t="s">
        <v>6058</v>
      </c>
      <c r="G520" s="2" t="str">
        <f>HYPERLINK("https://www.facebook.com/100007220536788/posts/1979494342301231")</f>
        <v>https://www.facebook.com/100007220536788/posts/1979494342301231</v>
      </c>
      <c r="H520" t="s">
        <v>6062</v>
      </c>
      <c r="I520" t="s">
        <v>1849</v>
      </c>
      <c r="J520" s="2" t="str">
        <f>HYPERLINK("https://www.facebook.com/100007220536788")</f>
        <v>https://www.facebook.com/100007220536788</v>
      </c>
      <c r="K520">
        <v>102</v>
      </c>
      <c r="L520" t="s">
        <v>6064</v>
      </c>
      <c r="N520" t="s">
        <v>13</v>
      </c>
      <c r="O520" t="s">
        <v>1849</v>
      </c>
      <c r="P520" s="2" t="str">
        <f>HYPERLINK("https://www.facebook.com/100007220536788")</f>
        <v>https://www.facebook.com/100007220536788</v>
      </c>
      <c r="Q520">
        <v>102</v>
      </c>
      <c r="R520" t="s">
        <v>6067</v>
      </c>
    </row>
    <row r="521" spans="1:19" ht="14.25" customHeight="1" x14ac:dyDescent="0.3">
      <c r="A521" t="s">
        <v>2225</v>
      </c>
      <c r="B521" t="s">
        <v>2292</v>
      </c>
      <c r="C521" t="s">
        <v>95</v>
      </c>
      <c r="D521" t="s">
        <v>544</v>
      </c>
      <c r="E521" t="s">
        <v>545</v>
      </c>
      <c r="F521" t="s">
        <v>6058</v>
      </c>
      <c r="G521" s="2" t="str">
        <f>HYPERLINK("https://www.facebook.com/100008179807845/posts/2120322234917083")</f>
        <v>https://www.facebook.com/100008179807845/posts/2120322234917083</v>
      </c>
      <c r="H521" t="s">
        <v>6062</v>
      </c>
      <c r="I521" t="s">
        <v>2297</v>
      </c>
      <c r="J521" s="2" t="str">
        <f>HYPERLINK("https://www.facebook.com/100008179807845")</f>
        <v>https://www.facebook.com/100008179807845</v>
      </c>
      <c r="K521">
        <v>0</v>
      </c>
      <c r="L521" t="s">
        <v>6064</v>
      </c>
      <c r="N521" t="s">
        <v>13</v>
      </c>
      <c r="O521" t="s">
        <v>2297</v>
      </c>
      <c r="P521" s="2" t="str">
        <f>HYPERLINK("https://www.facebook.com/100008179807845")</f>
        <v>https://www.facebook.com/100008179807845</v>
      </c>
      <c r="Q521">
        <v>0</v>
      </c>
      <c r="R521" t="s">
        <v>6067</v>
      </c>
    </row>
    <row r="522" spans="1:19" ht="14.25" customHeight="1" x14ac:dyDescent="0.3">
      <c r="A522" t="s">
        <v>2225</v>
      </c>
      <c r="B522" t="s">
        <v>2356</v>
      </c>
      <c r="C522" t="s">
        <v>95</v>
      </c>
      <c r="D522" t="s">
        <v>544</v>
      </c>
      <c r="E522" t="s">
        <v>545</v>
      </c>
      <c r="F522" t="s">
        <v>6058</v>
      </c>
      <c r="G522" s="2" t="str">
        <f>HYPERLINK("https://www.facebook.com/100008179807845/posts/2120308241585149")</f>
        <v>https://www.facebook.com/100008179807845/posts/2120308241585149</v>
      </c>
      <c r="H522" t="s">
        <v>6062</v>
      </c>
      <c r="I522" t="s">
        <v>2297</v>
      </c>
      <c r="J522" s="2" t="str">
        <f>HYPERLINK("https://www.facebook.com/100008179807845")</f>
        <v>https://www.facebook.com/100008179807845</v>
      </c>
      <c r="K522">
        <v>0</v>
      </c>
      <c r="L522" t="s">
        <v>6064</v>
      </c>
      <c r="N522" t="s">
        <v>13</v>
      </c>
      <c r="O522" t="s">
        <v>2297</v>
      </c>
      <c r="P522" s="2" t="str">
        <f>HYPERLINK("https://www.facebook.com/100008179807845")</f>
        <v>https://www.facebook.com/100008179807845</v>
      </c>
      <c r="Q522">
        <v>0</v>
      </c>
      <c r="R522" t="s">
        <v>6067</v>
      </c>
    </row>
    <row r="523" spans="1:19" ht="14.25" customHeight="1" x14ac:dyDescent="0.3">
      <c r="A523" t="s">
        <v>2225</v>
      </c>
      <c r="B523" t="s">
        <v>2348</v>
      </c>
      <c r="C523" t="s">
        <v>95</v>
      </c>
      <c r="D523" t="s">
        <v>853</v>
      </c>
      <c r="E523" t="s">
        <v>2351</v>
      </c>
      <c r="F523" t="s">
        <v>6059</v>
      </c>
      <c r="G523" s="2" t="str">
        <f>HYPERLINK("https://www.facebook.com/100008934274771/posts/1810262525948206?comment_id=1810302182610907")</f>
        <v>https://www.facebook.com/100008934274771/posts/1810262525948206?comment_id=1810302182610907</v>
      </c>
      <c r="H523" t="s">
        <v>6062</v>
      </c>
      <c r="I523" t="s">
        <v>2297</v>
      </c>
      <c r="J523" s="2" t="str">
        <f>HYPERLINK("https://www.facebook.com/100008179807845")</f>
        <v>https://www.facebook.com/100008179807845</v>
      </c>
      <c r="K523">
        <v>0</v>
      </c>
      <c r="L523" t="s">
        <v>6064</v>
      </c>
      <c r="N523" t="s">
        <v>13</v>
      </c>
      <c r="O523" t="s">
        <v>856</v>
      </c>
      <c r="P523" s="2" t="str">
        <f>HYPERLINK("https://www.facebook.com/100008934274771")</f>
        <v>https://www.facebook.com/100008934274771</v>
      </c>
      <c r="Q523">
        <v>10395</v>
      </c>
      <c r="R523" t="s">
        <v>6067</v>
      </c>
      <c r="S523" t="s">
        <v>6073</v>
      </c>
    </row>
    <row r="524" spans="1:19" ht="14.25" customHeight="1" x14ac:dyDescent="0.3">
      <c r="A524" t="s">
        <v>629</v>
      </c>
      <c r="B524" t="s">
        <v>1253</v>
      </c>
      <c r="C524" t="s">
        <v>95</v>
      </c>
      <c r="D524" t="s">
        <v>10</v>
      </c>
      <c r="E524" t="s">
        <v>1256</v>
      </c>
      <c r="F524" t="s">
        <v>6059</v>
      </c>
      <c r="G524" s="2" t="str">
        <f>HYPERLINK("https://www.facebook.com/762053551/posts/10156366210158552?comment_id=10156366231578552")</f>
        <v>https://www.facebook.com/762053551/posts/10156366210158552?comment_id=10156366231578552</v>
      </c>
      <c r="H524" t="s">
        <v>6062</v>
      </c>
      <c r="I524" t="s">
        <v>1257</v>
      </c>
      <c r="J524" s="2" t="str">
        <f>HYPERLINK("https://www.facebook.com/100002645029292")</f>
        <v>https://www.facebook.com/100002645029292</v>
      </c>
      <c r="K524">
        <v>50</v>
      </c>
      <c r="L524" t="s">
        <v>6064</v>
      </c>
      <c r="N524" t="s">
        <v>13</v>
      </c>
      <c r="O524" t="s">
        <v>14</v>
      </c>
      <c r="P524" s="2" t="str">
        <f>HYPERLINK("https://www.facebook.com/762053551")</f>
        <v>https://www.facebook.com/762053551</v>
      </c>
      <c r="Q524">
        <v>102347</v>
      </c>
      <c r="R524" t="s">
        <v>6067</v>
      </c>
      <c r="S524" t="s">
        <v>6108</v>
      </c>
    </row>
    <row r="525" spans="1:19" ht="14.25" customHeight="1" x14ac:dyDescent="0.3">
      <c r="A525" t="s">
        <v>2225</v>
      </c>
      <c r="B525" t="s">
        <v>1571</v>
      </c>
      <c r="C525" t="s">
        <v>95</v>
      </c>
      <c r="D525" t="s">
        <v>3206</v>
      </c>
      <c r="E525" t="s">
        <v>3396</v>
      </c>
      <c r="F525" t="s">
        <v>6059</v>
      </c>
      <c r="G525" s="2" t="str">
        <f>HYPERLINK("https://www.facebook.com/100008934274771/posts/1810029789304813?comment_id=1810030712638054")</f>
        <v>https://www.facebook.com/100008934274771/posts/1810029789304813?comment_id=1810030712638054</v>
      </c>
      <c r="H525" t="s">
        <v>6062</v>
      </c>
      <c r="I525" t="s">
        <v>3397</v>
      </c>
      <c r="J525" s="2" t="str">
        <f>HYPERLINK("https://www.facebook.com/100023175891033")</f>
        <v>https://www.facebook.com/100023175891033</v>
      </c>
      <c r="K525">
        <v>9</v>
      </c>
      <c r="L525" t="s">
        <v>6064</v>
      </c>
      <c r="N525" t="s">
        <v>13</v>
      </c>
      <c r="O525" t="s">
        <v>856</v>
      </c>
      <c r="P525" s="2" t="str">
        <f>HYPERLINK("https://www.facebook.com/100008934274771")</f>
        <v>https://www.facebook.com/100008934274771</v>
      </c>
      <c r="Q525">
        <v>10395</v>
      </c>
      <c r="R525" t="s">
        <v>6067</v>
      </c>
      <c r="S525" t="s">
        <v>6112</v>
      </c>
    </row>
    <row r="526" spans="1:19" ht="14.25" customHeight="1" x14ac:dyDescent="0.3">
      <c r="A526" t="s">
        <v>629</v>
      </c>
      <c r="B526" t="s">
        <v>1319</v>
      </c>
      <c r="C526" t="s">
        <v>95</v>
      </c>
      <c r="D526" t="s">
        <v>370</v>
      </c>
      <c r="E526" t="s">
        <v>371</v>
      </c>
      <c r="F526" t="s">
        <v>6058</v>
      </c>
      <c r="G526" s="2" t="str">
        <f>HYPERLINK("https://www.facebook.com/100003104398058/posts/1610894459024018")</f>
        <v>https://www.facebook.com/100003104398058/posts/1610894459024018</v>
      </c>
      <c r="H526" t="s">
        <v>6062</v>
      </c>
      <c r="I526" t="s">
        <v>1321</v>
      </c>
      <c r="J526" s="2" t="str">
        <f>HYPERLINK("https://www.facebook.com/100003104398058")</f>
        <v>https://www.facebook.com/100003104398058</v>
      </c>
      <c r="K526">
        <v>131</v>
      </c>
      <c r="L526" t="s">
        <v>6064</v>
      </c>
      <c r="N526" t="s">
        <v>13</v>
      </c>
      <c r="O526" t="s">
        <v>1321</v>
      </c>
      <c r="P526" s="2" t="str">
        <f>HYPERLINK("https://www.facebook.com/100003104398058")</f>
        <v>https://www.facebook.com/100003104398058</v>
      </c>
      <c r="Q526">
        <v>131</v>
      </c>
      <c r="R526" t="s">
        <v>6067</v>
      </c>
    </row>
    <row r="527" spans="1:19" ht="14.25" customHeight="1" x14ac:dyDescent="0.3">
      <c r="A527" t="s">
        <v>4439</v>
      </c>
      <c r="B527" t="s">
        <v>2653</v>
      </c>
      <c r="C527" t="s">
        <v>3538</v>
      </c>
      <c r="D527" t="s">
        <v>4171</v>
      </c>
      <c r="E527" t="s">
        <v>4172</v>
      </c>
      <c r="F527" t="s">
        <v>6058</v>
      </c>
      <c r="G527" s="2" t="str">
        <f>HYPERLINK("https://www.facebook.com/100011430631989/posts/693757721015243")</f>
        <v>https://www.facebook.com/100011430631989/posts/693757721015243</v>
      </c>
      <c r="H527" t="s">
        <v>6062</v>
      </c>
      <c r="I527" t="s">
        <v>4504</v>
      </c>
      <c r="J527" s="2" t="str">
        <f>HYPERLINK("https://www.facebook.com/100011430631989")</f>
        <v>https://www.facebook.com/100011430631989</v>
      </c>
      <c r="K527">
        <v>341</v>
      </c>
      <c r="L527" t="s">
        <v>6064</v>
      </c>
      <c r="N527" t="s">
        <v>13</v>
      </c>
      <c r="O527" t="s">
        <v>4504</v>
      </c>
      <c r="P527" s="2" t="str">
        <f>HYPERLINK("https://www.facebook.com/100011430631989")</f>
        <v>https://www.facebook.com/100011430631989</v>
      </c>
      <c r="Q527">
        <v>341</v>
      </c>
      <c r="R527" t="s">
        <v>6067</v>
      </c>
    </row>
    <row r="528" spans="1:19" ht="14.25" customHeight="1" x14ac:dyDescent="0.3">
      <c r="A528" t="s">
        <v>2225</v>
      </c>
      <c r="B528" t="s">
        <v>2890</v>
      </c>
      <c r="C528" t="s">
        <v>95</v>
      </c>
      <c r="D528" t="s">
        <v>853</v>
      </c>
      <c r="E528" t="s">
        <v>4</v>
      </c>
      <c r="F528" t="s">
        <v>6059</v>
      </c>
      <c r="G528" s="2" t="str">
        <f>HYPERLINK("https://www.facebook.com/100008934274771/posts/1810262525948206?comment_id=1810264532614672")</f>
        <v>https://www.facebook.com/100008934274771/posts/1810262525948206?comment_id=1810264532614672</v>
      </c>
      <c r="H528" t="s">
        <v>6062</v>
      </c>
      <c r="I528" t="s">
        <v>1702</v>
      </c>
      <c r="J528" s="2" t="str">
        <f>HYPERLINK("https://www.facebook.com/100004318118799")</f>
        <v>https://www.facebook.com/100004318118799</v>
      </c>
      <c r="K528">
        <v>0</v>
      </c>
      <c r="L528" t="s">
        <v>6064</v>
      </c>
      <c r="N528" t="s">
        <v>13</v>
      </c>
      <c r="O528" t="s">
        <v>856</v>
      </c>
      <c r="P528" s="2" t="str">
        <f>HYPERLINK("https://www.facebook.com/100008934274771")</f>
        <v>https://www.facebook.com/100008934274771</v>
      </c>
      <c r="Q528">
        <v>10395</v>
      </c>
      <c r="R528" t="s">
        <v>6067</v>
      </c>
      <c r="S528" t="s">
        <v>6073</v>
      </c>
    </row>
    <row r="529" spans="1:19" ht="14.25" customHeight="1" x14ac:dyDescent="0.3">
      <c r="A529" t="s">
        <v>2225</v>
      </c>
      <c r="B529" t="s">
        <v>298</v>
      </c>
      <c r="C529" t="s">
        <v>95</v>
      </c>
      <c r="D529" t="s">
        <v>3206</v>
      </c>
      <c r="E529" t="s">
        <v>4</v>
      </c>
      <c r="F529" t="s">
        <v>6059</v>
      </c>
      <c r="G529" s="2" t="str">
        <f>HYPERLINK("https://www.facebook.com/100008934274771/posts/1810029789304813?comment_id=1810040735970385")</f>
        <v>https://www.facebook.com/100008934274771/posts/1810029789304813?comment_id=1810040735970385</v>
      </c>
      <c r="H529" t="s">
        <v>6062</v>
      </c>
      <c r="I529" t="s">
        <v>1702</v>
      </c>
      <c r="J529" s="2" t="str">
        <f>HYPERLINK("https://www.facebook.com/100004318118799")</f>
        <v>https://www.facebook.com/100004318118799</v>
      </c>
      <c r="K529">
        <v>0</v>
      </c>
      <c r="L529" t="s">
        <v>6064</v>
      </c>
      <c r="N529" t="s">
        <v>13</v>
      </c>
      <c r="O529" t="s">
        <v>856</v>
      </c>
      <c r="P529" s="2" t="str">
        <f>HYPERLINK("https://www.facebook.com/100008934274771")</f>
        <v>https://www.facebook.com/100008934274771</v>
      </c>
      <c r="Q529">
        <v>10395</v>
      </c>
      <c r="R529" t="s">
        <v>6067</v>
      </c>
      <c r="S529" t="s">
        <v>6073</v>
      </c>
    </row>
    <row r="530" spans="1:19" ht="14.25" customHeight="1" x14ac:dyDescent="0.3">
      <c r="A530" t="s">
        <v>2225</v>
      </c>
      <c r="B530" t="s">
        <v>1527</v>
      </c>
      <c r="C530" t="s">
        <v>95</v>
      </c>
      <c r="D530" t="s">
        <v>3194</v>
      </c>
      <c r="E530" t="s">
        <v>3195</v>
      </c>
      <c r="F530" t="s">
        <v>6058</v>
      </c>
      <c r="G530" s="2" t="str">
        <f>HYPERLINK("https://www.facebook.com/100004318118799/posts/987018111452117")</f>
        <v>https://www.facebook.com/100004318118799/posts/987018111452117</v>
      </c>
      <c r="H530" t="s">
        <v>6062</v>
      </c>
      <c r="I530" t="s">
        <v>1702</v>
      </c>
      <c r="J530" s="2" t="str">
        <f>HYPERLINK("https://www.facebook.com/100004318118799")</f>
        <v>https://www.facebook.com/100004318118799</v>
      </c>
      <c r="K530">
        <v>0</v>
      </c>
      <c r="L530" t="s">
        <v>6064</v>
      </c>
      <c r="N530" t="s">
        <v>13</v>
      </c>
      <c r="O530" t="s">
        <v>1702</v>
      </c>
      <c r="P530" s="2" t="str">
        <f>HYPERLINK("https://www.facebook.com/100004318118799")</f>
        <v>https://www.facebook.com/100004318118799</v>
      </c>
      <c r="Q530">
        <v>0</v>
      </c>
      <c r="R530" t="s">
        <v>6067</v>
      </c>
      <c r="S530" t="s">
        <v>6073</v>
      </c>
    </row>
    <row r="531" spans="1:19" ht="14.25" customHeight="1" x14ac:dyDescent="0.3">
      <c r="A531" t="s">
        <v>629</v>
      </c>
      <c r="B531" t="s">
        <v>1698</v>
      </c>
      <c r="C531" t="s">
        <v>95</v>
      </c>
      <c r="D531" t="s">
        <v>370</v>
      </c>
      <c r="E531" t="s">
        <v>371</v>
      </c>
      <c r="F531" t="s">
        <v>6058</v>
      </c>
      <c r="G531" s="2" t="str">
        <f>HYPERLINK("https://www.facebook.com/100004318118799/posts/987490494738212")</f>
        <v>https://www.facebook.com/100004318118799/posts/987490494738212</v>
      </c>
      <c r="H531" t="s">
        <v>6062</v>
      </c>
      <c r="I531" t="s">
        <v>1702</v>
      </c>
      <c r="J531" s="2" t="str">
        <f>HYPERLINK("https://www.facebook.com/100004318118799")</f>
        <v>https://www.facebook.com/100004318118799</v>
      </c>
      <c r="K531">
        <v>0</v>
      </c>
      <c r="L531" t="s">
        <v>6064</v>
      </c>
      <c r="N531" t="s">
        <v>13</v>
      </c>
      <c r="O531" t="s">
        <v>1702</v>
      </c>
      <c r="P531" s="2" t="str">
        <f>HYPERLINK("https://www.facebook.com/100004318118799")</f>
        <v>https://www.facebook.com/100004318118799</v>
      </c>
      <c r="Q531">
        <v>0</v>
      </c>
      <c r="R531" t="s">
        <v>6067</v>
      </c>
      <c r="S531" t="s">
        <v>6073</v>
      </c>
    </row>
    <row r="532" spans="1:19" ht="14.25" customHeight="1" x14ac:dyDescent="0.3">
      <c r="A532" t="s">
        <v>629</v>
      </c>
      <c r="B532" t="s">
        <v>1713</v>
      </c>
      <c r="C532" t="s">
        <v>95</v>
      </c>
      <c r="D532" t="s">
        <v>370</v>
      </c>
      <c r="E532" t="s">
        <v>371</v>
      </c>
      <c r="F532" t="s">
        <v>6058</v>
      </c>
      <c r="G532" s="2" t="str">
        <f>HYPERLINK("https://www.facebook.com/337184890091165/posts/993181500846060")</f>
        <v>https://www.facebook.com/337184890091165/posts/993181500846060</v>
      </c>
      <c r="H532" t="s">
        <v>6062</v>
      </c>
      <c r="I532" t="s">
        <v>1714</v>
      </c>
      <c r="J532" s="2" t="str">
        <f t="shared" ref="J532:J556" si="10">HYPERLINK("https://www.facebook.com/100004626581006")</f>
        <v>https://www.facebook.com/100004626581006</v>
      </c>
      <c r="K532">
        <v>349</v>
      </c>
      <c r="L532" t="s">
        <v>6064</v>
      </c>
      <c r="M532">
        <v>48</v>
      </c>
      <c r="N532" t="s">
        <v>13</v>
      </c>
      <c r="O532" t="s">
        <v>1715</v>
      </c>
      <c r="P532" s="2" t="str">
        <f>HYPERLINK("https://www.facebook.com/337184890091165")</f>
        <v>https://www.facebook.com/337184890091165</v>
      </c>
      <c r="R532" t="s">
        <v>6067</v>
      </c>
      <c r="S532" t="s">
        <v>6091</v>
      </c>
    </row>
    <row r="533" spans="1:19" ht="14.25" customHeight="1" x14ac:dyDescent="0.3">
      <c r="A533" t="s">
        <v>629</v>
      </c>
      <c r="B533" t="s">
        <v>1713</v>
      </c>
      <c r="C533" t="s">
        <v>95</v>
      </c>
      <c r="D533" t="s">
        <v>370</v>
      </c>
      <c r="E533" t="s">
        <v>371</v>
      </c>
      <c r="F533" t="s">
        <v>6058</v>
      </c>
      <c r="G533" s="2" t="str">
        <f>HYPERLINK("https://www.facebook.com/644738332370079/posts/993181427512734")</f>
        <v>https://www.facebook.com/644738332370079/posts/993181427512734</v>
      </c>
      <c r="H533" t="s">
        <v>6062</v>
      </c>
      <c r="I533" t="s">
        <v>1714</v>
      </c>
      <c r="J533" s="2" t="str">
        <f t="shared" si="10"/>
        <v>https://www.facebook.com/100004626581006</v>
      </c>
      <c r="K533">
        <v>349</v>
      </c>
      <c r="L533" t="s">
        <v>6064</v>
      </c>
      <c r="M533">
        <v>48</v>
      </c>
      <c r="N533" t="s">
        <v>13</v>
      </c>
      <c r="O533" t="s">
        <v>1719</v>
      </c>
      <c r="P533" s="2" t="str">
        <f>HYPERLINK("https://www.facebook.com/644738332370079")</f>
        <v>https://www.facebook.com/644738332370079</v>
      </c>
      <c r="R533" t="s">
        <v>6067</v>
      </c>
      <c r="S533" t="s">
        <v>6091</v>
      </c>
    </row>
    <row r="534" spans="1:19" ht="14.25" customHeight="1" x14ac:dyDescent="0.3">
      <c r="A534" t="s">
        <v>629</v>
      </c>
      <c r="B534" t="s">
        <v>1722</v>
      </c>
      <c r="C534" t="s">
        <v>95</v>
      </c>
      <c r="D534" t="s">
        <v>370</v>
      </c>
      <c r="E534" t="s">
        <v>371</v>
      </c>
      <c r="F534" t="s">
        <v>6058</v>
      </c>
      <c r="G534" s="2" t="str">
        <f>HYPERLINK("https://www.facebook.com/1285853724841697/posts/993181237512753")</f>
        <v>https://www.facebook.com/1285853724841697/posts/993181237512753</v>
      </c>
      <c r="H534" t="s">
        <v>6062</v>
      </c>
      <c r="I534" t="s">
        <v>1714</v>
      </c>
      <c r="J534" s="2" t="str">
        <f t="shared" si="10"/>
        <v>https://www.facebook.com/100004626581006</v>
      </c>
      <c r="K534">
        <v>349</v>
      </c>
      <c r="L534" t="s">
        <v>6064</v>
      </c>
      <c r="M534">
        <v>48</v>
      </c>
      <c r="N534" t="s">
        <v>13</v>
      </c>
      <c r="O534" t="s">
        <v>1723</v>
      </c>
      <c r="P534" s="2" t="str">
        <f>HYPERLINK("https://www.facebook.com/1285853724841697")</f>
        <v>https://www.facebook.com/1285853724841697</v>
      </c>
      <c r="R534" t="s">
        <v>6067</v>
      </c>
      <c r="S534" t="s">
        <v>6091</v>
      </c>
    </row>
    <row r="535" spans="1:19" ht="14.25" customHeight="1" x14ac:dyDescent="0.3">
      <c r="A535" t="s">
        <v>629</v>
      </c>
      <c r="B535" t="s">
        <v>1722</v>
      </c>
      <c r="C535" t="s">
        <v>95</v>
      </c>
      <c r="D535" t="s">
        <v>370</v>
      </c>
      <c r="E535" t="s">
        <v>371</v>
      </c>
      <c r="F535" t="s">
        <v>6058</v>
      </c>
      <c r="G535" s="2" t="str">
        <f>HYPERLINK("https://www.facebook.com/1484354755167164/posts/993181117512765")</f>
        <v>https://www.facebook.com/1484354755167164/posts/993181117512765</v>
      </c>
      <c r="H535" t="s">
        <v>6062</v>
      </c>
      <c r="I535" t="s">
        <v>1714</v>
      </c>
      <c r="J535" s="2" t="str">
        <f t="shared" si="10"/>
        <v>https://www.facebook.com/100004626581006</v>
      </c>
      <c r="K535">
        <v>349</v>
      </c>
      <c r="L535" t="s">
        <v>6064</v>
      </c>
      <c r="M535">
        <v>48</v>
      </c>
      <c r="N535" t="s">
        <v>13</v>
      </c>
      <c r="O535" t="s">
        <v>1553</v>
      </c>
      <c r="P535" s="2" t="str">
        <f>HYPERLINK("https://www.facebook.com/1484354755167164")</f>
        <v>https://www.facebook.com/1484354755167164</v>
      </c>
      <c r="R535" t="s">
        <v>6067</v>
      </c>
      <c r="S535" t="s">
        <v>6091</v>
      </c>
    </row>
    <row r="536" spans="1:19" ht="14.25" customHeight="1" x14ac:dyDescent="0.3">
      <c r="A536" t="s">
        <v>629</v>
      </c>
      <c r="B536" t="s">
        <v>1722</v>
      </c>
      <c r="C536" t="s">
        <v>95</v>
      </c>
      <c r="D536" t="s">
        <v>370</v>
      </c>
      <c r="E536" t="s">
        <v>371</v>
      </c>
      <c r="F536" t="s">
        <v>6058</v>
      </c>
      <c r="G536" s="2" t="str">
        <f>HYPERLINK("https://www.facebook.com/1484354755167164/posts/2030457763890191")</f>
        <v>https://www.facebook.com/1484354755167164/posts/2030457763890191</v>
      </c>
      <c r="H536" t="s">
        <v>6062</v>
      </c>
      <c r="I536" t="s">
        <v>1714</v>
      </c>
      <c r="J536" s="2" t="str">
        <f t="shared" si="10"/>
        <v>https://www.facebook.com/100004626581006</v>
      </c>
      <c r="K536">
        <v>349</v>
      </c>
      <c r="L536" t="s">
        <v>6064</v>
      </c>
      <c r="M536">
        <v>48</v>
      </c>
      <c r="N536" t="s">
        <v>13</v>
      </c>
      <c r="O536" t="s">
        <v>1553</v>
      </c>
      <c r="P536" s="2" t="str">
        <f>HYPERLINK("https://www.facebook.com/1484354755167164")</f>
        <v>https://www.facebook.com/1484354755167164</v>
      </c>
      <c r="R536" t="s">
        <v>6067</v>
      </c>
      <c r="S536" t="s">
        <v>6091</v>
      </c>
    </row>
    <row r="537" spans="1:19" ht="14.25" customHeight="1" x14ac:dyDescent="0.3">
      <c r="A537" t="s">
        <v>629</v>
      </c>
      <c r="B537" t="s">
        <v>1722</v>
      </c>
      <c r="C537" t="s">
        <v>95</v>
      </c>
      <c r="D537" t="s">
        <v>370</v>
      </c>
      <c r="E537" t="s">
        <v>371</v>
      </c>
      <c r="F537" t="s">
        <v>6058</v>
      </c>
      <c r="G537" s="2" t="str">
        <f>HYPERLINK("https://www.facebook.com/715261441966783/posts/993181097512767")</f>
        <v>https://www.facebook.com/715261441966783/posts/993181097512767</v>
      </c>
      <c r="H537" t="s">
        <v>6062</v>
      </c>
      <c r="I537" t="s">
        <v>1714</v>
      </c>
      <c r="J537" s="2" t="str">
        <f t="shared" si="10"/>
        <v>https://www.facebook.com/100004626581006</v>
      </c>
      <c r="K537">
        <v>349</v>
      </c>
      <c r="L537" t="s">
        <v>6064</v>
      </c>
      <c r="M537">
        <v>48</v>
      </c>
      <c r="N537" t="s">
        <v>13</v>
      </c>
      <c r="O537" t="s">
        <v>1725</v>
      </c>
      <c r="P537" s="2" t="str">
        <f>HYPERLINK("https://www.facebook.com/715261441966783")</f>
        <v>https://www.facebook.com/715261441966783</v>
      </c>
      <c r="R537" t="s">
        <v>6067</v>
      </c>
      <c r="S537" t="s">
        <v>6091</v>
      </c>
    </row>
    <row r="538" spans="1:19" ht="14.25" customHeight="1" x14ac:dyDescent="0.3">
      <c r="A538" t="s">
        <v>629</v>
      </c>
      <c r="B538" t="s">
        <v>1722</v>
      </c>
      <c r="C538" t="s">
        <v>95</v>
      </c>
      <c r="D538" t="s">
        <v>370</v>
      </c>
      <c r="E538" t="s">
        <v>371</v>
      </c>
      <c r="F538" t="s">
        <v>6058</v>
      </c>
      <c r="G538" s="2" t="str">
        <f>HYPERLINK("https://www.facebook.com/314969418544852/posts/993181084179435")</f>
        <v>https://www.facebook.com/314969418544852/posts/993181084179435</v>
      </c>
      <c r="H538" t="s">
        <v>6062</v>
      </c>
      <c r="I538" t="s">
        <v>1714</v>
      </c>
      <c r="J538" s="2" t="str">
        <f t="shared" si="10"/>
        <v>https://www.facebook.com/100004626581006</v>
      </c>
      <c r="K538">
        <v>349</v>
      </c>
      <c r="L538" t="s">
        <v>6064</v>
      </c>
      <c r="M538">
        <v>48</v>
      </c>
      <c r="N538" t="s">
        <v>13</v>
      </c>
      <c r="O538" t="s">
        <v>1726</v>
      </c>
      <c r="P538" s="2" t="str">
        <f>HYPERLINK("https://www.facebook.com/314969418544852")</f>
        <v>https://www.facebook.com/314969418544852</v>
      </c>
      <c r="R538" t="s">
        <v>6067</v>
      </c>
      <c r="S538" t="s">
        <v>6091</v>
      </c>
    </row>
    <row r="539" spans="1:19" ht="14.25" customHeight="1" x14ac:dyDescent="0.3">
      <c r="A539" t="s">
        <v>629</v>
      </c>
      <c r="B539" t="s">
        <v>1722</v>
      </c>
      <c r="C539" t="s">
        <v>95</v>
      </c>
      <c r="D539" t="s">
        <v>370</v>
      </c>
      <c r="E539" t="s">
        <v>371</v>
      </c>
      <c r="F539" t="s">
        <v>6058</v>
      </c>
      <c r="G539" s="2" t="str">
        <f>HYPERLINK("https://www.facebook.com/314969418544852/posts/1977345135640597")</f>
        <v>https://www.facebook.com/314969418544852/posts/1977345135640597</v>
      </c>
      <c r="H539" t="s">
        <v>6062</v>
      </c>
      <c r="I539" t="s">
        <v>1714</v>
      </c>
      <c r="J539" s="2" t="str">
        <f t="shared" si="10"/>
        <v>https://www.facebook.com/100004626581006</v>
      </c>
      <c r="K539">
        <v>349</v>
      </c>
      <c r="L539" t="s">
        <v>6064</v>
      </c>
      <c r="M539">
        <v>48</v>
      </c>
      <c r="N539" t="s">
        <v>13</v>
      </c>
      <c r="O539" t="s">
        <v>1726</v>
      </c>
      <c r="P539" s="2" t="str">
        <f>HYPERLINK("https://www.facebook.com/314969418544852")</f>
        <v>https://www.facebook.com/314969418544852</v>
      </c>
      <c r="R539" t="s">
        <v>6067</v>
      </c>
      <c r="S539" t="s">
        <v>6091</v>
      </c>
    </row>
    <row r="540" spans="1:19" ht="14.25" customHeight="1" x14ac:dyDescent="0.3">
      <c r="A540" t="s">
        <v>629</v>
      </c>
      <c r="B540" t="s">
        <v>1722</v>
      </c>
      <c r="C540" t="s">
        <v>95</v>
      </c>
      <c r="D540" t="s">
        <v>370</v>
      </c>
      <c r="E540" t="s">
        <v>371</v>
      </c>
      <c r="F540" t="s">
        <v>6058</v>
      </c>
      <c r="G540" s="2" t="str">
        <f>HYPERLINK("https://www.facebook.com/1992668177639609/posts/993181040846106")</f>
        <v>https://www.facebook.com/1992668177639609/posts/993181040846106</v>
      </c>
      <c r="H540" t="s">
        <v>6062</v>
      </c>
      <c r="I540" t="s">
        <v>1714</v>
      </c>
      <c r="J540" s="2" t="str">
        <f t="shared" si="10"/>
        <v>https://www.facebook.com/100004626581006</v>
      </c>
      <c r="K540">
        <v>349</v>
      </c>
      <c r="L540" t="s">
        <v>6064</v>
      </c>
      <c r="M540">
        <v>48</v>
      </c>
      <c r="N540" t="s">
        <v>13</v>
      </c>
      <c r="O540" t="s">
        <v>1727</v>
      </c>
      <c r="P540" s="2" t="str">
        <f>HYPERLINK("https://www.facebook.com/1992668177639609")</f>
        <v>https://www.facebook.com/1992668177639609</v>
      </c>
      <c r="R540" t="s">
        <v>6067</v>
      </c>
      <c r="S540" t="s">
        <v>6091</v>
      </c>
    </row>
    <row r="541" spans="1:19" ht="14.25" customHeight="1" x14ac:dyDescent="0.3">
      <c r="A541" t="s">
        <v>629</v>
      </c>
      <c r="B541" t="s">
        <v>1722</v>
      </c>
      <c r="C541" t="s">
        <v>95</v>
      </c>
      <c r="D541" t="s">
        <v>370</v>
      </c>
      <c r="E541" t="s">
        <v>371</v>
      </c>
      <c r="F541" t="s">
        <v>6058</v>
      </c>
      <c r="G541" s="2" t="str">
        <f>HYPERLINK("https://www.facebook.com/1505778423063325/posts/993180920846118")</f>
        <v>https://www.facebook.com/1505778423063325/posts/993180920846118</v>
      </c>
      <c r="H541" t="s">
        <v>6062</v>
      </c>
      <c r="I541" t="s">
        <v>1714</v>
      </c>
      <c r="J541" s="2" t="str">
        <f t="shared" si="10"/>
        <v>https://www.facebook.com/100004626581006</v>
      </c>
      <c r="K541">
        <v>349</v>
      </c>
      <c r="L541" t="s">
        <v>6064</v>
      </c>
      <c r="M541">
        <v>48</v>
      </c>
      <c r="N541" t="s">
        <v>13</v>
      </c>
      <c r="O541" t="s">
        <v>1731</v>
      </c>
      <c r="P541" s="2" t="str">
        <f>HYPERLINK("https://www.facebook.com/1505778423063325")</f>
        <v>https://www.facebook.com/1505778423063325</v>
      </c>
      <c r="R541" t="s">
        <v>6067</v>
      </c>
      <c r="S541" t="s">
        <v>6091</v>
      </c>
    </row>
    <row r="542" spans="1:19" ht="14.25" customHeight="1" x14ac:dyDescent="0.3">
      <c r="A542" t="s">
        <v>629</v>
      </c>
      <c r="B542" t="s">
        <v>1722</v>
      </c>
      <c r="C542" t="s">
        <v>95</v>
      </c>
      <c r="D542" t="s">
        <v>370</v>
      </c>
      <c r="E542" t="s">
        <v>371</v>
      </c>
      <c r="F542" t="s">
        <v>6058</v>
      </c>
      <c r="G542" s="2" t="str">
        <f>HYPERLINK("https://www.facebook.com/1505778423063325/posts/1786214665019698")</f>
        <v>https://www.facebook.com/1505778423063325/posts/1786214665019698</v>
      </c>
      <c r="H542" t="s">
        <v>6062</v>
      </c>
      <c r="I542" t="s">
        <v>1714</v>
      </c>
      <c r="J542" s="2" t="str">
        <f t="shared" si="10"/>
        <v>https://www.facebook.com/100004626581006</v>
      </c>
      <c r="K542">
        <v>349</v>
      </c>
      <c r="L542" t="s">
        <v>6064</v>
      </c>
      <c r="M542">
        <v>48</v>
      </c>
      <c r="N542" t="s">
        <v>13</v>
      </c>
      <c r="O542" t="s">
        <v>1731</v>
      </c>
      <c r="P542" s="2" t="str">
        <f>HYPERLINK("https://www.facebook.com/1505778423063325")</f>
        <v>https://www.facebook.com/1505778423063325</v>
      </c>
      <c r="R542" t="s">
        <v>6067</v>
      </c>
      <c r="S542" t="s">
        <v>6091</v>
      </c>
    </row>
    <row r="543" spans="1:19" ht="14.25" customHeight="1" x14ac:dyDescent="0.3">
      <c r="A543" t="s">
        <v>629</v>
      </c>
      <c r="B543" t="s">
        <v>1732</v>
      </c>
      <c r="C543" t="s">
        <v>95</v>
      </c>
      <c r="D543" t="s">
        <v>370</v>
      </c>
      <c r="E543" t="s">
        <v>371</v>
      </c>
      <c r="F543" t="s">
        <v>6058</v>
      </c>
      <c r="G543" s="2" t="str">
        <f>HYPERLINK("https://www.facebook.com/203583083438170/posts/993180910846119")</f>
        <v>https://www.facebook.com/203583083438170/posts/993180910846119</v>
      </c>
      <c r="H543" t="s">
        <v>6062</v>
      </c>
      <c r="I543" t="s">
        <v>1714</v>
      </c>
      <c r="J543" s="2" t="str">
        <f t="shared" si="10"/>
        <v>https://www.facebook.com/100004626581006</v>
      </c>
      <c r="K543">
        <v>349</v>
      </c>
      <c r="L543" t="s">
        <v>6064</v>
      </c>
      <c r="M543">
        <v>48</v>
      </c>
      <c r="N543" t="s">
        <v>13</v>
      </c>
      <c r="O543" t="s">
        <v>1733</v>
      </c>
      <c r="P543" s="2" t="str">
        <f>HYPERLINK("https://www.facebook.com/203583083438170")</f>
        <v>https://www.facebook.com/203583083438170</v>
      </c>
      <c r="R543" t="s">
        <v>6067</v>
      </c>
      <c r="S543" t="s">
        <v>6091</v>
      </c>
    </row>
    <row r="544" spans="1:19" ht="14.25" customHeight="1" x14ac:dyDescent="0.3">
      <c r="A544" t="s">
        <v>629</v>
      </c>
      <c r="B544" t="s">
        <v>1732</v>
      </c>
      <c r="C544" t="s">
        <v>95</v>
      </c>
      <c r="D544" t="s">
        <v>370</v>
      </c>
      <c r="E544" t="s">
        <v>371</v>
      </c>
      <c r="F544" t="s">
        <v>6058</v>
      </c>
      <c r="G544" s="2" t="str">
        <f>HYPERLINK("https://www.facebook.com/779391718738922/posts/1854199727924777")</f>
        <v>https://www.facebook.com/779391718738922/posts/1854199727924777</v>
      </c>
      <c r="H544" t="s">
        <v>6062</v>
      </c>
      <c r="I544" t="s">
        <v>1714</v>
      </c>
      <c r="J544" s="2" t="str">
        <f t="shared" si="10"/>
        <v>https://www.facebook.com/100004626581006</v>
      </c>
      <c r="K544">
        <v>349</v>
      </c>
      <c r="L544" t="s">
        <v>6064</v>
      </c>
      <c r="M544">
        <v>48</v>
      </c>
      <c r="N544" t="s">
        <v>13</v>
      </c>
      <c r="O544" t="s">
        <v>1734</v>
      </c>
      <c r="P544" s="2" t="str">
        <f>HYPERLINK("https://www.facebook.com/779391718738922")</f>
        <v>https://www.facebook.com/779391718738922</v>
      </c>
      <c r="R544" t="s">
        <v>6067</v>
      </c>
      <c r="S544" t="s">
        <v>6091</v>
      </c>
    </row>
    <row r="545" spans="1:19" ht="14.25" customHeight="1" x14ac:dyDescent="0.3">
      <c r="A545" t="s">
        <v>629</v>
      </c>
      <c r="B545" t="s">
        <v>1732</v>
      </c>
      <c r="C545" t="s">
        <v>95</v>
      </c>
      <c r="D545" t="s">
        <v>370</v>
      </c>
      <c r="E545" t="s">
        <v>371</v>
      </c>
      <c r="F545" t="s">
        <v>6058</v>
      </c>
      <c r="G545" s="2" t="str">
        <f>HYPERLINK("https://www.facebook.com/595133910531812/posts/993180894179454")</f>
        <v>https://www.facebook.com/595133910531812/posts/993180894179454</v>
      </c>
      <c r="H545" t="s">
        <v>6062</v>
      </c>
      <c r="I545" t="s">
        <v>1714</v>
      </c>
      <c r="J545" s="2" t="str">
        <f t="shared" si="10"/>
        <v>https://www.facebook.com/100004626581006</v>
      </c>
      <c r="K545">
        <v>349</v>
      </c>
      <c r="L545" t="s">
        <v>6064</v>
      </c>
      <c r="M545">
        <v>48</v>
      </c>
      <c r="N545" t="s">
        <v>13</v>
      </c>
      <c r="O545" t="s">
        <v>1735</v>
      </c>
      <c r="P545" s="2" t="str">
        <f>HYPERLINK("https://www.facebook.com/595133910531812")</f>
        <v>https://www.facebook.com/595133910531812</v>
      </c>
      <c r="Q545">
        <v>1306</v>
      </c>
      <c r="R545" t="s">
        <v>6067</v>
      </c>
      <c r="S545" t="s">
        <v>6091</v>
      </c>
    </row>
    <row r="546" spans="1:19" ht="14.25" customHeight="1" x14ac:dyDescent="0.3">
      <c r="A546" t="s">
        <v>629</v>
      </c>
      <c r="B546" t="s">
        <v>1732</v>
      </c>
      <c r="C546" t="s">
        <v>95</v>
      </c>
      <c r="D546" t="s">
        <v>370</v>
      </c>
      <c r="E546" t="s">
        <v>371</v>
      </c>
      <c r="F546" t="s">
        <v>6058</v>
      </c>
      <c r="G546" s="2" t="str">
        <f>HYPERLINK("https://www.facebook.com/595133910531812/posts/1953777038000819")</f>
        <v>https://www.facebook.com/595133910531812/posts/1953777038000819</v>
      </c>
      <c r="H546" t="s">
        <v>6062</v>
      </c>
      <c r="I546" t="s">
        <v>1714</v>
      </c>
      <c r="J546" s="2" t="str">
        <f t="shared" si="10"/>
        <v>https://www.facebook.com/100004626581006</v>
      </c>
      <c r="K546">
        <v>349</v>
      </c>
      <c r="L546" t="s">
        <v>6064</v>
      </c>
      <c r="M546">
        <v>48</v>
      </c>
      <c r="N546" t="s">
        <v>13</v>
      </c>
      <c r="O546" t="s">
        <v>1735</v>
      </c>
      <c r="P546" s="2" t="str">
        <f>HYPERLINK("https://www.facebook.com/595133910531812")</f>
        <v>https://www.facebook.com/595133910531812</v>
      </c>
      <c r="Q546">
        <v>1306</v>
      </c>
      <c r="R546" t="s">
        <v>6067</v>
      </c>
      <c r="S546" t="s">
        <v>6091</v>
      </c>
    </row>
    <row r="547" spans="1:19" ht="14.25" customHeight="1" x14ac:dyDescent="0.3">
      <c r="A547" t="s">
        <v>629</v>
      </c>
      <c r="B547" t="s">
        <v>1732</v>
      </c>
      <c r="C547" t="s">
        <v>95</v>
      </c>
      <c r="D547" t="s">
        <v>370</v>
      </c>
      <c r="E547" t="s">
        <v>371</v>
      </c>
      <c r="F547" t="s">
        <v>6058</v>
      </c>
      <c r="G547" s="2" t="str">
        <f>HYPERLINK("https://www.facebook.com/416463775104362/posts/993180860846124")</f>
        <v>https://www.facebook.com/416463775104362/posts/993180860846124</v>
      </c>
      <c r="H547" t="s">
        <v>6062</v>
      </c>
      <c r="I547" t="s">
        <v>1714</v>
      </c>
      <c r="J547" s="2" t="str">
        <f t="shared" si="10"/>
        <v>https://www.facebook.com/100004626581006</v>
      </c>
      <c r="K547">
        <v>349</v>
      </c>
      <c r="L547" t="s">
        <v>6064</v>
      </c>
      <c r="M547">
        <v>48</v>
      </c>
      <c r="N547" t="s">
        <v>13</v>
      </c>
      <c r="O547" t="s">
        <v>1736</v>
      </c>
      <c r="P547" s="2" t="str">
        <f>HYPERLINK("https://www.facebook.com/416463775104362")</f>
        <v>https://www.facebook.com/416463775104362</v>
      </c>
      <c r="R547" t="s">
        <v>6067</v>
      </c>
      <c r="S547" t="s">
        <v>6091</v>
      </c>
    </row>
    <row r="548" spans="1:19" ht="14.25" customHeight="1" x14ac:dyDescent="0.3">
      <c r="A548" t="s">
        <v>629</v>
      </c>
      <c r="B548" t="s">
        <v>1732</v>
      </c>
      <c r="C548" t="s">
        <v>95</v>
      </c>
      <c r="D548" t="s">
        <v>370</v>
      </c>
      <c r="E548" t="s">
        <v>371</v>
      </c>
      <c r="F548" t="s">
        <v>6058</v>
      </c>
      <c r="G548" s="2" t="str">
        <f>HYPERLINK("https://www.facebook.com/347814368721063/posts/1326735967495560")</f>
        <v>https://www.facebook.com/347814368721063/posts/1326735967495560</v>
      </c>
      <c r="H548" t="s">
        <v>6062</v>
      </c>
      <c r="I548" t="s">
        <v>1714</v>
      </c>
      <c r="J548" s="2" t="str">
        <f t="shared" si="10"/>
        <v>https://www.facebook.com/100004626581006</v>
      </c>
      <c r="K548">
        <v>349</v>
      </c>
      <c r="L548" t="s">
        <v>6064</v>
      </c>
      <c r="M548">
        <v>48</v>
      </c>
      <c r="N548" t="s">
        <v>13</v>
      </c>
      <c r="O548" t="s">
        <v>1737</v>
      </c>
      <c r="P548" s="2" t="str">
        <f>HYPERLINK("https://www.facebook.com/347814368721063")</f>
        <v>https://www.facebook.com/347814368721063</v>
      </c>
      <c r="R548" t="s">
        <v>6067</v>
      </c>
      <c r="S548" t="s">
        <v>6091</v>
      </c>
    </row>
    <row r="549" spans="1:19" ht="14.25" customHeight="1" x14ac:dyDescent="0.3">
      <c r="A549" t="s">
        <v>629</v>
      </c>
      <c r="B549" t="s">
        <v>1732</v>
      </c>
      <c r="C549" t="s">
        <v>95</v>
      </c>
      <c r="D549" t="s">
        <v>370</v>
      </c>
      <c r="E549" t="s">
        <v>371</v>
      </c>
      <c r="F549" t="s">
        <v>6058</v>
      </c>
      <c r="G549" s="2" t="str">
        <f>HYPERLINK("https://www.facebook.com/347814368721063/posts/993180840846126")</f>
        <v>https://www.facebook.com/347814368721063/posts/993180840846126</v>
      </c>
      <c r="H549" t="s">
        <v>6062</v>
      </c>
      <c r="I549" t="s">
        <v>1714</v>
      </c>
      <c r="J549" s="2" t="str">
        <f t="shared" si="10"/>
        <v>https://www.facebook.com/100004626581006</v>
      </c>
      <c r="K549">
        <v>349</v>
      </c>
      <c r="L549" t="s">
        <v>6064</v>
      </c>
      <c r="M549">
        <v>48</v>
      </c>
      <c r="N549" t="s">
        <v>13</v>
      </c>
      <c r="O549" t="s">
        <v>1737</v>
      </c>
      <c r="P549" s="2" t="str">
        <f>HYPERLINK("https://www.facebook.com/347814368721063")</f>
        <v>https://www.facebook.com/347814368721063</v>
      </c>
      <c r="R549" t="s">
        <v>6067</v>
      </c>
      <c r="S549" t="s">
        <v>6091</v>
      </c>
    </row>
    <row r="550" spans="1:19" ht="14.25" customHeight="1" x14ac:dyDescent="0.3">
      <c r="A550" t="s">
        <v>629</v>
      </c>
      <c r="B550" t="s">
        <v>1732</v>
      </c>
      <c r="C550" t="s">
        <v>95</v>
      </c>
      <c r="D550" t="s">
        <v>370</v>
      </c>
      <c r="E550" t="s">
        <v>371</v>
      </c>
      <c r="F550" t="s">
        <v>6058</v>
      </c>
      <c r="G550" s="2" t="str">
        <f>HYPERLINK("https://www.facebook.com/779391718738922/posts/993180794179464")</f>
        <v>https://www.facebook.com/779391718738922/posts/993180794179464</v>
      </c>
      <c r="H550" t="s">
        <v>6062</v>
      </c>
      <c r="I550" t="s">
        <v>1714</v>
      </c>
      <c r="J550" s="2" t="str">
        <f t="shared" si="10"/>
        <v>https://www.facebook.com/100004626581006</v>
      </c>
      <c r="K550">
        <v>349</v>
      </c>
      <c r="L550" t="s">
        <v>6064</v>
      </c>
      <c r="M550">
        <v>48</v>
      </c>
      <c r="N550" t="s">
        <v>13</v>
      </c>
      <c r="O550" t="s">
        <v>1734</v>
      </c>
      <c r="P550" s="2" t="str">
        <f>HYPERLINK("https://www.facebook.com/779391718738922")</f>
        <v>https://www.facebook.com/779391718738922</v>
      </c>
      <c r="R550" t="s">
        <v>6067</v>
      </c>
      <c r="S550" t="s">
        <v>6091</v>
      </c>
    </row>
    <row r="551" spans="1:19" ht="14.25" customHeight="1" x14ac:dyDescent="0.3">
      <c r="A551" t="s">
        <v>629</v>
      </c>
      <c r="B551" t="s">
        <v>1732</v>
      </c>
      <c r="C551" t="s">
        <v>95</v>
      </c>
      <c r="D551" t="s">
        <v>370</v>
      </c>
      <c r="E551" t="s">
        <v>371</v>
      </c>
      <c r="F551" t="s">
        <v>6058</v>
      </c>
      <c r="G551" s="2" t="str">
        <f>HYPERLINK("https://www.facebook.com/311833705986367/posts/993180787512798")</f>
        <v>https://www.facebook.com/311833705986367/posts/993180787512798</v>
      </c>
      <c r="H551" t="s">
        <v>6062</v>
      </c>
      <c r="I551" t="s">
        <v>1714</v>
      </c>
      <c r="J551" s="2" t="str">
        <f t="shared" si="10"/>
        <v>https://www.facebook.com/100004626581006</v>
      </c>
      <c r="K551">
        <v>349</v>
      </c>
      <c r="L551" t="s">
        <v>6064</v>
      </c>
      <c r="M551">
        <v>48</v>
      </c>
      <c r="N551" t="s">
        <v>13</v>
      </c>
      <c r="O551" t="s">
        <v>1738</v>
      </c>
      <c r="P551" s="2" t="str">
        <f>HYPERLINK("https://www.facebook.com/311833705986367")</f>
        <v>https://www.facebook.com/311833705986367</v>
      </c>
      <c r="R551" t="s">
        <v>6067</v>
      </c>
      <c r="S551" t="s">
        <v>6091</v>
      </c>
    </row>
    <row r="552" spans="1:19" ht="14.25" customHeight="1" x14ac:dyDescent="0.3">
      <c r="A552" t="s">
        <v>629</v>
      </c>
      <c r="B552" t="s">
        <v>1732</v>
      </c>
      <c r="C552" t="s">
        <v>95</v>
      </c>
      <c r="D552" t="s">
        <v>370</v>
      </c>
      <c r="E552" t="s">
        <v>371</v>
      </c>
      <c r="F552" t="s">
        <v>6058</v>
      </c>
      <c r="G552" s="2" t="str">
        <f>HYPERLINK("https://www.facebook.com/178553519446247/posts/993180640846146")</f>
        <v>https://www.facebook.com/178553519446247/posts/993180640846146</v>
      </c>
      <c r="H552" t="s">
        <v>6062</v>
      </c>
      <c r="I552" t="s">
        <v>1714</v>
      </c>
      <c r="J552" s="2" t="str">
        <f t="shared" si="10"/>
        <v>https://www.facebook.com/100004626581006</v>
      </c>
      <c r="K552">
        <v>349</v>
      </c>
      <c r="L552" t="s">
        <v>6064</v>
      </c>
      <c r="M552">
        <v>48</v>
      </c>
      <c r="N552" t="s">
        <v>13</v>
      </c>
      <c r="O552" t="s">
        <v>1645</v>
      </c>
      <c r="P552" s="2" t="str">
        <f>HYPERLINK("https://www.facebook.com/178553519446247")</f>
        <v>https://www.facebook.com/178553519446247</v>
      </c>
      <c r="R552" t="s">
        <v>6067</v>
      </c>
      <c r="S552" t="s">
        <v>6091</v>
      </c>
    </row>
    <row r="553" spans="1:19" ht="14.25" customHeight="1" x14ac:dyDescent="0.3">
      <c r="A553" t="s">
        <v>629</v>
      </c>
      <c r="B553" t="s">
        <v>1744</v>
      </c>
      <c r="C553" t="s">
        <v>95</v>
      </c>
      <c r="D553" t="s">
        <v>370</v>
      </c>
      <c r="E553" t="s">
        <v>371</v>
      </c>
      <c r="F553" t="s">
        <v>6058</v>
      </c>
      <c r="G553" s="2" t="str">
        <f>HYPERLINK("https://www.facebook.com/1457135507899312/posts/2199151237031065")</f>
        <v>https://www.facebook.com/1457135507899312/posts/2199151237031065</v>
      </c>
      <c r="H553" t="s">
        <v>6062</v>
      </c>
      <c r="I553" t="s">
        <v>1714</v>
      </c>
      <c r="J553" s="2" t="str">
        <f t="shared" si="10"/>
        <v>https://www.facebook.com/100004626581006</v>
      </c>
      <c r="K553">
        <v>349</v>
      </c>
      <c r="L553" t="s">
        <v>6064</v>
      </c>
      <c r="M553">
        <v>48</v>
      </c>
      <c r="N553" t="s">
        <v>13</v>
      </c>
      <c r="O553" t="s">
        <v>1041</v>
      </c>
      <c r="P553" s="2" t="str">
        <f>HYPERLINK("https://www.facebook.com/1457135507899312")</f>
        <v>https://www.facebook.com/1457135507899312</v>
      </c>
      <c r="R553" t="s">
        <v>6067</v>
      </c>
      <c r="S553" t="s">
        <v>6091</v>
      </c>
    </row>
    <row r="554" spans="1:19" ht="14.25" customHeight="1" x14ac:dyDescent="0.3">
      <c r="A554" t="s">
        <v>629</v>
      </c>
      <c r="B554" t="s">
        <v>1744</v>
      </c>
      <c r="C554" t="s">
        <v>95</v>
      </c>
      <c r="D554" t="s">
        <v>370</v>
      </c>
      <c r="E554" t="s">
        <v>371</v>
      </c>
      <c r="F554" t="s">
        <v>6058</v>
      </c>
      <c r="G554" s="2" t="str">
        <f>HYPERLINK("https://www.facebook.com/1457135507899312/posts/993180580846152")</f>
        <v>https://www.facebook.com/1457135507899312/posts/993180580846152</v>
      </c>
      <c r="H554" t="s">
        <v>6062</v>
      </c>
      <c r="I554" t="s">
        <v>1714</v>
      </c>
      <c r="J554" s="2" t="str">
        <f t="shared" si="10"/>
        <v>https://www.facebook.com/100004626581006</v>
      </c>
      <c r="K554">
        <v>349</v>
      </c>
      <c r="L554" t="s">
        <v>6064</v>
      </c>
      <c r="M554">
        <v>48</v>
      </c>
      <c r="N554" t="s">
        <v>13</v>
      </c>
      <c r="O554" t="s">
        <v>1041</v>
      </c>
      <c r="P554" s="2" t="str">
        <f>HYPERLINK("https://www.facebook.com/1457135507899312")</f>
        <v>https://www.facebook.com/1457135507899312</v>
      </c>
      <c r="R554" t="s">
        <v>6067</v>
      </c>
      <c r="S554" t="s">
        <v>6091</v>
      </c>
    </row>
    <row r="555" spans="1:19" ht="14.25" customHeight="1" x14ac:dyDescent="0.3">
      <c r="A555" t="s">
        <v>629</v>
      </c>
      <c r="B555" t="s">
        <v>1744</v>
      </c>
      <c r="C555" t="s">
        <v>95</v>
      </c>
      <c r="D555" t="s">
        <v>370</v>
      </c>
      <c r="E555" t="s">
        <v>371</v>
      </c>
      <c r="F555" t="s">
        <v>6058</v>
      </c>
      <c r="G555" s="2" t="str">
        <f>HYPERLINK("https://www.facebook.com/789821664492893/posts/993180567512820")</f>
        <v>https://www.facebook.com/789821664492893/posts/993180567512820</v>
      </c>
      <c r="H555" t="s">
        <v>6062</v>
      </c>
      <c r="I555" t="s">
        <v>1714</v>
      </c>
      <c r="J555" s="2" t="str">
        <f t="shared" si="10"/>
        <v>https://www.facebook.com/100004626581006</v>
      </c>
      <c r="K555">
        <v>349</v>
      </c>
      <c r="L555" t="s">
        <v>6064</v>
      </c>
      <c r="M555">
        <v>48</v>
      </c>
      <c r="N555" t="s">
        <v>13</v>
      </c>
      <c r="O555" t="s">
        <v>1042</v>
      </c>
      <c r="P555" s="2" t="str">
        <f>HYPERLINK("https://www.facebook.com/789821664492893")</f>
        <v>https://www.facebook.com/789821664492893</v>
      </c>
      <c r="R555" t="s">
        <v>6067</v>
      </c>
      <c r="S555" t="s">
        <v>6091</v>
      </c>
    </row>
    <row r="556" spans="1:19" ht="14.25" customHeight="1" x14ac:dyDescent="0.3">
      <c r="A556" t="s">
        <v>629</v>
      </c>
      <c r="B556" t="s">
        <v>1780</v>
      </c>
      <c r="C556" t="s">
        <v>95</v>
      </c>
      <c r="D556" t="s">
        <v>370</v>
      </c>
      <c r="E556" t="s">
        <v>371</v>
      </c>
      <c r="F556" t="s">
        <v>6058</v>
      </c>
      <c r="G556" s="2" t="str">
        <f>HYPERLINK("https://www.facebook.com/100004626581006/posts/993178230846387")</f>
        <v>https://www.facebook.com/100004626581006/posts/993178230846387</v>
      </c>
      <c r="H556" t="s">
        <v>6062</v>
      </c>
      <c r="I556" t="s">
        <v>1714</v>
      </c>
      <c r="J556" s="2" t="str">
        <f t="shared" si="10"/>
        <v>https://www.facebook.com/100004626581006</v>
      </c>
      <c r="K556">
        <v>349</v>
      </c>
      <c r="L556" t="s">
        <v>6064</v>
      </c>
      <c r="M556">
        <v>48</v>
      </c>
      <c r="N556" t="s">
        <v>13</v>
      </c>
      <c r="O556" t="s">
        <v>1714</v>
      </c>
      <c r="P556" s="2" t="str">
        <f>HYPERLINK("https://www.facebook.com/100004626581006")</f>
        <v>https://www.facebook.com/100004626581006</v>
      </c>
      <c r="Q556">
        <v>349</v>
      </c>
      <c r="R556" t="s">
        <v>6067</v>
      </c>
      <c r="S556" t="s">
        <v>6091</v>
      </c>
    </row>
    <row r="557" spans="1:19" ht="14.25" customHeight="1" x14ac:dyDescent="0.3">
      <c r="A557" t="s">
        <v>1</v>
      </c>
      <c r="B557" t="s">
        <v>71</v>
      </c>
      <c r="C557" t="s">
        <v>72</v>
      </c>
      <c r="D557" t="s">
        <v>73</v>
      </c>
      <c r="E557" t="s">
        <v>74</v>
      </c>
      <c r="F557" t="s">
        <v>6059</v>
      </c>
      <c r="G557" s="2" t="str">
        <f>HYPERLINK("https://www.facebook.com/742175053/posts/10160246351685054?comment_id=10160249128305054")</f>
        <v>https://www.facebook.com/742175053/posts/10160246351685054?comment_id=10160249128305054</v>
      </c>
      <c r="H557" t="s">
        <v>6062</v>
      </c>
      <c r="I557" t="s">
        <v>75</v>
      </c>
      <c r="J557" s="2" t="str">
        <f>HYPERLINK("https://www.facebook.com/100002395789106")</f>
        <v>https://www.facebook.com/100002395789106</v>
      </c>
      <c r="K557">
        <v>1038</v>
      </c>
      <c r="L557" t="s">
        <v>6064</v>
      </c>
      <c r="N557" t="s">
        <v>13</v>
      </c>
      <c r="O557" t="s">
        <v>76</v>
      </c>
      <c r="P557" s="2" t="str">
        <f>HYPERLINK("https://www.facebook.com/742175053")</f>
        <v>https://www.facebook.com/742175053</v>
      </c>
      <c r="Q557">
        <v>1402</v>
      </c>
      <c r="R557" t="s">
        <v>6067</v>
      </c>
      <c r="S557" t="s">
        <v>6073</v>
      </c>
    </row>
    <row r="558" spans="1:19" ht="14.25" customHeight="1" x14ac:dyDescent="0.3">
      <c r="A558" t="s">
        <v>629</v>
      </c>
      <c r="B558" t="s">
        <v>1072</v>
      </c>
      <c r="C558" t="s">
        <v>95</v>
      </c>
      <c r="D558" t="s">
        <v>667</v>
      </c>
      <c r="E558" t="s">
        <v>668</v>
      </c>
      <c r="F558" t="s">
        <v>6058</v>
      </c>
      <c r="G558" s="2" t="str">
        <f>HYPERLINK("https://www.facebook.com/100001651752890/posts/1655670324498010")</f>
        <v>https://www.facebook.com/100001651752890/posts/1655670324498010</v>
      </c>
      <c r="H558" t="s">
        <v>6062</v>
      </c>
      <c r="I558" t="s">
        <v>1073</v>
      </c>
      <c r="J558" s="2" t="str">
        <f>HYPERLINK("https://www.facebook.com/100001651752890")</f>
        <v>https://www.facebook.com/100001651752890</v>
      </c>
      <c r="K558">
        <v>1083</v>
      </c>
      <c r="L558" t="s">
        <v>6064</v>
      </c>
      <c r="N558" t="s">
        <v>13</v>
      </c>
      <c r="O558" t="s">
        <v>1073</v>
      </c>
      <c r="P558" s="2" t="str">
        <f>HYPERLINK("https://www.facebook.com/100001651752890")</f>
        <v>https://www.facebook.com/100001651752890</v>
      </c>
      <c r="Q558">
        <v>1083</v>
      </c>
      <c r="R558" t="s">
        <v>6067</v>
      </c>
    </row>
    <row r="559" spans="1:19" ht="14.25" customHeight="1" x14ac:dyDescent="0.3">
      <c r="A559" t="s">
        <v>629</v>
      </c>
      <c r="B559" t="s">
        <v>1924</v>
      </c>
      <c r="C559" t="s">
        <v>95</v>
      </c>
      <c r="D559" t="s">
        <v>370</v>
      </c>
      <c r="E559" t="s">
        <v>371</v>
      </c>
      <c r="F559" t="s">
        <v>6058</v>
      </c>
      <c r="G559" s="2" t="str">
        <f>HYPERLINK("https://www.facebook.com/100005439397895/posts/807367272787912")</f>
        <v>https://www.facebook.com/100005439397895/posts/807367272787912</v>
      </c>
      <c r="H559" t="s">
        <v>6062</v>
      </c>
      <c r="I559" t="s">
        <v>1926</v>
      </c>
      <c r="J559" s="2" t="str">
        <f>HYPERLINK("https://www.facebook.com/100005439397895")</f>
        <v>https://www.facebook.com/100005439397895</v>
      </c>
      <c r="K559">
        <v>98</v>
      </c>
      <c r="L559" t="s">
        <v>6064</v>
      </c>
      <c r="N559" t="s">
        <v>13</v>
      </c>
      <c r="O559" t="s">
        <v>1926</v>
      </c>
      <c r="P559" s="2" t="str">
        <f>HYPERLINK("https://www.facebook.com/100005439397895")</f>
        <v>https://www.facebook.com/100005439397895</v>
      </c>
      <c r="Q559">
        <v>98</v>
      </c>
      <c r="R559" t="s">
        <v>6067</v>
      </c>
      <c r="S559" t="s">
        <v>6103</v>
      </c>
    </row>
    <row r="560" spans="1:19" ht="14.25" customHeight="1" x14ac:dyDescent="0.3">
      <c r="A560" t="s">
        <v>2225</v>
      </c>
      <c r="B560" t="s">
        <v>2536</v>
      </c>
      <c r="C560" t="s">
        <v>95</v>
      </c>
      <c r="D560" t="s">
        <v>853</v>
      </c>
      <c r="E560" t="s">
        <v>2540</v>
      </c>
      <c r="F560" t="s">
        <v>6059</v>
      </c>
      <c r="G560" s="2" t="str">
        <f>HYPERLINK("https://www.facebook.com/100008934274771/posts/1810262525948206?comment_id=1810290492612076")</f>
        <v>https://www.facebook.com/100008934274771/posts/1810262525948206?comment_id=1810290492612076</v>
      </c>
      <c r="H560" t="s">
        <v>6062</v>
      </c>
      <c r="I560" t="s">
        <v>2531</v>
      </c>
      <c r="J560" s="2" t="str">
        <f>HYPERLINK("https://www.facebook.com/100021743289396")</f>
        <v>https://www.facebook.com/100021743289396</v>
      </c>
      <c r="K560">
        <v>0</v>
      </c>
      <c r="L560" t="s">
        <v>6064</v>
      </c>
      <c r="N560" t="s">
        <v>13</v>
      </c>
      <c r="O560" t="s">
        <v>856</v>
      </c>
      <c r="P560" s="2" t="str">
        <f>HYPERLINK("https://www.facebook.com/100008934274771")</f>
        <v>https://www.facebook.com/100008934274771</v>
      </c>
      <c r="Q560">
        <v>10395</v>
      </c>
      <c r="R560" t="s">
        <v>6067</v>
      </c>
      <c r="S560" t="s">
        <v>6073</v>
      </c>
    </row>
    <row r="561" spans="1:19" ht="14.25" customHeight="1" x14ac:dyDescent="0.3">
      <c r="A561" t="s">
        <v>2225</v>
      </c>
      <c r="B561" t="s">
        <v>733</v>
      </c>
      <c r="C561" t="s">
        <v>95</v>
      </c>
      <c r="D561" t="s">
        <v>853</v>
      </c>
      <c r="E561" t="s">
        <v>2530</v>
      </c>
      <c r="F561" t="s">
        <v>6059</v>
      </c>
      <c r="G561" s="2" t="str">
        <f>HYPERLINK("https://www.facebook.com/100008934274771/posts/1810262525948206?comment_id=1810290875945371")</f>
        <v>https://www.facebook.com/100008934274771/posts/1810262525948206?comment_id=1810290875945371</v>
      </c>
      <c r="H561" t="s">
        <v>6062</v>
      </c>
      <c r="I561" t="s">
        <v>2531</v>
      </c>
      <c r="J561" s="2" t="str">
        <f>HYPERLINK("https://www.facebook.com/100021743289396")</f>
        <v>https://www.facebook.com/100021743289396</v>
      </c>
      <c r="K561">
        <v>0</v>
      </c>
      <c r="L561" t="s">
        <v>6064</v>
      </c>
      <c r="N561" t="s">
        <v>13</v>
      </c>
      <c r="O561" t="s">
        <v>856</v>
      </c>
      <c r="P561" s="2" t="str">
        <f>HYPERLINK("https://www.facebook.com/100008934274771")</f>
        <v>https://www.facebook.com/100008934274771</v>
      </c>
      <c r="Q561">
        <v>10395</v>
      </c>
      <c r="R561" t="s">
        <v>6067</v>
      </c>
      <c r="S561" t="s">
        <v>6073</v>
      </c>
    </row>
    <row r="562" spans="1:19" ht="14.25" customHeight="1" x14ac:dyDescent="0.3">
      <c r="A562" t="s">
        <v>2225</v>
      </c>
      <c r="B562" t="s">
        <v>2547</v>
      </c>
      <c r="C562" t="s">
        <v>95</v>
      </c>
      <c r="D562" t="s">
        <v>853</v>
      </c>
      <c r="E562" t="s">
        <v>2555</v>
      </c>
      <c r="F562" t="s">
        <v>6059</v>
      </c>
      <c r="G562" s="2" t="str">
        <f>HYPERLINK("https://www.facebook.com/100008934274771/posts/1810262525948206?comment_id=1810289715945487")</f>
        <v>https://www.facebook.com/100008934274771/posts/1810262525948206?comment_id=1810289715945487</v>
      </c>
      <c r="H562" t="s">
        <v>6062</v>
      </c>
      <c r="I562" t="s">
        <v>2531</v>
      </c>
      <c r="J562" s="2" t="str">
        <f>HYPERLINK("https://www.facebook.com/100021743289396")</f>
        <v>https://www.facebook.com/100021743289396</v>
      </c>
      <c r="K562">
        <v>0</v>
      </c>
      <c r="L562" t="s">
        <v>6064</v>
      </c>
      <c r="N562" t="s">
        <v>13</v>
      </c>
      <c r="O562" t="s">
        <v>856</v>
      </c>
      <c r="P562" s="2" t="str">
        <f>HYPERLINK("https://www.facebook.com/100008934274771")</f>
        <v>https://www.facebook.com/100008934274771</v>
      </c>
      <c r="Q562">
        <v>10395</v>
      </c>
      <c r="R562" t="s">
        <v>6067</v>
      </c>
      <c r="S562" t="s">
        <v>6073</v>
      </c>
    </row>
    <row r="563" spans="1:19" ht="14.25" customHeight="1" x14ac:dyDescent="0.3">
      <c r="A563" t="s">
        <v>2225</v>
      </c>
      <c r="B563" t="s">
        <v>2556</v>
      </c>
      <c r="C563" t="s">
        <v>95</v>
      </c>
      <c r="D563" t="s">
        <v>853</v>
      </c>
      <c r="E563" t="s">
        <v>2562</v>
      </c>
      <c r="F563" t="s">
        <v>6059</v>
      </c>
      <c r="G563" s="2" t="str">
        <f>HYPERLINK("https://www.facebook.com/100008934274771/posts/1810262525948206?comment_id=1810289249278867")</f>
        <v>https://www.facebook.com/100008934274771/posts/1810262525948206?comment_id=1810289249278867</v>
      </c>
      <c r="H563" t="s">
        <v>6062</v>
      </c>
      <c r="I563" t="s">
        <v>2531</v>
      </c>
      <c r="J563" s="2" t="str">
        <f>HYPERLINK("https://www.facebook.com/100021743289396")</f>
        <v>https://www.facebook.com/100021743289396</v>
      </c>
      <c r="K563">
        <v>0</v>
      </c>
      <c r="L563" t="s">
        <v>6064</v>
      </c>
      <c r="N563" t="s">
        <v>13</v>
      </c>
      <c r="O563" t="s">
        <v>856</v>
      </c>
      <c r="P563" s="2" t="str">
        <f>HYPERLINK("https://www.facebook.com/100008934274771")</f>
        <v>https://www.facebook.com/100008934274771</v>
      </c>
      <c r="Q563">
        <v>10395</v>
      </c>
      <c r="R563" t="s">
        <v>6067</v>
      </c>
      <c r="S563" t="s">
        <v>6073</v>
      </c>
    </row>
    <row r="564" spans="1:19" ht="14.25" customHeight="1" x14ac:dyDescent="0.3">
      <c r="A564" t="s">
        <v>2225</v>
      </c>
      <c r="B564" t="s">
        <v>2824</v>
      </c>
      <c r="C564" t="s">
        <v>95</v>
      </c>
      <c r="D564" t="s">
        <v>853</v>
      </c>
      <c r="E564" t="s">
        <v>2827</v>
      </c>
      <c r="F564" t="s">
        <v>6059</v>
      </c>
      <c r="G564" s="2" t="str">
        <f>HYPERLINK("https://www.facebook.com/100008934274771/posts/1810262525948206?comment_id=1810267465947712")</f>
        <v>https://www.facebook.com/100008934274771/posts/1810262525948206?comment_id=1810267465947712</v>
      </c>
      <c r="H564" t="s">
        <v>6062</v>
      </c>
      <c r="I564" t="s">
        <v>1826</v>
      </c>
      <c r="J564" s="2" t="str">
        <f>HYPERLINK("https://www.facebook.com/100001202588602")</f>
        <v>https://www.facebook.com/100001202588602</v>
      </c>
      <c r="K564">
        <v>59299</v>
      </c>
      <c r="L564" t="s">
        <v>6064</v>
      </c>
      <c r="N564" t="s">
        <v>13</v>
      </c>
      <c r="O564" t="s">
        <v>856</v>
      </c>
      <c r="P564" s="2" t="str">
        <f>HYPERLINK("https://www.facebook.com/100008934274771")</f>
        <v>https://www.facebook.com/100008934274771</v>
      </c>
      <c r="Q564">
        <v>10395</v>
      </c>
      <c r="R564" t="s">
        <v>6067</v>
      </c>
      <c r="S564" t="s">
        <v>6073</v>
      </c>
    </row>
    <row r="565" spans="1:19" ht="14.25" customHeight="1" x14ac:dyDescent="0.3">
      <c r="A565" t="s">
        <v>629</v>
      </c>
      <c r="B565" t="s">
        <v>427</v>
      </c>
      <c r="C565" t="s">
        <v>95</v>
      </c>
      <c r="D565" t="s">
        <v>370</v>
      </c>
      <c r="E565" t="s">
        <v>371</v>
      </c>
      <c r="F565" t="s">
        <v>6058</v>
      </c>
      <c r="G565" s="2" t="str">
        <f>HYPERLINK("https://www.facebook.com/100001202588602/posts/1794744717242264")</f>
        <v>https://www.facebook.com/100001202588602/posts/1794744717242264</v>
      </c>
      <c r="H565" t="s">
        <v>6062</v>
      </c>
      <c r="I565" t="s">
        <v>1826</v>
      </c>
      <c r="J565" s="2" t="str">
        <f>HYPERLINK("https://www.facebook.com/100001202588602")</f>
        <v>https://www.facebook.com/100001202588602</v>
      </c>
      <c r="K565">
        <v>59299</v>
      </c>
      <c r="L565" t="s">
        <v>6064</v>
      </c>
      <c r="N565" t="s">
        <v>13</v>
      </c>
      <c r="O565" t="s">
        <v>1826</v>
      </c>
      <c r="P565" s="2" t="str">
        <f>HYPERLINK("https://www.facebook.com/100001202588602")</f>
        <v>https://www.facebook.com/100001202588602</v>
      </c>
      <c r="Q565">
        <v>59299</v>
      </c>
      <c r="R565" t="s">
        <v>6067</v>
      </c>
      <c r="S565" t="s">
        <v>6073</v>
      </c>
    </row>
    <row r="566" spans="1:19" ht="14.25" customHeight="1" x14ac:dyDescent="0.3">
      <c r="A566" t="s">
        <v>2225</v>
      </c>
      <c r="B566" t="s">
        <v>2646</v>
      </c>
      <c r="C566" t="s">
        <v>95</v>
      </c>
      <c r="D566" t="s">
        <v>2650</v>
      </c>
      <c r="E566" t="s">
        <v>2651</v>
      </c>
      <c r="F566" t="s">
        <v>6057</v>
      </c>
      <c r="G566" s="2" t="str">
        <f>HYPERLINK("https://www.facebook.com/100001202588602/posts/1794272100622859")</f>
        <v>https://www.facebook.com/100001202588602/posts/1794272100622859</v>
      </c>
      <c r="H566" t="s">
        <v>6062</v>
      </c>
      <c r="I566" t="s">
        <v>1826</v>
      </c>
      <c r="J566" s="2" t="str">
        <f>HYPERLINK("https://www.facebook.com/100001202588602")</f>
        <v>https://www.facebook.com/100001202588602</v>
      </c>
      <c r="K566">
        <v>59299</v>
      </c>
      <c r="L566" t="s">
        <v>6064</v>
      </c>
      <c r="N566" t="s">
        <v>13</v>
      </c>
      <c r="O566" t="s">
        <v>1826</v>
      </c>
      <c r="P566" s="2" t="str">
        <f>HYPERLINK("https://www.facebook.com/100001202588602")</f>
        <v>https://www.facebook.com/100001202588602</v>
      </c>
      <c r="Q566">
        <v>59299</v>
      </c>
      <c r="R566" t="s">
        <v>6067</v>
      </c>
      <c r="S566" t="s">
        <v>6073</v>
      </c>
    </row>
    <row r="567" spans="1:19" ht="14.25" customHeight="1" x14ac:dyDescent="0.3">
      <c r="A567" t="s">
        <v>629</v>
      </c>
      <c r="B567" t="s">
        <v>1950</v>
      </c>
      <c r="C567" t="s">
        <v>95</v>
      </c>
      <c r="D567" t="s">
        <v>370</v>
      </c>
      <c r="E567" t="s">
        <v>371</v>
      </c>
      <c r="F567" t="s">
        <v>6058</v>
      </c>
      <c r="G567" s="2" t="str">
        <f>HYPERLINK("https://www.facebook.com/799747376712091/posts/1791389034214582")</f>
        <v>https://www.facebook.com/799747376712091/posts/1791389034214582</v>
      </c>
      <c r="H567" t="s">
        <v>6062</v>
      </c>
      <c r="I567" t="s">
        <v>1953</v>
      </c>
      <c r="J567" s="2" t="str">
        <f>HYPERLINK("https://www.facebook.com/100003180977036")</f>
        <v>https://www.facebook.com/100003180977036</v>
      </c>
      <c r="K567">
        <v>3737</v>
      </c>
      <c r="L567" t="s">
        <v>6064</v>
      </c>
      <c r="N567" t="s">
        <v>13</v>
      </c>
      <c r="O567" t="s">
        <v>1954</v>
      </c>
      <c r="P567" s="2" t="str">
        <f>HYPERLINK("https://www.facebook.com/799747376712091")</f>
        <v>https://www.facebook.com/799747376712091</v>
      </c>
      <c r="R567" t="s">
        <v>6067</v>
      </c>
      <c r="S567" t="s">
        <v>6073</v>
      </c>
    </row>
    <row r="568" spans="1:19" ht="14.25" customHeight="1" x14ac:dyDescent="0.3">
      <c r="A568" t="s">
        <v>629</v>
      </c>
      <c r="B568" t="s">
        <v>1950</v>
      </c>
      <c r="C568" t="s">
        <v>95</v>
      </c>
      <c r="D568" t="s">
        <v>370</v>
      </c>
      <c r="E568" t="s">
        <v>371</v>
      </c>
      <c r="F568" t="s">
        <v>6058</v>
      </c>
      <c r="G568" s="2" t="str">
        <f>HYPERLINK("https://www.facebook.com/799747376712091/posts/1599149533534397")</f>
        <v>https://www.facebook.com/799747376712091/posts/1599149533534397</v>
      </c>
      <c r="H568" t="s">
        <v>6062</v>
      </c>
      <c r="I568" t="s">
        <v>1953</v>
      </c>
      <c r="J568" s="2" t="str">
        <f>HYPERLINK("https://www.facebook.com/100003180977036")</f>
        <v>https://www.facebook.com/100003180977036</v>
      </c>
      <c r="K568">
        <v>3737</v>
      </c>
      <c r="L568" t="s">
        <v>6064</v>
      </c>
      <c r="N568" t="s">
        <v>13</v>
      </c>
      <c r="O568" t="s">
        <v>1954</v>
      </c>
      <c r="P568" s="2" t="str">
        <f>HYPERLINK("https://www.facebook.com/799747376712091")</f>
        <v>https://www.facebook.com/799747376712091</v>
      </c>
      <c r="R568" t="s">
        <v>6067</v>
      </c>
      <c r="S568" t="s">
        <v>6073</v>
      </c>
    </row>
    <row r="569" spans="1:19" ht="14.25" customHeight="1" x14ac:dyDescent="0.3">
      <c r="A569" t="s">
        <v>2225</v>
      </c>
      <c r="B569" t="s">
        <v>2581</v>
      </c>
      <c r="C569" t="s">
        <v>95</v>
      </c>
      <c r="D569" t="s">
        <v>544</v>
      </c>
      <c r="E569" t="s">
        <v>545</v>
      </c>
      <c r="F569" t="s">
        <v>6058</v>
      </c>
      <c r="G569" s="2" t="str">
        <f>HYPERLINK("https://www.facebook.com/100002268634533/posts/1649729111779361")</f>
        <v>https://www.facebook.com/100002268634533/posts/1649729111779361</v>
      </c>
      <c r="H569" t="s">
        <v>6062</v>
      </c>
      <c r="I569" t="s">
        <v>2582</v>
      </c>
      <c r="J569" s="2" t="str">
        <f>HYPERLINK("https://www.facebook.com/100002268634533")</f>
        <v>https://www.facebook.com/100002268634533</v>
      </c>
      <c r="K569">
        <v>3507</v>
      </c>
      <c r="L569" t="s">
        <v>6064</v>
      </c>
      <c r="N569" t="s">
        <v>13</v>
      </c>
      <c r="O569" t="s">
        <v>2582</v>
      </c>
      <c r="P569" s="2" t="str">
        <f>HYPERLINK("https://www.facebook.com/100002268634533")</f>
        <v>https://www.facebook.com/100002268634533</v>
      </c>
      <c r="Q569">
        <v>3507</v>
      </c>
      <c r="R569" t="s">
        <v>6067</v>
      </c>
      <c r="S569" t="s">
        <v>6073</v>
      </c>
    </row>
    <row r="570" spans="1:19" ht="14.25" customHeight="1" x14ac:dyDescent="0.3">
      <c r="A570" t="s">
        <v>2225</v>
      </c>
      <c r="B570" t="s">
        <v>2581</v>
      </c>
      <c r="C570" t="s">
        <v>95</v>
      </c>
      <c r="D570" t="s">
        <v>544</v>
      </c>
      <c r="E570" t="s">
        <v>545</v>
      </c>
      <c r="F570" t="s">
        <v>6058</v>
      </c>
      <c r="G570" s="2" t="str">
        <f>HYPERLINK("https://www.facebook.com/100002268634533/posts/1649729105112695")</f>
        <v>https://www.facebook.com/100002268634533/posts/1649729105112695</v>
      </c>
      <c r="H570" t="s">
        <v>6062</v>
      </c>
      <c r="I570" t="s">
        <v>2582</v>
      </c>
      <c r="J570" s="2" t="str">
        <f>HYPERLINK("https://www.facebook.com/100002268634533")</f>
        <v>https://www.facebook.com/100002268634533</v>
      </c>
      <c r="K570">
        <v>3507</v>
      </c>
      <c r="L570" t="s">
        <v>6064</v>
      </c>
      <c r="N570" t="s">
        <v>13</v>
      </c>
      <c r="O570" t="s">
        <v>2582</v>
      </c>
      <c r="P570" s="2" t="str">
        <f>HYPERLINK("https://www.facebook.com/100002268634533")</f>
        <v>https://www.facebook.com/100002268634533</v>
      </c>
      <c r="Q570">
        <v>3507</v>
      </c>
      <c r="R570" t="s">
        <v>6067</v>
      </c>
      <c r="S570" t="s">
        <v>6073</v>
      </c>
    </row>
    <row r="571" spans="1:19" ht="14.25" customHeight="1" x14ac:dyDescent="0.3">
      <c r="A571" t="s">
        <v>629</v>
      </c>
      <c r="B571" t="s">
        <v>1732</v>
      </c>
      <c r="C571" t="s">
        <v>95</v>
      </c>
      <c r="D571" t="s">
        <v>1740</v>
      </c>
      <c r="E571" t="s">
        <v>1741</v>
      </c>
      <c r="F571" t="s">
        <v>6059</v>
      </c>
      <c r="G571" s="2" t="str">
        <f>HYPERLINK("https://www.facebook.com/100007906929199/posts/2030616783878533?comment_id=2031067420500136")</f>
        <v>https://www.facebook.com/100007906929199/posts/2030616783878533?comment_id=2031067420500136</v>
      </c>
      <c r="H571" t="s">
        <v>6062</v>
      </c>
      <c r="I571" t="s">
        <v>1742</v>
      </c>
      <c r="J571" s="2" t="str">
        <f>HYPERLINK("https://www.facebook.com/100001126609254")</f>
        <v>https://www.facebook.com/100001126609254</v>
      </c>
      <c r="K571">
        <v>0</v>
      </c>
      <c r="L571" t="s">
        <v>6063</v>
      </c>
      <c r="N571" t="s">
        <v>13</v>
      </c>
      <c r="O571" t="s">
        <v>1743</v>
      </c>
      <c r="P571" s="2" t="str">
        <f>HYPERLINK("https://www.facebook.com/100007906929199")</f>
        <v>https://www.facebook.com/100007906929199</v>
      </c>
      <c r="Q571">
        <v>3465</v>
      </c>
      <c r="R571" t="s">
        <v>6067</v>
      </c>
      <c r="S571" t="s">
        <v>6073</v>
      </c>
    </row>
    <row r="572" spans="1:19" ht="14.25" customHeight="1" x14ac:dyDescent="0.3">
      <c r="A572" t="s">
        <v>629</v>
      </c>
      <c r="B572" t="s">
        <v>2083</v>
      </c>
      <c r="C572" t="s">
        <v>95</v>
      </c>
      <c r="D572" t="s">
        <v>544</v>
      </c>
      <c r="E572" t="s">
        <v>545</v>
      </c>
      <c r="F572" t="s">
        <v>6058</v>
      </c>
      <c r="G572" s="2" t="str">
        <f>HYPERLINK("https://www.facebook.com/100010371811672/posts/581692898853099")</f>
        <v>https://www.facebook.com/100010371811672/posts/581692898853099</v>
      </c>
      <c r="H572" t="s">
        <v>6062</v>
      </c>
      <c r="I572" t="s">
        <v>2084</v>
      </c>
      <c r="J572" s="2" t="str">
        <f>HYPERLINK("https://www.facebook.com/100010371811672")</f>
        <v>https://www.facebook.com/100010371811672</v>
      </c>
      <c r="K572">
        <v>326</v>
      </c>
      <c r="L572" t="s">
        <v>6064</v>
      </c>
      <c r="N572" t="s">
        <v>13</v>
      </c>
      <c r="O572" t="s">
        <v>2084</v>
      </c>
      <c r="P572" s="2" t="str">
        <f>HYPERLINK("https://www.facebook.com/100010371811672")</f>
        <v>https://www.facebook.com/100010371811672</v>
      </c>
      <c r="Q572">
        <v>326</v>
      </c>
      <c r="R572" t="s">
        <v>6067</v>
      </c>
      <c r="S572" t="s">
        <v>6073</v>
      </c>
    </row>
    <row r="573" spans="1:19" ht="14.25" customHeight="1" x14ac:dyDescent="0.3">
      <c r="A573" t="s">
        <v>629</v>
      </c>
      <c r="B573" t="s">
        <v>1682</v>
      </c>
      <c r="C573" t="s">
        <v>95</v>
      </c>
      <c r="D573" t="s">
        <v>370</v>
      </c>
      <c r="E573" t="s">
        <v>371</v>
      </c>
      <c r="F573" t="s">
        <v>6058</v>
      </c>
      <c r="G573" s="2" t="str">
        <f>HYPERLINK("https://www.facebook.com/100024804378720/posts/140979020072243")</f>
        <v>https://www.facebook.com/100024804378720/posts/140979020072243</v>
      </c>
      <c r="H573" t="s">
        <v>6062</v>
      </c>
      <c r="I573" t="s">
        <v>1447</v>
      </c>
      <c r="J573" s="2" t="str">
        <f>HYPERLINK("https://www.facebook.com/100024804378720")</f>
        <v>https://www.facebook.com/100024804378720</v>
      </c>
      <c r="K573">
        <v>77</v>
      </c>
      <c r="L573" t="s">
        <v>6064</v>
      </c>
      <c r="N573" t="s">
        <v>13</v>
      </c>
      <c r="O573" t="s">
        <v>1447</v>
      </c>
      <c r="P573" s="2" t="str">
        <f>HYPERLINK("https://www.facebook.com/100024804378720")</f>
        <v>https://www.facebook.com/100024804378720</v>
      </c>
      <c r="Q573">
        <v>77</v>
      </c>
      <c r="R573" t="s">
        <v>6067</v>
      </c>
    </row>
    <row r="574" spans="1:19" ht="14.25" customHeight="1" x14ac:dyDescent="0.3">
      <c r="A574" t="s">
        <v>629</v>
      </c>
      <c r="B574" t="s">
        <v>1791</v>
      </c>
      <c r="C574" t="s">
        <v>95</v>
      </c>
      <c r="D574" t="s">
        <v>370</v>
      </c>
      <c r="E574" t="s">
        <v>371</v>
      </c>
      <c r="F574" t="s">
        <v>6058</v>
      </c>
      <c r="G574" s="2" t="str">
        <f>HYPERLINK("https://www.facebook.com/100024804378720/posts/140968333406645")</f>
        <v>https://www.facebook.com/100024804378720/posts/140968333406645</v>
      </c>
      <c r="H574" t="s">
        <v>6062</v>
      </c>
      <c r="I574" t="s">
        <v>1447</v>
      </c>
      <c r="J574" s="2" t="str">
        <f>HYPERLINK("https://www.facebook.com/100024804378720")</f>
        <v>https://www.facebook.com/100024804378720</v>
      </c>
      <c r="K574">
        <v>77</v>
      </c>
      <c r="L574" t="s">
        <v>6064</v>
      </c>
      <c r="N574" t="s">
        <v>13</v>
      </c>
      <c r="O574" t="s">
        <v>1447</v>
      </c>
      <c r="P574" s="2" t="str">
        <f>HYPERLINK("https://www.facebook.com/100024804378720")</f>
        <v>https://www.facebook.com/100024804378720</v>
      </c>
      <c r="Q574">
        <v>77</v>
      </c>
      <c r="R574" t="s">
        <v>6067</v>
      </c>
    </row>
    <row r="575" spans="1:19" ht="14.25" customHeight="1" x14ac:dyDescent="0.3">
      <c r="A575" t="s">
        <v>629</v>
      </c>
      <c r="B575" t="s">
        <v>1791</v>
      </c>
      <c r="C575" t="s">
        <v>95</v>
      </c>
      <c r="D575" t="s">
        <v>370</v>
      </c>
      <c r="E575" t="s">
        <v>371</v>
      </c>
      <c r="F575" t="s">
        <v>6058</v>
      </c>
      <c r="G575" s="2" t="str">
        <f>HYPERLINK("https://www.facebook.com/100024804378720/posts/140968296739982")</f>
        <v>https://www.facebook.com/100024804378720/posts/140968296739982</v>
      </c>
      <c r="H575" t="s">
        <v>6062</v>
      </c>
      <c r="I575" t="s">
        <v>1447</v>
      </c>
      <c r="J575" s="2" t="str">
        <f>HYPERLINK("https://www.facebook.com/100024804378720")</f>
        <v>https://www.facebook.com/100024804378720</v>
      </c>
      <c r="K575">
        <v>77</v>
      </c>
      <c r="L575" t="s">
        <v>6064</v>
      </c>
      <c r="N575" t="s">
        <v>13</v>
      </c>
      <c r="O575" t="s">
        <v>1447</v>
      </c>
      <c r="P575" s="2" t="str">
        <f>HYPERLINK("https://www.facebook.com/100024804378720")</f>
        <v>https://www.facebook.com/100024804378720</v>
      </c>
      <c r="Q575">
        <v>77</v>
      </c>
      <c r="R575" t="s">
        <v>6067</v>
      </c>
    </row>
    <row r="576" spans="1:19" ht="14.25" customHeight="1" x14ac:dyDescent="0.3">
      <c r="A576" t="s">
        <v>629</v>
      </c>
      <c r="B576" t="s">
        <v>1791</v>
      </c>
      <c r="C576" t="s">
        <v>95</v>
      </c>
      <c r="D576" t="s">
        <v>370</v>
      </c>
      <c r="E576" t="s">
        <v>371</v>
      </c>
      <c r="F576" t="s">
        <v>6058</v>
      </c>
      <c r="G576" s="2" t="str">
        <f>HYPERLINK("https://www.facebook.com/100024804378720/posts/140967986740013")</f>
        <v>https://www.facebook.com/100024804378720/posts/140967986740013</v>
      </c>
      <c r="H576" t="s">
        <v>6062</v>
      </c>
      <c r="I576" t="s">
        <v>1447</v>
      </c>
      <c r="J576" s="2" t="str">
        <f>HYPERLINK("https://www.facebook.com/100024804378720")</f>
        <v>https://www.facebook.com/100024804378720</v>
      </c>
      <c r="K576">
        <v>77</v>
      </c>
      <c r="L576" t="s">
        <v>6064</v>
      </c>
      <c r="N576" t="s">
        <v>13</v>
      </c>
      <c r="O576" t="s">
        <v>1447</v>
      </c>
      <c r="P576" s="2" t="str">
        <f>HYPERLINK("https://www.facebook.com/100024804378720")</f>
        <v>https://www.facebook.com/100024804378720</v>
      </c>
      <c r="Q576">
        <v>77</v>
      </c>
      <c r="R576" t="s">
        <v>6067</v>
      </c>
    </row>
    <row r="577" spans="1:19" ht="14.25" customHeight="1" x14ac:dyDescent="0.3">
      <c r="A577" t="s">
        <v>629</v>
      </c>
      <c r="B577" t="s">
        <v>238</v>
      </c>
      <c r="C577" t="s">
        <v>95</v>
      </c>
      <c r="D577" t="s">
        <v>853</v>
      </c>
      <c r="E577" t="s">
        <v>1446</v>
      </c>
      <c r="F577" t="s">
        <v>6059</v>
      </c>
      <c r="G577" s="2" t="str">
        <f>HYPERLINK("https://www.facebook.com/100008934274771/posts/1810262525948206?comment_id=1810611702579955")</f>
        <v>https://www.facebook.com/100008934274771/posts/1810262525948206?comment_id=1810611702579955</v>
      </c>
      <c r="H577" t="s">
        <v>6062</v>
      </c>
      <c r="I577" t="s">
        <v>1447</v>
      </c>
      <c r="J577" s="2" t="str">
        <f>HYPERLINK("https://www.facebook.com/100024804378720")</f>
        <v>https://www.facebook.com/100024804378720</v>
      </c>
      <c r="K577">
        <v>77</v>
      </c>
      <c r="L577" t="s">
        <v>6064</v>
      </c>
      <c r="N577" t="s">
        <v>13</v>
      </c>
      <c r="O577" t="s">
        <v>856</v>
      </c>
      <c r="P577" s="2" t="str">
        <f>HYPERLINK("https://www.facebook.com/100008934274771")</f>
        <v>https://www.facebook.com/100008934274771</v>
      </c>
      <c r="Q577">
        <v>10395</v>
      </c>
      <c r="R577" t="s">
        <v>6067</v>
      </c>
      <c r="S577" t="s">
        <v>6073</v>
      </c>
    </row>
    <row r="578" spans="1:19" ht="14.25" customHeight="1" x14ac:dyDescent="0.3">
      <c r="A578" t="s">
        <v>629</v>
      </c>
      <c r="B578" t="s">
        <v>365</v>
      </c>
      <c r="C578" t="s">
        <v>95</v>
      </c>
      <c r="D578" t="s">
        <v>370</v>
      </c>
      <c r="E578" t="s">
        <v>371</v>
      </c>
      <c r="F578" t="s">
        <v>6058</v>
      </c>
      <c r="G578" s="2" t="str">
        <f>HYPERLINK("https://www.facebook.com/1467815686858311/posts/1825281147778428")</f>
        <v>https://www.facebook.com/1467815686858311/posts/1825281147778428</v>
      </c>
      <c r="H578" t="s">
        <v>6062</v>
      </c>
      <c r="I578" t="s">
        <v>1663</v>
      </c>
      <c r="J578" s="2" t="str">
        <f>HYPERLINK("https://www.facebook.com/100023587328558")</f>
        <v>https://www.facebook.com/100023587328558</v>
      </c>
      <c r="K578">
        <v>113</v>
      </c>
      <c r="L578" t="s">
        <v>6064</v>
      </c>
      <c r="N578" t="s">
        <v>13</v>
      </c>
      <c r="O578" t="s">
        <v>1664</v>
      </c>
      <c r="P578" s="2" t="str">
        <f>HYPERLINK("https://www.facebook.com/1467815686858311")</f>
        <v>https://www.facebook.com/1467815686858311</v>
      </c>
      <c r="R578" t="s">
        <v>6067</v>
      </c>
    </row>
    <row r="579" spans="1:19" ht="14.25" customHeight="1" x14ac:dyDescent="0.3">
      <c r="A579" t="s">
        <v>629</v>
      </c>
      <c r="B579" t="s">
        <v>365</v>
      </c>
      <c r="C579" t="s">
        <v>95</v>
      </c>
      <c r="D579" t="s">
        <v>370</v>
      </c>
      <c r="E579" t="s">
        <v>371</v>
      </c>
      <c r="F579" t="s">
        <v>6058</v>
      </c>
      <c r="G579" s="2" t="str">
        <f>HYPERLINK("https://www.facebook.com/1467815686858311/posts/183759329086977")</f>
        <v>https://www.facebook.com/1467815686858311/posts/183759329086977</v>
      </c>
      <c r="H579" t="s">
        <v>6062</v>
      </c>
      <c r="I579" t="s">
        <v>1663</v>
      </c>
      <c r="J579" s="2" t="str">
        <f>HYPERLINK("https://www.facebook.com/100023587328558")</f>
        <v>https://www.facebook.com/100023587328558</v>
      </c>
      <c r="K579">
        <v>113</v>
      </c>
      <c r="L579" t="s">
        <v>6064</v>
      </c>
      <c r="N579" t="s">
        <v>13</v>
      </c>
      <c r="O579" t="s">
        <v>1664</v>
      </c>
      <c r="P579" s="2" t="str">
        <f>HYPERLINK("https://www.facebook.com/1467815686858311")</f>
        <v>https://www.facebook.com/1467815686858311</v>
      </c>
      <c r="R579" t="s">
        <v>6067</v>
      </c>
    </row>
    <row r="580" spans="1:19" ht="14.25" customHeight="1" x14ac:dyDescent="0.3">
      <c r="A580" t="s">
        <v>2225</v>
      </c>
      <c r="B580" t="s">
        <v>2723</v>
      </c>
      <c r="C580" t="s">
        <v>95</v>
      </c>
      <c r="D580" t="s">
        <v>544</v>
      </c>
      <c r="E580" t="s">
        <v>545</v>
      </c>
      <c r="F580" t="s">
        <v>6058</v>
      </c>
      <c r="G580" s="2" t="str">
        <f>HYPERLINK("https://www.facebook.com/100017242021925/posts/211396509445082")</f>
        <v>https://www.facebook.com/100017242021925/posts/211396509445082</v>
      </c>
      <c r="H580" t="s">
        <v>6062</v>
      </c>
      <c r="I580" t="s">
        <v>2725</v>
      </c>
      <c r="J580" s="2" t="str">
        <f>HYPERLINK("https://www.facebook.com/100017242021925")</f>
        <v>https://www.facebook.com/100017242021925</v>
      </c>
      <c r="K580">
        <v>564</v>
      </c>
      <c r="L580" t="s">
        <v>6064</v>
      </c>
      <c r="N580" t="s">
        <v>13</v>
      </c>
      <c r="O580" t="s">
        <v>2725</v>
      </c>
      <c r="P580" s="2" t="str">
        <f>HYPERLINK("https://www.facebook.com/100017242021925")</f>
        <v>https://www.facebook.com/100017242021925</v>
      </c>
      <c r="Q580">
        <v>564</v>
      </c>
      <c r="R580" t="s">
        <v>6067</v>
      </c>
      <c r="S580" t="s">
        <v>6073</v>
      </c>
    </row>
    <row r="581" spans="1:19" ht="14.25" customHeight="1" x14ac:dyDescent="0.3">
      <c r="A581" t="s">
        <v>629</v>
      </c>
      <c r="B581" t="s">
        <v>432</v>
      </c>
      <c r="C581" t="s">
        <v>95</v>
      </c>
      <c r="D581" t="s">
        <v>370</v>
      </c>
      <c r="E581" t="s">
        <v>371</v>
      </c>
      <c r="F581" t="s">
        <v>6058</v>
      </c>
      <c r="G581" s="2" t="str">
        <f>HYPERLINK("https://www.facebook.com/100000391607628/posts/1796725923683777")</f>
        <v>https://www.facebook.com/100000391607628/posts/1796725923683777</v>
      </c>
      <c r="H581" t="s">
        <v>6062</v>
      </c>
      <c r="I581" t="s">
        <v>1839</v>
      </c>
      <c r="J581" s="2" t="str">
        <f>HYPERLINK("https://www.facebook.com/100000391607628")</f>
        <v>https://www.facebook.com/100000391607628</v>
      </c>
      <c r="K581">
        <v>0</v>
      </c>
      <c r="L581" t="s">
        <v>6063</v>
      </c>
      <c r="N581" t="s">
        <v>13</v>
      </c>
      <c r="O581" t="s">
        <v>1839</v>
      </c>
      <c r="P581" s="2" t="str">
        <f>HYPERLINK("https://www.facebook.com/100000391607628")</f>
        <v>https://www.facebook.com/100000391607628</v>
      </c>
      <c r="Q581">
        <v>0</v>
      </c>
      <c r="R581" t="s">
        <v>6067</v>
      </c>
    </row>
    <row r="582" spans="1:19" ht="14.25" customHeight="1" x14ac:dyDescent="0.3">
      <c r="A582" t="s">
        <v>3527</v>
      </c>
      <c r="B582" t="s">
        <v>3053</v>
      </c>
      <c r="C582" t="s">
        <v>95</v>
      </c>
      <c r="D582" t="s">
        <v>3971</v>
      </c>
      <c r="E582" t="s">
        <v>3972</v>
      </c>
      <c r="F582" t="s">
        <v>6056</v>
      </c>
      <c r="G582" s="2" t="str">
        <f>HYPERLINK("https://www.facebook.com/866266636760723/posts/1621747987879247")</f>
        <v>https://www.facebook.com/866266636760723/posts/1621747987879247</v>
      </c>
      <c r="H582" t="s">
        <v>6062</v>
      </c>
      <c r="I582" t="s">
        <v>3973</v>
      </c>
      <c r="J582" s="2" t="str">
        <f>HYPERLINK("https://www.facebook.com/866266636760723")</f>
        <v>https://www.facebook.com/866266636760723</v>
      </c>
      <c r="K582">
        <v>3739</v>
      </c>
      <c r="L582" t="s">
        <v>6065</v>
      </c>
      <c r="N582" t="s">
        <v>13</v>
      </c>
      <c r="O582" t="s">
        <v>3973</v>
      </c>
      <c r="P582" s="2" t="str">
        <f>HYPERLINK("https://www.facebook.com/866266636760723")</f>
        <v>https://www.facebook.com/866266636760723</v>
      </c>
      <c r="Q582">
        <v>3739</v>
      </c>
      <c r="R582" t="s">
        <v>6067</v>
      </c>
      <c r="S582" t="s">
        <v>6073</v>
      </c>
    </row>
    <row r="583" spans="1:19" ht="14.25" customHeight="1" x14ac:dyDescent="0.3">
      <c r="A583" t="s">
        <v>629</v>
      </c>
      <c r="B583" t="s">
        <v>1610</v>
      </c>
      <c r="C583" t="s">
        <v>95</v>
      </c>
      <c r="D583" t="s">
        <v>1611</v>
      </c>
      <c r="E583" t="s">
        <v>1612</v>
      </c>
      <c r="F583" t="s">
        <v>6057</v>
      </c>
      <c r="G583" s="2" t="str">
        <f>HYPERLINK("https://www.facebook.com/223564908214864/posts/1596564637129220")</f>
        <v>https://www.facebook.com/223564908214864/posts/1596564637129220</v>
      </c>
      <c r="H583" t="s">
        <v>6062</v>
      </c>
      <c r="I583" t="s">
        <v>1613</v>
      </c>
      <c r="J583" s="2" t="str">
        <f>HYPERLINK("https://www.facebook.com/100003270970104")</f>
        <v>https://www.facebook.com/100003270970104</v>
      </c>
      <c r="K583">
        <v>1847</v>
      </c>
      <c r="L583" t="s">
        <v>6063</v>
      </c>
      <c r="N583" t="s">
        <v>13</v>
      </c>
      <c r="O583" t="s">
        <v>1614</v>
      </c>
      <c r="P583" s="2" t="str">
        <f>HYPERLINK("https://www.facebook.com/223564908214864")</f>
        <v>https://www.facebook.com/223564908214864</v>
      </c>
      <c r="R583" t="s">
        <v>6067</v>
      </c>
      <c r="S583" t="s">
        <v>6072</v>
      </c>
    </row>
    <row r="584" spans="1:19" ht="14.25" customHeight="1" x14ac:dyDescent="0.3">
      <c r="A584" t="s">
        <v>629</v>
      </c>
      <c r="B584" t="s">
        <v>1615</v>
      </c>
      <c r="C584" t="s">
        <v>95</v>
      </c>
      <c r="D584" t="s">
        <v>1611</v>
      </c>
      <c r="E584" t="s">
        <v>1612</v>
      </c>
      <c r="F584" t="s">
        <v>6057</v>
      </c>
      <c r="G584" s="2" t="str">
        <f>HYPERLINK("https://www.facebook.com/841912899197918/posts/1596564503795900")</f>
        <v>https://www.facebook.com/841912899197918/posts/1596564503795900</v>
      </c>
      <c r="H584" t="s">
        <v>6062</v>
      </c>
      <c r="I584" t="s">
        <v>1613</v>
      </c>
      <c r="J584" s="2" t="str">
        <f>HYPERLINK("https://www.facebook.com/100003270970104")</f>
        <v>https://www.facebook.com/100003270970104</v>
      </c>
      <c r="K584">
        <v>1847</v>
      </c>
      <c r="L584" t="s">
        <v>6063</v>
      </c>
      <c r="N584" t="s">
        <v>13</v>
      </c>
      <c r="O584" t="s">
        <v>1616</v>
      </c>
      <c r="P584" s="2" t="str">
        <f>HYPERLINK("https://www.facebook.com/841912899197918")</f>
        <v>https://www.facebook.com/841912899197918</v>
      </c>
      <c r="R584" t="s">
        <v>6067</v>
      </c>
      <c r="S584" t="s">
        <v>6072</v>
      </c>
    </row>
    <row r="585" spans="1:19" ht="14.25" customHeight="1" x14ac:dyDescent="0.3">
      <c r="A585" t="s">
        <v>629</v>
      </c>
      <c r="B585" t="s">
        <v>1615</v>
      </c>
      <c r="C585" t="s">
        <v>95</v>
      </c>
      <c r="D585" t="s">
        <v>1611</v>
      </c>
      <c r="E585" t="s">
        <v>1612</v>
      </c>
      <c r="F585" t="s">
        <v>6057</v>
      </c>
      <c r="G585" s="2" t="str">
        <f>HYPERLINK("https://www.facebook.com/807503986021638/posts/1473011512804212")</f>
        <v>https://www.facebook.com/807503986021638/posts/1473011512804212</v>
      </c>
      <c r="H585" t="s">
        <v>6062</v>
      </c>
      <c r="I585" t="s">
        <v>1613</v>
      </c>
      <c r="J585" s="2" t="str">
        <f>HYPERLINK("https://www.facebook.com/100003270970104")</f>
        <v>https://www.facebook.com/100003270970104</v>
      </c>
      <c r="K585">
        <v>1847</v>
      </c>
      <c r="L585" t="s">
        <v>6063</v>
      </c>
      <c r="N585" t="s">
        <v>13</v>
      </c>
      <c r="O585" t="s">
        <v>1358</v>
      </c>
      <c r="P585" s="2" t="str">
        <f>HYPERLINK("https://www.facebook.com/807503986021638")</f>
        <v>https://www.facebook.com/807503986021638</v>
      </c>
      <c r="Q585">
        <v>424</v>
      </c>
      <c r="R585" t="s">
        <v>6067</v>
      </c>
      <c r="S585" t="s">
        <v>6072</v>
      </c>
    </row>
    <row r="586" spans="1:19" ht="14.25" customHeight="1" x14ac:dyDescent="0.3">
      <c r="A586" t="s">
        <v>629</v>
      </c>
      <c r="B586" t="s">
        <v>1615</v>
      </c>
      <c r="C586" t="s">
        <v>95</v>
      </c>
      <c r="D586" t="s">
        <v>1611</v>
      </c>
      <c r="E586" t="s">
        <v>1612</v>
      </c>
      <c r="F586" t="s">
        <v>6057</v>
      </c>
      <c r="G586" s="2" t="str">
        <f>HYPERLINK("https://www.facebook.com/807503986021638/posts/1596564283795922")</f>
        <v>https://www.facebook.com/807503986021638/posts/1596564283795922</v>
      </c>
      <c r="H586" t="s">
        <v>6062</v>
      </c>
      <c r="I586" t="s">
        <v>1613</v>
      </c>
      <c r="J586" s="2" t="str">
        <f>HYPERLINK("https://www.facebook.com/100003270970104")</f>
        <v>https://www.facebook.com/100003270970104</v>
      </c>
      <c r="K586">
        <v>1847</v>
      </c>
      <c r="L586" t="s">
        <v>6063</v>
      </c>
      <c r="N586" t="s">
        <v>13</v>
      </c>
      <c r="O586" t="s">
        <v>1358</v>
      </c>
      <c r="P586" s="2" t="str">
        <f>HYPERLINK("https://www.facebook.com/807503986021638")</f>
        <v>https://www.facebook.com/807503986021638</v>
      </c>
      <c r="Q586">
        <v>424</v>
      </c>
      <c r="R586" t="s">
        <v>6067</v>
      </c>
      <c r="S586" t="s">
        <v>6072</v>
      </c>
    </row>
    <row r="587" spans="1:19" ht="14.25" customHeight="1" x14ac:dyDescent="0.3">
      <c r="A587" t="s">
        <v>629</v>
      </c>
      <c r="B587" t="s">
        <v>1618</v>
      </c>
      <c r="C587" t="s">
        <v>95</v>
      </c>
      <c r="D587" t="s">
        <v>1611</v>
      </c>
      <c r="E587" t="s">
        <v>1612</v>
      </c>
      <c r="F587" t="s">
        <v>6057</v>
      </c>
      <c r="G587" s="2" t="str">
        <f>HYPERLINK("https://www.facebook.com/100003270970104/posts/1596563523795998")</f>
        <v>https://www.facebook.com/100003270970104/posts/1596563523795998</v>
      </c>
      <c r="H587" t="s">
        <v>6062</v>
      </c>
      <c r="I587" t="s">
        <v>1613</v>
      </c>
      <c r="J587" s="2" t="str">
        <f>HYPERLINK("https://www.facebook.com/100003270970104")</f>
        <v>https://www.facebook.com/100003270970104</v>
      </c>
      <c r="K587">
        <v>1847</v>
      </c>
      <c r="L587" t="s">
        <v>6063</v>
      </c>
      <c r="N587" t="s">
        <v>13</v>
      </c>
      <c r="O587" t="s">
        <v>1613</v>
      </c>
      <c r="P587" s="2" t="str">
        <f>HYPERLINK("https://www.facebook.com/100003270970104")</f>
        <v>https://www.facebook.com/100003270970104</v>
      </c>
      <c r="Q587">
        <v>1847</v>
      </c>
      <c r="R587" t="s">
        <v>6067</v>
      </c>
      <c r="S587" t="s">
        <v>6072</v>
      </c>
    </row>
    <row r="588" spans="1:19" ht="14.25" customHeight="1" x14ac:dyDescent="0.3">
      <c r="A588" t="s">
        <v>2225</v>
      </c>
      <c r="B588" t="s">
        <v>3502</v>
      </c>
      <c r="C588" t="s">
        <v>95</v>
      </c>
      <c r="D588" t="s">
        <v>3483</v>
      </c>
      <c r="E588" t="s">
        <v>3484</v>
      </c>
      <c r="F588" t="s">
        <v>6058</v>
      </c>
      <c r="G588" s="2" t="str">
        <f>HYPERLINK("https://www.facebook.com/100008753318448/posts/1838117716489988")</f>
        <v>https://www.facebook.com/100008753318448/posts/1838117716489988</v>
      </c>
      <c r="H588" t="s">
        <v>6062</v>
      </c>
      <c r="I588" t="s">
        <v>3503</v>
      </c>
      <c r="J588" s="2" t="str">
        <f>HYPERLINK("https://www.facebook.com/100008753318448")</f>
        <v>https://www.facebook.com/100008753318448</v>
      </c>
      <c r="K588">
        <v>265</v>
      </c>
      <c r="L588" t="s">
        <v>6064</v>
      </c>
      <c r="N588" t="s">
        <v>13</v>
      </c>
      <c r="O588" t="s">
        <v>3503</v>
      </c>
      <c r="P588" s="2" t="str">
        <f>HYPERLINK("https://www.facebook.com/100008753318448")</f>
        <v>https://www.facebook.com/100008753318448</v>
      </c>
      <c r="Q588">
        <v>265</v>
      </c>
      <c r="R588" t="s">
        <v>6067</v>
      </c>
      <c r="S588" t="s">
        <v>6103</v>
      </c>
    </row>
    <row r="589" spans="1:19" ht="14.25" customHeight="1" x14ac:dyDescent="0.3">
      <c r="A589" t="s">
        <v>4995</v>
      </c>
      <c r="B589" t="s">
        <v>5389</v>
      </c>
      <c r="C589" t="s">
        <v>3538</v>
      </c>
      <c r="D589" t="s">
        <v>3780</v>
      </c>
      <c r="E589" t="s">
        <v>4672</v>
      </c>
      <c r="F589" t="s">
        <v>6058</v>
      </c>
      <c r="G589" s="2" t="str">
        <f>HYPERLINK("https://www.facebook.com/100008753318448/posts/1836910836610676")</f>
        <v>https://www.facebook.com/100008753318448/posts/1836910836610676</v>
      </c>
      <c r="H589" t="s">
        <v>6062</v>
      </c>
      <c r="I589" t="s">
        <v>3503</v>
      </c>
      <c r="J589" s="2" t="str">
        <f>HYPERLINK("https://www.facebook.com/100008753318448")</f>
        <v>https://www.facebook.com/100008753318448</v>
      </c>
      <c r="K589">
        <v>265</v>
      </c>
      <c r="L589" t="s">
        <v>6064</v>
      </c>
      <c r="N589" t="s">
        <v>13</v>
      </c>
      <c r="O589" t="s">
        <v>3503</v>
      </c>
      <c r="P589" s="2" t="str">
        <f>HYPERLINK("https://www.facebook.com/100008753318448")</f>
        <v>https://www.facebook.com/100008753318448</v>
      </c>
      <c r="Q589">
        <v>265</v>
      </c>
      <c r="R589" t="s">
        <v>6067</v>
      </c>
      <c r="S589" t="s">
        <v>6103</v>
      </c>
    </row>
    <row r="590" spans="1:19" ht="14.25" customHeight="1" x14ac:dyDescent="0.3">
      <c r="A590" t="s">
        <v>5409</v>
      </c>
      <c r="B590" t="s">
        <v>5954</v>
      </c>
      <c r="C590" t="s">
        <v>3538</v>
      </c>
      <c r="D590" t="s">
        <v>3780</v>
      </c>
      <c r="E590" t="s">
        <v>3781</v>
      </c>
      <c r="F590" t="s">
        <v>6058</v>
      </c>
      <c r="G590" s="2" t="str">
        <f>HYPERLINK("https://www.facebook.com/100009372824742/posts/2027176567604751")</f>
        <v>https://www.facebook.com/100009372824742/posts/2027176567604751</v>
      </c>
      <c r="H590" t="s">
        <v>6062</v>
      </c>
      <c r="I590" t="s">
        <v>1969</v>
      </c>
      <c r="J590" s="2" t="str">
        <f>HYPERLINK("https://www.facebook.com/100009372824742")</f>
        <v>https://www.facebook.com/100009372824742</v>
      </c>
      <c r="K590">
        <v>0</v>
      </c>
      <c r="L590" t="s">
        <v>6064</v>
      </c>
      <c r="N590" t="s">
        <v>13</v>
      </c>
      <c r="O590" t="s">
        <v>1969</v>
      </c>
      <c r="P590" s="2" t="str">
        <f>HYPERLINK("https://www.facebook.com/100009372824742")</f>
        <v>https://www.facebook.com/100009372824742</v>
      </c>
      <c r="Q590">
        <v>0</v>
      </c>
      <c r="R590" t="s">
        <v>6067</v>
      </c>
      <c r="S590" t="s">
        <v>6091</v>
      </c>
    </row>
    <row r="591" spans="1:19" ht="14.25" customHeight="1" x14ac:dyDescent="0.3">
      <c r="A591" t="s">
        <v>5409</v>
      </c>
      <c r="B591" t="s">
        <v>511</v>
      </c>
      <c r="C591" t="s">
        <v>3538</v>
      </c>
      <c r="D591" t="s">
        <v>3780</v>
      </c>
      <c r="E591" t="s">
        <v>4672</v>
      </c>
      <c r="F591" t="s">
        <v>6058</v>
      </c>
      <c r="G591" s="2" t="str">
        <f>HYPERLINK("https://www.facebook.com/100009372824742/posts/2027178397604568")</f>
        <v>https://www.facebook.com/100009372824742/posts/2027178397604568</v>
      </c>
      <c r="H591" t="s">
        <v>6062</v>
      </c>
      <c r="I591" t="s">
        <v>1969</v>
      </c>
      <c r="J591" s="2" t="str">
        <f>HYPERLINK("https://www.facebook.com/100009372824742")</f>
        <v>https://www.facebook.com/100009372824742</v>
      </c>
      <c r="K591">
        <v>0</v>
      </c>
      <c r="L591" t="s">
        <v>6064</v>
      </c>
      <c r="N591" t="s">
        <v>13</v>
      </c>
      <c r="O591" t="s">
        <v>1969</v>
      </c>
      <c r="P591" s="2" t="str">
        <f>HYPERLINK("https://www.facebook.com/100009372824742")</f>
        <v>https://www.facebook.com/100009372824742</v>
      </c>
      <c r="Q591">
        <v>0</v>
      </c>
      <c r="R591" t="s">
        <v>6067</v>
      </c>
      <c r="S591" t="s">
        <v>6091</v>
      </c>
    </row>
    <row r="592" spans="1:19" ht="14.25" customHeight="1" x14ac:dyDescent="0.3">
      <c r="A592" t="s">
        <v>629</v>
      </c>
      <c r="B592" t="s">
        <v>1966</v>
      </c>
      <c r="C592" t="s">
        <v>95</v>
      </c>
      <c r="D592" t="s">
        <v>370</v>
      </c>
      <c r="E592" t="s">
        <v>371</v>
      </c>
      <c r="F592" t="s">
        <v>6058</v>
      </c>
      <c r="G592" s="2" t="str">
        <f>HYPERLINK("https://www.facebook.com/100009372824742/posts/2030024050653336")</f>
        <v>https://www.facebook.com/100009372824742/posts/2030024050653336</v>
      </c>
      <c r="H592" t="s">
        <v>6062</v>
      </c>
      <c r="I592" t="s">
        <v>1969</v>
      </c>
      <c r="J592" s="2" t="str">
        <f>HYPERLINK("https://www.facebook.com/100009372824742")</f>
        <v>https://www.facebook.com/100009372824742</v>
      </c>
      <c r="K592">
        <v>0</v>
      </c>
      <c r="L592" t="s">
        <v>6064</v>
      </c>
      <c r="N592" t="s">
        <v>13</v>
      </c>
      <c r="O592" t="s">
        <v>1969</v>
      </c>
      <c r="P592" s="2" t="str">
        <f>HYPERLINK("https://www.facebook.com/100009372824742")</f>
        <v>https://www.facebook.com/100009372824742</v>
      </c>
      <c r="Q592">
        <v>0</v>
      </c>
      <c r="R592" t="s">
        <v>6067</v>
      </c>
      <c r="S592" t="s">
        <v>6091</v>
      </c>
    </row>
    <row r="593" spans="1:19" ht="14.25" customHeight="1" x14ac:dyDescent="0.3">
      <c r="A593" t="s">
        <v>2225</v>
      </c>
      <c r="B593" t="s">
        <v>2364</v>
      </c>
      <c r="C593" t="s">
        <v>95</v>
      </c>
      <c r="D593" t="s">
        <v>853</v>
      </c>
      <c r="E593" t="s">
        <v>2366</v>
      </c>
      <c r="F593" t="s">
        <v>6059</v>
      </c>
      <c r="G593" s="2" t="str">
        <f>HYPERLINK("https://www.facebook.com/100008934274771/posts/1810262525948206?comment_id=1810299932611132")</f>
        <v>https://www.facebook.com/100008934274771/posts/1810262525948206?comment_id=1810299932611132</v>
      </c>
      <c r="H593" t="s">
        <v>6062</v>
      </c>
      <c r="I593" t="s">
        <v>2367</v>
      </c>
      <c r="J593" s="2" t="str">
        <f>HYPERLINK("https://www.facebook.com/100005695714226")</f>
        <v>https://www.facebook.com/100005695714226</v>
      </c>
      <c r="K593">
        <v>14227</v>
      </c>
      <c r="L593" t="s">
        <v>6064</v>
      </c>
      <c r="N593" t="s">
        <v>13</v>
      </c>
      <c r="O593" t="s">
        <v>856</v>
      </c>
      <c r="P593" s="2" t="str">
        <f>HYPERLINK("https://www.facebook.com/100008934274771")</f>
        <v>https://www.facebook.com/100008934274771</v>
      </c>
      <c r="Q593">
        <v>10395</v>
      </c>
      <c r="R593" t="s">
        <v>6067</v>
      </c>
      <c r="S593" t="s">
        <v>6073</v>
      </c>
    </row>
    <row r="594" spans="1:19" ht="14.25" customHeight="1" x14ac:dyDescent="0.3">
      <c r="A594" t="s">
        <v>2225</v>
      </c>
      <c r="B594" t="s">
        <v>2949</v>
      </c>
      <c r="C594" t="s">
        <v>95</v>
      </c>
      <c r="D594" t="s">
        <v>2602</v>
      </c>
      <c r="E594" t="s">
        <v>2950</v>
      </c>
      <c r="F594" t="s">
        <v>6059</v>
      </c>
      <c r="G594" s="2" t="str">
        <f>HYPERLINK("https://www.facebook.com/100000893960392/posts/1854701537902960?comment_id=1854810204558760")</f>
        <v>https://www.facebook.com/100000893960392/posts/1854701537902960?comment_id=1854810204558760</v>
      </c>
      <c r="H594" t="s">
        <v>6062</v>
      </c>
      <c r="I594" t="s">
        <v>2951</v>
      </c>
      <c r="J594" s="2" t="str">
        <f>HYPERLINK("https://www.facebook.com/100005281897279")</f>
        <v>https://www.facebook.com/100005281897279</v>
      </c>
      <c r="K594">
        <v>112</v>
      </c>
      <c r="L594" t="s">
        <v>6064</v>
      </c>
      <c r="N594" t="s">
        <v>13</v>
      </c>
      <c r="O594" t="s">
        <v>2604</v>
      </c>
      <c r="P594" s="2" t="str">
        <f>HYPERLINK("https://www.facebook.com/100000893960392")</f>
        <v>https://www.facebook.com/100000893960392</v>
      </c>
      <c r="Q594">
        <v>2281</v>
      </c>
      <c r="R594" t="s">
        <v>6067</v>
      </c>
      <c r="S594" t="s">
        <v>6073</v>
      </c>
    </row>
    <row r="595" spans="1:19" ht="14.25" customHeight="1" x14ac:dyDescent="0.3">
      <c r="A595" t="s">
        <v>2225</v>
      </c>
      <c r="B595" t="s">
        <v>2482</v>
      </c>
      <c r="C595" t="s">
        <v>95</v>
      </c>
      <c r="D595" t="s">
        <v>544</v>
      </c>
      <c r="E595" t="s">
        <v>545</v>
      </c>
      <c r="F595" t="s">
        <v>6058</v>
      </c>
      <c r="G595" s="2" t="str">
        <f>HYPERLINK("https://www.facebook.com/100007864305900/posts/2048185405453583")</f>
        <v>https://www.facebook.com/100007864305900/posts/2048185405453583</v>
      </c>
      <c r="H595" t="s">
        <v>6062</v>
      </c>
      <c r="I595" t="s">
        <v>2486</v>
      </c>
      <c r="J595" s="2" t="str">
        <f>HYPERLINK("https://www.facebook.com/100007864305900")</f>
        <v>https://www.facebook.com/100007864305900</v>
      </c>
      <c r="K595">
        <v>123</v>
      </c>
      <c r="L595" t="s">
        <v>6064</v>
      </c>
      <c r="N595" t="s">
        <v>13</v>
      </c>
      <c r="O595" t="s">
        <v>2486</v>
      </c>
      <c r="P595" s="2" t="str">
        <f>HYPERLINK("https://www.facebook.com/100007864305900")</f>
        <v>https://www.facebook.com/100007864305900</v>
      </c>
      <c r="Q595">
        <v>123</v>
      </c>
      <c r="R595" t="s">
        <v>6067</v>
      </c>
      <c r="S595" t="s">
        <v>6073</v>
      </c>
    </row>
    <row r="596" spans="1:19" ht="14.25" customHeight="1" x14ac:dyDescent="0.3">
      <c r="A596" t="s">
        <v>629</v>
      </c>
      <c r="B596" t="s">
        <v>2154</v>
      </c>
      <c r="C596" t="s">
        <v>95</v>
      </c>
      <c r="D596" t="s">
        <v>2155</v>
      </c>
      <c r="E596" t="s">
        <v>2156</v>
      </c>
      <c r="F596" t="s">
        <v>6057</v>
      </c>
      <c r="G596" s="2" t="str">
        <f>HYPERLINK("https://www.facebook.com/100002539917175/posts/1750409888386991")</f>
        <v>https://www.facebook.com/100002539917175/posts/1750409888386991</v>
      </c>
      <c r="H596" t="s">
        <v>6062</v>
      </c>
      <c r="I596" t="s">
        <v>2143</v>
      </c>
      <c r="J596" s="2" t="str">
        <f>HYPERLINK("https://www.facebook.com/100002539917175")</f>
        <v>https://www.facebook.com/100002539917175</v>
      </c>
      <c r="K596">
        <v>1696</v>
      </c>
      <c r="L596" t="s">
        <v>6064</v>
      </c>
      <c r="N596" t="s">
        <v>13</v>
      </c>
      <c r="O596" t="s">
        <v>2143</v>
      </c>
      <c r="P596" s="2" t="str">
        <f>HYPERLINK("https://www.facebook.com/100002539917175")</f>
        <v>https://www.facebook.com/100002539917175</v>
      </c>
      <c r="Q596">
        <v>1696</v>
      </c>
      <c r="R596" t="s">
        <v>6067</v>
      </c>
    </row>
    <row r="597" spans="1:19" ht="14.25" customHeight="1" x14ac:dyDescent="0.3">
      <c r="A597" t="s">
        <v>2225</v>
      </c>
      <c r="B597" t="s">
        <v>2691</v>
      </c>
      <c r="C597" t="s">
        <v>95</v>
      </c>
      <c r="D597" t="s">
        <v>544</v>
      </c>
      <c r="E597" t="s">
        <v>545</v>
      </c>
      <c r="F597" t="s">
        <v>6058</v>
      </c>
      <c r="G597" s="2" t="str">
        <f>HYPERLINK("https://www.facebook.com/100002539917175/posts/1750258231735490")</f>
        <v>https://www.facebook.com/100002539917175/posts/1750258231735490</v>
      </c>
      <c r="H597" t="s">
        <v>6062</v>
      </c>
      <c r="I597" t="s">
        <v>2143</v>
      </c>
      <c r="J597" s="2" t="str">
        <f>HYPERLINK("https://www.facebook.com/100002539917175")</f>
        <v>https://www.facebook.com/100002539917175</v>
      </c>
      <c r="K597">
        <v>1696</v>
      </c>
      <c r="L597" t="s">
        <v>6064</v>
      </c>
      <c r="N597" t="s">
        <v>13</v>
      </c>
      <c r="O597" t="s">
        <v>2143</v>
      </c>
      <c r="P597" s="2" t="str">
        <f>HYPERLINK("https://www.facebook.com/100002539917175")</f>
        <v>https://www.facebook.com/100002539917175</v>
      </c>
      <c r="Q597">
        <v>1696</v>
      </c>
      <c r="R597" t="s">
        <v>6067</v>
      </c>
    </row>
    <row r="598" spans="1:19" ht="14.25" customHeight="1" x14ac:dyDescent="0.3">
      <c r="A598" t="s">
        <v>629</v>
      </c>
      <c r="B598" t="s">
        <v>2140</v>
      </c>
      <c r="C598" t="s">
        <v>95</v>
      </c>
      <c r="D598" t="s">
        <v>853</v>
      </c>
      <c r="E598" t="s">
        <v>2142</v>
      </c>
      <c r="F598" t="s">
        <v>6059</v>
      </c>
      <c r="G598" s="2" t="str">
        <f>HYPERLINK("https://www.facebook.com/100008934274771/posts/1810262525948206?comment_id=1810342845940174")</f>
        <v>https://www.facebook.com/100008934274771/posts/1810262525948206?comment_id=1810342845940174</v>
      </c>
      <c r="H598" t="s">
        <v>6062</v>
      </c>
      <c r="I598" t="s">
        <v>2143</v>
      </c>
      <c r="J598" s="2" t="str">
        <f>HYPERLINK("https://www.facebook.com/100002539917175")</f>
        <v>https://www.facebook.com/100002539917175</v>
      </c>
      <c r="K598">
        <v>1696</v>
      </c>
      <c r="L598" t="s">
        <v>6064</v>
      </c>
      <c r="N598" t="s">
        <v>13</v>
      </c>
      <c r="O598" t="s">
        <v>856</v>
      </c>
      <c r="P598" s="2" t="str">
        <f>HYPERLINK("https://www.facebook.com/100008934274771")</f>
        <v>https://www.facebook.com/100008934274771</v>
      </c>
      <c r="Q598">
        <v>10395</v>
      </c>
      <c r="R598" t="s">
        <v>6067</v>
      </c>
      <c r="S598" t="s">
        <v>6073</v>
      </c>
    </row>
    <row r="599" spans="1:19" ht="14.25" customHeight="1" x14ac:dyDescent="0.3">
      <c r="A599" t="s">
        <v>629</v>
      </c>
      <c r="B599" t="s">
        <v>964</v>
      </c>
      <c r="C599" t="s">
        <v>95</v>
      </c>
      <c r="D599" t="s">
        <v>965</v>
      </c>
      <c r="E599" t="s">
        <v>966</v>
      </c>
      <c r="F599" t="s">
        <v>6057</v>
      </c>
      <c r="G599" s="2" t="str">
        <f>HYPERLINK("https://www.facebook.com/239038942922840/posts/937735656386495")</f>
        <v>https://www.facebook.com/239038942922840/posts/937735656386495</v>
      </c>
      <c r="H599" t="s">
        <v>6062</v>
      </c>
      <c r="I599" t="s">
        <v>967</v>
      </c>
      <c r="J599" s="2" t="str">
        <f>HYPERLINK("https://www.facebook.com/100002200344890")</f>
        <v>https://www.facebook.com/100002200344890</v>
      </c>
      <c r="K599">
        <v>227</v>
      </c>
      <c r="L599" t="s">
        <v>6064</v>
      </c>
      <c r="N599" t="s">
        <v>13</v>
      </c>
      <c r="O599" t="s">
        <v>968</v>
      </c>
      <c r="P599" s="2" t="str">
        <f>HYPERLINK("https://www.facebook.com/239038942922840")</f>
        <v>https://www.facebook.com/239038942922840</v>
      </c>
      <c r="Q599">
        <v>4756</v>
      </c>
      <c r="R599" t="s">
        <v>6067</v>
      </c>
      <c r="S599" t="s">
        <v>6105</v>
      </c>
    </row>
    <row r="600" spans="1:19" ht="14.25" customHeight="1" x14ac:dyDescent="0.3">
      <c r="A600" t="s">
        <v>629</v>
      </c>
      <c r="B600" t="s">
        <v>984</v>
      </c>
      <c r="C600" t="s">
        <v>95</v>
      </c>
      <c r="D600" t="s">
        <v>965</v>
      </c>
      <c r="E600" t="s">
        <v>966</v>
      </c>
      <c r="F600" t="s">
        <v>6057</v>
      </c>
      <c r="G600" s="2" t="str">
        <f>HYPERLINK("https://www.facebook.com/1518875168334048/posts/2069766356578257")</f>
        <v>https://www.facebook.com/1518875168334048/posts/2069766356578257</v>
      </c>
      <c r="H600" t="s">
        <v>6062</v>
      </c>
      <c r="I600" t="s">
        <v>967</v>
      </c>
      <c r="J600" s="2" t="str">
        <f>HYPERLINK("https://www.facebook.com/100002200344890")</f>
        <v>https://www.facebook.com/100002200344890</v>
      </c>
      <c r="K600">
        <v>227</v>
      </c>
      <c r="L600" t="s">
        <v>6064</v>
      </c>
      <c r="N600" t="s">
        <v>13</v>
      </c>
      <c r="O600" t="s">
        <v>985</v>
      </c>
      <c r="P600" s="2" t="str">
        <f>HYPERLINK("https://www.facebook.com/1518875168334048")</f>
        <v>https://www.facebook.com/1518875168334048</v>
      </c>
      <c r="R600" t="s">
        <v>6067</v>
      </c>
      <c r="S600" t="s">
        <v>6105</v>
      </c>
    </row>
    <row r="601" spans="1:19" ht="14.25" customHeight="1" x14ac:dyDescent="0.3">
      <c r="A601" t="s">
        <v>629</v>
      </c>
      <c r="B601" t="s">
        <v>984</v>
      </c>
      <c r="C601" t="s">
        <v>95</v>
      </c>
      <c r="D601" t="s">
        <v>965</v>
      </c>
      <c r="E601" t="s">
        <v>966</v>
      </c>
      <c r="F601" t="s">
        <v>6057</v>
      </c>
      <c r="G601" s="2" t="str">
        <f>HYPERLINK("https://www.facebook.com/1518875168334048/posts/1760721590677835")</f>
        <v>https://www.facebook.com/1518875168334048/posts/1760721590677835</v>
      </c>
      <c r="H601" t="s">
        <v>6062</v>
      </c>
      <c r="I601" t="s">
        <v>967</v>
      </c>
      <c r="J601" s="2" t="str">
        <f>HYPERLINK("https://www.facebook.com/100002200344890")</f>
        <v>https://www.facebook.com/100002200344890</v>
      </c>
      <c r="K601">
        <v>227</v>
      </c>
      <c r="L601" t="s">
        <v>6064</v>
      </c>
      <c r="N601" t="s">
        <v>13</v>
      </c>
      <c r="O601" t="s">
        <v>985</v>
      </c>
      <c r="P601" s="2" t="str">
        <f>HYPERLINK("https://www.facebook.com/1518875168334048")</f>
        <v>https://www.facebook.com/1518875168334048</v>
      </c>
      <c r="R601" t="s">
        <v>6067</v>
      </c>
      <c r="S601" t="s">
        <v>6105</v>
      </c>
    </row>
    <row r="602" spans="1:19" ht="14.25" customHeight="1" x14ac:dyDescent="0.3">
      <c r="A602" t="s">
        <v>629</v>
      </c>
      <c r="B602" t="s">
        <v>1981</v>
      </c>
      <c r="C602" t="s">
        <v>95</v>
      </c>
      <c r="D602" t="s">
        <v>370</v>
      </c>
      <c r="E602" t="s">
        <v>371</v>
      </c>
      <c r="F602" t="s">
        <v>6058</v>
      </c>
      <c r="G602" s="2" t="str">
        <f>HYPERLINK("https://www.facebook.com/100021736722030/posts/213960086005214")</f>
        <v>https://www.facebook.com/100021736722030/posts/213960086005214</v>
      </c>
      <c r="H602" t="s">
        <v>6062</v>
      </c>
      <c r="I602" t="s">
        <v>1982</v>
      </c>
      <c r="J602" s="2" t="str">
        <f>HYPERLINK("https://www.facebook.com/100021736722030")</f>
        <v>https://www.facebook.com/100021736722030</v>
      </c>
      <c r="K602">
        <v>318</v>
      </c>
      <c r="L602" t="s">
        <v>6063</v>
      </c>
      <c r="N602" t="s">
        <v>13</v>
      </c>
      <c r="O602" t="s">
        <v>1982</v>
      </c>
      <c r="P602" s="2" t="str">
        <f>HYPERLINK("https://www.facebook.com/100021736722030")</f>
        <v>https://www.facebook.com/100021736722030</v>
      </c>
      <c r="Q602">
        <v>318</v>
      </c>
      <c r="R602" t="s">
        <v>6067</v>
      </c>
      <c r="S602" t="s">
        <v>6073</v>
      </c>
    </row>
    <row r="603" spans="1:19" ht="14.25" customHeight="1" x14ac:dyDescent="0.3">
      <c r="A603" t="s">
        <v>629</v>
      </c>
      <c r="B603" t="s">
        <v>365</v>
      </c>
      <c r="C603" t="s">
        <v>95</v>
      </c>
      <c r="D603" t="s">
        <v>370</v>
      </c>
      <c r="E603" t="s">
        <v>371</v>
      </c>
      <c r="F603" t="s">
        <v>6058</v>
      </c>
      <c r="G603" s="2" t="str">
        <f>HYPERLINK("https://www.facebook.com/1530412996/posts/10210914904098520")</f>
        <v>https://www.facebook.com/1530412996/posts/10210914904098520</v>
      </c>
      <c r="H603" t="s">
        <v>6062</v>
      </c>
      <c r="I603" t="s">
        <v>1659</v>
      </c>
      <c r="J603" s="2" t="str">
        <f>HYPERLINK("https://www.facebook.com/1530412996")</f>
        <v>https://www.facebook.com/1530412996</v>
      </c>
      <c r="K603">
        <v>159</v>
      </c>
      <c r="L603" t="s">
        <v>6064</v>
      </c>
      <c r="N603" t="s">
        <v>13</v>
      </c>
      <c r="O603" t="s">
        <v>1659</v>
      </c>
      <c r="P603" s="2" t="str">
        <f>HYPERLINK("https://www.facebook.com/1530412996")</f>
        <v>https://www.facebook.com/1530412996</v>
      </c>
      <c r="Q603">
        <v>159</v>
      </c>
      <c r="R603" t="s">
        <v>6067</v>
      </c>
      <c r="S603" t="s">
        <v>6073</v>
      </c>
    </row>
    <row r="604" spans="1:19" ht="14.25" customHeight="1" x14ac:dyDescent="0.3">
      <c r="A604" t="s">
        <v>5409</v>
      </c>
      <c r="B604" t="s">
        <v>3014</v>
      </c>
      <c r="C604" t="s">
        <v>3538</v>
      </c>
      <c r="D604" t="s">
        <v>5574</v>
      </c>
      <c r="E604" t="s">
        <v>5575</v>
      </c>
      <c r="F604" t="s">
        <v>6056</v>
      </c>
      <c r="G604" s="2" t="str">
        <f>HYPERLINK("https://www.facebook.com/100019399487859/posts/170197606970221")</f>
        <v>https://www.facebook.com/100019399487859/posts/170197606970221</v>
      </c>
      <c r="H604" t="s">
        <v>6062</v>
      </c>
      <c r="I604" t="s">
        <v>5576</v>
      </c>
      <c r="J604" s="2" t="str">
        <f>HYPERLINK("https://www.facebook.com/100019399487859")</f>
        <v>https://www.facebook.com/100019399487859</v>
      </c>
      <c r="K604">
        <v>0</v>
      </c>
      <c r="L604" t="s">
        <v>6063</v>
      </c>
      <c r="N604" t="s">
        <v>13</v>
      </c>
      <c r="O604" t="s">
        <v>5576</v>
      </c>
      <c r="P604" s="2" t="str">
        <f>HYPERLINK("https://www.facebook.com/100019399487859")</f>
        <v>https://www.facebook.com/100019399487859</v>
      </c>
      <c r="Q604">
        <v>0</v>
      </c>
      <c r="R604" t="s">
        <v>6067</v>
      </c>
    </row>
    <row r="605" spans="1:19" ht="14.25" customHeight="1" x14ac:dyDescent="0.3">
      <c r="A605" t="s">
        <v>5409</v>
      </c>
      <c r="B605" t="s">
        <v>1791</v>
      </c>
      <c r="C605" t="s">
        <v>3538</v>
      </c>
      <c r="D605" t="s">
        <v>4318</v>
      </c>
      <c r="E605" t="s">
        <v>5429</v>
      </c>
      <c r="F605" t="s">
        <v>6058</v>
      </c>
      <c r="G605" s="2" t="str">
        <f>HYPERLINK("https://www.facebook.com/100008005332781/posts/2036213396655485")</f>
        <v>https://www.facebook.com/100008005332781/posts/2036213396655485</v>
      </c>
      <c r="H605" t="s">
        <v>6062</v>
      </c>
      <c r="I605" t="s">
        <v>5885</v>
      </c>
      <c r="J605" s="2" t="str">
        <f>HYPERLINK("https://www.facebook.com/100008005332781")</f>
        <v>https://www.facebook.com/100008005332781</v>
      </c>
      <c r="K605">
        <v>1350</v>
      </c>
      <c r="L605" t="s">
        <v>6063</v>
      </c>
      <c r="N605" t="s">
        <v>13</v>
      </c>
      <c r="O605" t="s">
        <v>5885</v>
      </c>
      <c r="P605" s="2" t="str">
        <f>HYPERLINK("https://www.facebook.com/100008005332781")</f>
        <v>https://www.facebook.com/100008005332781</v>
      </c>
      <c r="Q605">
        <v>1350</v>
      </c>
      <c r="R605" t="s">
        <v>6067</v>
      </c>
      <c r="S605" t="s">
        <v>6073</v>
      </c>
    </row>
    <row r="606" spans="1:19" ht="14.25" customHeight="1" x14ac:dyDescent="0.3">
      <c r="A606" t="s">
        <v>3527</v>
      </c>
      <c r="B606" t="s">
        <v>4201</v>
      </c>
      <c r="C606" t="s">
        <v>95</v>
      </c>
      <c r="D606" t="s">
        <v>2196</v>
      </c>
      <c r="E606" t="s">
        <v>4203</v>
      </c>
      <c r="F606" t="s">
        <v>6056</v>
      </c>
      <c r="G606" s="2" t="str">
        <f>HYPERLINK("https://www.facebook.com/100001415260849/posts/1744734525583706")</f>
        <v>https://www.facebook.com/100001415260849/posts/1744734525583706</v>
      </c>
      <c r="H606" t="s">
        <v>6062</v>
      </c>
      <c r="I606" t="s">
        <v>2199</v>
      </c>
      <c r="J606" s="2" t="str">
        <f t="shared" ref="J606:J612" si="11">HYPERLINK("https://www.facebook.com/100001415260849")</f>
        <v>https://www.facebook.com/100001415260849</v>
      </c>
      <c r="K606">
        <v>0</v>
      </c>
      <c r="L606" t="s">
        <v>6063</v>
      </c>
      <c r="N606" t="s">
        <v>13</v>
      </c>
      <c r="O606" t="s">
        <v>2199</v>
      </c>
      <c r="P606" s="2" t="str">
        <f t="shared" ref="P606:P612" si="12">HYPERLINK("https://www.facebook.com/100001415260849")</f>
        <v>https://www.facebook.com/100001415260849</v>
      </c>
      <c r="Q606">
        <v>0</v>
      </c>
      <c r="R606" t="s">
        <v>6067</v>
      </c>
      <c r="S606" t="s">
        <v>6073</v>
      </c>
    </row>
    <row r="607" spans="1:19" ht="14.25" customHeight="1" x14ac:dyDescent="0.3">
      <c r="A607" t="s">
        <v>3527</v>
      </c>
      <c r="B607" t="s">
        <v>43</v>
      </c>
      <c r="C607" t="s">
        <v>95</v>
      </c>
      <c r="D607" t="s">
        <v>2196</v>
      </c>
      <c r="E607" t="s">
        <v>4139</v>
      </c>
      <c r="F607" t="s">
        <v>6059</v>
      </c>
      <c r="G607" s="2" t="str">
        <f>HYPERLINK("https://www.facebook.com/100001415260849/posts/1744734525583706?comment_id=1744808018909690")</f>
        <v>https://www.facebook.com/100001415260849/posts/1744734525583706?comment_id=1744808018909690</v>
      </c>
      <c r="H607" t="s">
        <v>6062</v>
      </c>
      <c r="I607" t="s">
        <v>2199</v>
      </c>
      <c r="J607" s="2" t="str">
        <f t="shared" si="11"/>
        <v>https://www.facebook.com/100001415260849</v>
      </c>
      <c r="K607">
        <v>0</v>
      </c>
      <c r="L607" t="s">
        <v>6063</v>
      </c>
      <c r="N607" t="s">
        <v>13</v>
      </c>
      <c r="O607" t="s">
        <v>2199</v>
      </c>
      <c r="P607" s="2" t="str">
        <f t="shared" si="12"/>
        <v>https://www.facebook.com/100001415260849</v>
      </c>
      <c r="Q607">
        <v>0</v>
      </c>
      <c r="R607" t="s">
        <v>6067</v>
      </c>
      <c r="S607" t="s">
        <v>6073</v>
      </c>
    </row>
    <row r="608" spans="1:19" ht="14.25" customHeight="1" x14ac:dyDescent="0.3">
      <c r="A608" t="s">
        <v>2225</v>
      </c>
      <c r="B608" t="s">
        <v>2368</v>
      </c>
      <c r="C608" t="s">
        <v>95</v>
      </c>
      <c r="D608" t="s">
        <v>2196</v>
      </c>
      <c r="E608" t="s">
        <v>2369</v>
      </c>
      <c r="F608" t="s">
        <v>6059</v>
      </c>
      <c r="G608" s="2" t="str">
        <f>HYPERLINK("https://www.facebook.com/100001415260849/posts/1744734525583706?comment_id=1746501495407009")</f>
        <v>https://www.facebook.com/100001415260849/posts/1744734525583706?comment_id=1746501495407009</v>
      </c>
      <c r="H608" t="s">
        <v>6062</v>
      </c>
      <c r="I608" t="s">
        <v>2199</v>
      </c>
      <c r="J608" s="2" t="str">
        <f t="shared" si="11"/>
        <v>https://www.facebook.com/100001415260849</v>
      </c>
      <c r="K608">
        <v>0</v>
      </c>
      <c r="L608" t="s">
        <v>6063</v>
      </c>
      <c r="N608" t="s">
        <v>13</v>
      </c>
      <c r="O608" t="s">
        <v>2199</v>
      </c>
      <c r="P608" s="2" t="str">
        <f t="shared" si="12"/>
        <v>https://www.facebook.com/100001415260849</v>
      </c>
      <c r="Q608">
        <v>0</v>
      </c>
      <c r="R608" t="s">
        <v>6067</v>
      </c>
      <c r="S608" t="s">
        <v>6073</v>
      </c>
    </row>
    <row r="609" spans="1:19" ht="14.25" customHeight="1" x14ac:dyDescent="0.3">
      <c r="A609" t="s">
        <v>3527</v>
      </c>
      <c r="B609" t="s">
        <v>3623</v>
      </c>
      <c r="C609" t="s">
        <v>95</v>
      </c>
      <c r="D609" t="s">
        <v>2196</v>
      </c>
      <c r="E609" t="s">
        <v>3624</v>
      </c>
      <c r="F609" t="s">
        <v>6059</v>
      </c>
      <c r="G609" s="2" t="str">
        <f>HYPERLINK("https://www.facebook.com/100001415260849/posts/1744734525583706?comment_id=1745222882201537")</f>
        <v>https://www.facebook.com/100001415260849/posts/1744734525583706?comment_id=1745222882201537</v>
      </c>
      <c r="H609" t="s">
        <v>6062</v>
      </c>
      <c r="I609" t="s">
        <v>2199</v>
      </c>
      <c r="J609" s="2" t="str">
        <f t="shared" si="11"/>
        <v>https://www.facebook.com/100001415260849</v>
      </c>
      <c r="K609">
        <v>0</v>
      </c>
      <c r="L609" t="s">
        <v>6063</v>
      </c>
      <c r="N609" t="s">
        <v>13</v>
      </c>
      <c r="O609" t="s">
        <v>2199</v>
      </c>
      <c r="P609" s="2" t="str">
        <f t="shared" si="12"/>
        <v>https://www.facebook.com/100001415260849</v>
      </c>
      <c r="Q609">
        <v>0</v>
      </c>
      <c r="R609" t="s">
        <v>6067</v>
      </c>
      <c r="S609" t="s">
        <v>6073</v>
      </c>
    </row>
    <row r="610" spans="1:19" ht="14.25" customHeight="1" x14ac:dyDescent="0.3">
      <c r="A610" t="s">
        <v>3527</v>
      </c>
      <c r="B610" t="s">
        <v>4146</v>
      </c>
      <c r="C610" t="s">
        <v>95</v>
      </c>
      <c r="D610" t="s">
        <v>2196</v>
      </c>
      <c r="E610" t="s">
        <v>4147</v>
      </c>
      <c r="F610" t="s">
        <v>6059</v>
      </c>
      <c r="G610" s="2" t="str">
        <f>HYPERLINK("https://www.facebook.com/100001415260849/posts/1744734525583706?comment_id=1744803498910142")</f>
        <v>https://www.facebook.com/100001415260849/posts/1744734525583706?comment_id=1744803498910142</v>
      </c>
      <c r="H610" t="s">
        <v>6062</v>
      </c>
      <c r="I610" t="s">
        <v>2199</v>
      </c>
      <c r="J610" s="2" t="str">
        <f t="shared" si="11"/>
        <v>https://www.facebook.com/100001415260849</v>
      </c>
      <c r="K610">
        <v>0</v>
      </c>
      <c r="L610" t="s">
        <v>6063</v>
      </c>
      <c r="N610" t="s">
        <v>13</v>
      </c>
      <c r="O610" t="s">
        <v>2199</v>
      </c>
      <c r="P610" s="2" t="str">
        <f t="shared" si="12"/>
        <v>https://www.facebook.com/100001415260849</v>
      </c>
      <c r="Q610">
        <v>0</v>
      </c>
      <c r="R610" t="s">
        <v>6067</v>
      </c>
      <c r="S610" t="s">
        <v>6073</v>
      </c>
    </row>
    <row r="611" spans="1:19" ht="14.25" customHeight="1" x14ac:dyDescent="0.3">
      <c r="A611" t="s">
        <v>3527</v>
      </c>
      <c r="B611" t="s">
        <v>3219</v>
      </c>
      <c r="C611" t="s">
        <v>95</v>
      </c>
      <c r="D611" t="s">
        <v>2196</v>
      </c>
      <c r="E611" t="s">
        <v>4145</v>
      </c>
      <c r="F611" t="s">
        <v>6059</v>
      </c>
      <c r="G611" s="2" t="str">
        <f>HYPERLINK("https://www.facebook.com/100001415260849/posts/1744734525583706?comment_id=1744804538910038")</f>
        <v>https://www.facebook.com/100001415260849/posts/1744734525583706?comment_id=1744804538910038</v>
      </c>
      <c r="H611" t="s">
        <v>6062</v>
      </c>
      <c r="I611" t="s">
        <v>2199</v>
      </c>
      <c r="J611" s="2" t="str">
        <f t="shared" si="11"/>
        <v>https://www.facebook.com/100001415260849</v>
      </c>
      <c r="K611">
        <v>0</v>
      </c>
      <c r="L611" t="s">
        <v>6063</v>
      </c>
      <c r="N611" t="s">
        <v>13</v>
      </c>
      <c r="O611" t="s">
        <v>2199</v>
      </c>
      <c r="P611" s="2" t="str">
        <f t="shared" si="12"/>
        <v>https://www.facebook.com/100001415260849</v>
      </c>
      <c r="Q611">
        <v>0</v>
      </c>
      <c r="R611" t="s">
        <v>6067</v>
      </c>
      <c r="S611" t="s">
        <v>6073</v>
      </c>
    </row>
    <row r="612" spans="1:19" ht="14.25" customHeight="1" x14ac:dyDescent="0.3">
      <c r="A612" t="s">
        <v>3527</v>
      </c>
      <c r="B612" t="s">
        <v>37</v>
      </c>
      <c r="C612" t="s">
        <v>95</v>
      </c>
      <c r="D612" t="s">
        <v>2196</v>
      </c>
      <c r="E612" t="s">
        <v>4133</v>
      </c>
      <c r="F612" t="s">
        <v>6059</v>
      </c>
      <c r="G612" s="2" t="str">
        <f>HYPERLINK("https://www.facebook.com/100001415260849/posts/1744734525583706?comment_id=1744811112242714")</f>
        <v>https://www.facebook.com/100001415260849/posts/1744734525583706?comment_id=1744811112242714</v>
      </c>
      <c r="H612" t="s">
        <v>6062</v>
      </c>
      <c r="I612" t="s">
        <v>2199</v>
      </c>
      <c r="J612" s="2" t="str">
        <f t="shared" si="11"/>
        <v>https://www.facebook.com/100001415260849</v>
      </c>
      <c r="K612">
        <v>0</v>
      </c>
      <c r="L612" t="s">
        <v>6063</v>
      </c>
      <c r="N612" t="s">
        <v>13</v>
      </c>
      <c r="O612" t="s">
        <v>2199</v>
      </c>
      <c r="P612" s="2" t="str">
        <f t="shared" si="12"/>
        <v>https://www.facebook.com/100001415260849</v>
      </c>
      <c r="Q612">
        <v>0</v>
      </c>
      <c r="R612" t="s">
        <v>6067</v>
      </c>
      <c r="S612" t="s">
        <v>6073</v>
      </c>
    </row>
    <row r="613" spans="1:19" ht="14.25" customHeight="1" x14ac:dyDescent="0.3">
      <c r="A613" t="s">
        <v>2225</v>
      </c>
      <c r="B613" t="s">
        <v>3262</v>
      </c>
      <c r="C613" t="s">
        <v>95</v>
      </c>
      <c r="D613" t="s">
        <v>2086</v>
      </c>
      <c r="E613" t="s">
        <v>3263</v>
      </c>
      <c r="F613" t="s">
        <v>6059</v>
      </c>
      <c r="G613" s="2" t="str">
        <f>HYPERLINK("https://www.facebook.com/100001463526763/posts/1766213380104096?comment_id=1766220826770018")</f>
        <v>https://www.facebook.com/100001463526763/posts/1766213380104096?comment_id=1766220826770018</v>
      </c>
      <c r="H613" t="s">
        <v>6062</v>
      </c>
      <c r="I613" t="s">
        <v>3264</v>
      </c>
      <c r="J613" s="2" t="str">
        <f>HYPERLINK("https://www.facebook.com/100000958257804")</f>
        <v>https://www.facebook.com/100000958257804</v>
      </c>
      <c r="K613">
        <v>0</v>
      </c>
      <c r="L613" t="s">
        <v>6063</v>
      </c>
      <c r="N613" t="s">
        <v>13</v>
      </c>
      <c r="O613" t="s">
        <v>2089</v>
      </c>
      <c r="P613" s="2" t="str">
        <f>HYPERLINK("https://www.facebook.com/100001463526763")</f>
        <v>https://www.facebook.com/100001463526763</v>
      </c>
      <c r="Q613">
        <v>73186</v>
      </c>
      <c r="R613" t="s">
        <v>6067</v>
      </c>
      <c r="S613" t="s">
        <v>6073</v>
      </c>
    </row>
    <row r="614" spans="1:19" ht="14.25" customHeight="1" x14ac:dyDescent="0.3">
      <c r="A614" t="s">
        <v>4995</v>
      </c>
      <c r="B614" t="s">
        <v>2836</v>
      </c>
      <c r="C614" t="s">
        <v>3538</v>
      </c>
      <c r="D614" t="s">
        <v>5054</v>
      </c>
      <c r="E614" t="s">
        <v>5055</v>
      </c>
      <c r="F614" t="s">
        <v>6058</v>
      </c>
      <c r="G614" s="2" t="str">
        <f>HYPERLINK("https://www.facebook.com/100002528941518/posts/1745185148909100")</f>
        <v>https://www.facebook.com/100002528941518/posts/1745185148909100</v>
      </c>
      <c r="H614" t="s">
        <v>6062</v>
      </c>
      <c r="I614" t="s">
        <v>5056</v>
      </c>
      <c r="J614" s="2" t="str">
        <f>HYPERLINK("https://www.facebook.com/100002528941518")</f>
        <v>https://www.facebook.com/100002528941518</v>
      </c>
      <c r="K614">
        <v>724</v>
      </c>
      <c r="L614" t="s">
        <v>6063</v>
      </c>
      <c r="N614" t="s">
        <v>13</v>
      </c>
      <c r="O614" t="s">
        <v>5056</v>
      </c>
      <c r="P614" s="2" t="str">
        <f>HYPERLINK("https://www.facebook.com/100002528941518")</f>
        <v>https://www.facebook.com/100002528941518</v>
      </c>
      <c r="Q614">
        <v>724</v>
      </c>
      <c r="R614" t="s">
        <v>6067</v>
      </c>
      <c r="S614" t="s">
        <v>6073</v>
      </c>
    </row>
    <row r="615" spans="1:19" ht="14.25" customHeight="1" x14ac:dyDescent="0.3">
      <c r="A615" t="s">
        <v>3527</v>
      </c>
      <c r="B615" t="s">
        <v>3570</v>
      </c>
      <c r="C615" t="s">
        <v>95</v>
      </c>
      <c r="D615" t="s">
        <v>3483</v>
      </c>
      <c r="E615" t="s">
        <v>3484</v>
      </c>
      <c r="F615" t="s">
        <v>6058</v>
      </c>
      <c r="G615" s="2" t="str">
        <f>HYPERLINK("https://www.facebook.com/1578984097/posts/10210695855464060")</f>
        <v>https://www.facebook.com/1578984097/posts/10210695855464060</v>
      </c>
      <c r="H615" t="s">
        <v>6062</v>
      </c>
      <c r="I615" t="s">
        <v>3571</v>
      </c>
      <c r="J615" s="2" t="str">
        <f>HYPERLINK("https://www.facebook.com/1578984097")</f>
        <v>https://www.facebook.com/1578984097</v>
      </c>
      <c r="K615">
        <v>40</v>
      </c>
      <c r="L615" t="s">
        <v>6063</v>
      </c>
      <c r="N615" t="s">
        <v>13</v>
      </c>
      <c r="O615" t="s">
        <v>3571</v>
      </c>
      <c r="P615" s="2" t="str">
        <f>HYPERLINK("https://www.facebook.com/1578984097")</f>
        <v>https://www.facebook.com/1578984097</v>
      </c>
      <c r="Q615">
        <v>40</v>
      </c>
      <c r="R615" t="s">
        <v>6067</v>
      </c>
      <c r="S615" t="s">
        <v>6091</v>
      </c>
    </row>
    <row r="616" spans="1:19" ht="14.25" customHeight="1" x14ac:dyDescent="0.3">
      <c r="A616" t="s">
        <v>5409</v>
      </c>
      <c r="B616" t="s">
        <v>1818</v>
      </c>
      <c r="C616" t="s">
        <v>3538</v>
      </c>
      <c r="D616" t="s">
        <v>4943</v>
      </c>
      <c r="E616" t="s">
        <v>5897</v>
      </c>
      <c r="F616" t="s">
        <v>6059</v>
      </c>
      <c r="G616" s="2" t="str">
        <f>HYPERLINK("https://www.facebook.com/1181011217/posts/10215757430106998?comment_id=10215760078853215")</f>
        <v>https://www.facebook.com/1181011217/posts/10215757430106998?comment_id=10215760078853215</v>
      </c>
      <c r="H616" t="s">
        <v>6062</v>
      </c>
      <c r="I616" t="s">
        <v>5875</v>
      </c>
      <c r="J616" s="2" t="str">
        <f>HYPERLINK("https://www.facebook.com/544508249")</f>
        <v>https://www.facebook.com/544508249</v>
      </c>
      <c r="K616">
        <v>0</v>
      </c>
      <c r="L616" t="s">
        <v>6063</v>
      </c>
      <c r="N616" t="s">
        <v>13</v>
      </c>
      <c r="O616" t="s">
        <v>4945</v>
      </c>
      <c r="P616" s="2" t="str">
        <f>HYPERLINK("https://www.facebook.com/1181011217")</f>
        <v>https://www.facebook.com/1181011217</v>
      </c>
      <c r="Q616">
        <v>0</v>
      </c>
      <c r="R616" t="s">
        <v>6067</v>
      </c>
      <c r="S616" t="s">
        <v>6073</v>
      </c>
    </row>
    <row r="617" spans="1:19" ht="14.25" customHeight="1" x14ac:dyDescent="0.3">
      <c r="A617" t="s">
        <v>629</v>
      </c>
      <c r="B617" t="s">
        <v>476</v>
      </c>
      <c r="C617" t="s">
        <v>95</v>
      </c>
      <c r="D617" t="s">
        <v>370</v>
      </c>
      <c r="E617" t="s">
        <v>371</v>
      </c>
      <c r="F617" t="s">
        <v>6058</v>
      </c>
      <c r="G617" s="2" t="str">
        <f>HYPERLINK("https://www.facebook.com/100005822978437/posts/864237960446962")</f>
        <v>https://www.facebook.com/100005822978437/posts/864237960446962</v>
      </c>
      <c r="H617" t="s">
        <v>6062</v>
      </c>
      <c r="I617" t="s">
        <v>1993</v>
      </c>
      <c r="J617" s="2" t="str">
        <f>HYPERLINK("https://www.facebook.com/100005822978437")</f>
        <v>https://www.facebook.com/100005822978437</v>
      </c>
      <c r="K617">
        <v>259</v>
      </c>
      <c r="L617" t="s">
        <v>6064</v>
      </c>
      <c r="N617" t="s">
        <v>13</v>
      </c>
      <c r="O617" t="s">
        <v>1993</v>
      </c>
      <c r="P617" s="2" t="str">
        <f>HYPERLINK("https://www.facebook.com/100005822978437")</f>
        <v>https://www.facebook.com/100005822978437</v>
      </c>
      <c r="Q617">
        <v>259</v>
      </c>
      <c r="R617" t="s">
        <v>6067</v>
      </c>
      <c r="S617" t="s">
        <v>6073</v>
      </c>
    </row>
    <row r="618" spans="1:19" ht="14.25" customHeight="1" x14ac:dyDescent="0.3">
      <c r="A618" t="s">
        <v>5409</v>
      </c>
      <c r="B618" t="s">
        <v>5956</v>
      </c>
      <c r="C618" t="s">
        <v>3538</v>
      </c>
      <c r="D618" t="s">
        <v>4216</v>
      </c>
      <c r="E618" t="s">
        <v>4217</v>
      </c>
      <c r="F618" t="s">
        <v>6058</v>
      </c>
      <c r="G618" s="2" t="str">
        <f>HYPERLINK("https://www.facebook.com/100001926947438/posts/1943568442384035")</f>
        <v>https://www.facebook.com/100001926947438/posts/1943568442384035</v>
      </c>
      <c r="H618" t="s">
        <v>6062</v>
      </c>
      <c r="I618" t="s">
        <v>5957</v>
      </c>
      <c r="J618" s="2" t="str">
        <f>HYPERLINK("https://www.facebook.com/100001926947438")</f>
        <v>https://www.facebook.com/100001926947438</v>
      </c>
      <c r="K618">
        <v>411</v>
      </c>
      <c r="L618" t="s">
        <v>6064</v>
      </c>
      <c r="N618" t="s">
        <v>13</v>
      </c>
      <c r="O618" t="s">
        <v>5957</v>
      </c>
      <c r="P618" s="2" t="str">
        <f>HYPERLINK("https://www.facebook.com/100001926947438")</f>
        <v>https://www.facebook.com/100001926947438</v>
      </c>
      <c r="Q618">
        <v>411</v>
      </c>
      <c r="R618" t="s">
        <v>6067</v>
      </c>
      <c r="S618" t="s">
        <v>6103</v>
      </c>
    </row>
    <row r="619" spans="1:19" ht="14.25" customHeight="1" x14ac:dyDescent="0.3">
      <c r="A619" t="s">
        <v>5409</v>
      </c>
      <c r="B619" t="s">
        <v>5958</v>
      </c>
      <c r="C619" t="s">
        <v>3538</v>
      </c>
      <c r="D619" t="s">
        <v>3780</v>
      </c>
      <c r="E619" t="s">
        <v>4672</v>
      </c>
      <c r="F619" t="s">
        <v>6058</v>
      </c>
      <c r="G619" s="2" t="str">
        <f>HYPERLINK("https://www.facebook.com/100001926947438/posts/1943567182384161")</f>
        <v>https://www.facebook.com/100001926947438/posts/1943567182384161</v>
      </c>
      <c r="H619" t="s">
        <v>6062</v>
      </c>
      <c r="I619" t="s">
        <v>5957</v>
      </c>
      <c r="J619" s="2" t="str">
        <f>HYPERLINK("https://www.facebook.com/100001926947438")</f>
        <v>https://www.facebook.com/100001926947438</v>
      </c>
      <c r="K619">
        <v>411</v>
      </c>
      <c r="L619" t="s">
        <v>6064</v>
      </c>
      <c r="N619" t="s">
        <v>13</v>
      </c>
      <c r="O619" t="s">
        <v>5957</v>
      </c>
      <c r="P619" s="2" t="str">
        <f>HYPERLINK("https://www.facebook.com/100001926947438")</f>
        <v>https://www.facebook.com/100001926947438</v>
      </c>
      <c r="Q619">
        <v>411</v>
      </c>
      <c r="R619" t="s">
        <v>6067</v>
      </c>
      <c r="S619" t="s">
        <v>6103</v>
      </c>
    </row>
    <row r="620" spans="1:19" ht="14.25" customHeight="1" x14ac:dyDescent="0.3">
      <c r="A620" t="s">
        <v>2225</v>
      </c>
      <c r="B620" t="s">
        <v>2771</v>
      </c>
      <c r="C620" t="s">
        <v>95</v>
      </c>
      <c r="D620" t="s">
        <v>544</v>
      </c>
      <c r="E620" t="s">
        <v>545</v>
      </c>
      <c r="F620" t="s">
        <v>6058</v>
      </c>
      <c r="G620" s="2" t="str">
        <f>HYPERLINK("https://www.facebook.com/100004928406393/posts/980282842145987")</f>
        <v>https://www.facebook.com/100004928406393/posts/980282842145987</v>
      </c>
      <c r="H620" t="s">
        <v>6062</v>
      </c>
      <c r="I620" t="s">
        <v>2777</v>
      </c>
      <c r="J620" s="2" t="str">
        <f>HYPERLINK("https://www.facebook.com/100004928406393")</f>
        <v>https://www.facebook.com/100004928406393</v>
      </c>
      <c r="K620">
        <v>332</v>
      </c>
      <c r="L620" t="s">
        <v>6064</v>
      </c>
      <c r="N620" t="s">
        <v>13</v>
      </c>
      <c r="O620" t="s">
        <v>2777</v>
      </c>
      <c r="P620" s="2" t="str">
        <f>HYPERLINK("https://www.facebook.com/100004928406393")</f>
        <v>https://www.facebook.com/100004928406393</v>
      </c>
      <c r="Q620">
        <v>332</v>
      </c>
      <c r="R620" t="s">
        <v>6067</v>
      </c>
    </row>
    <row r="621" spans="1:19" ht="14.25" customHeight="1" x14ac:dyDescent="0.3">
      <c r="A621" t="s">
        <v>2225</v>
      </c>
      <c r="B621" t="s">
        <v>2596</v>
      </c>
      <c r="C621" t="s">
        <v>95</v>
      </c>
      <c r="D621" t="s">
        <v>544</v>
      </c>
      <c r="E621" t="s">
        <v>545</v>
      </c>
      <c r="F621" t="s">
        <v>6058</v>
      </c>
      <c r="G621" s="2" t="str">
        <f>HYPERLINK("https://www.facebook.com/100024669662406/posts/147641516068170")</f>
        <v>https://www.facebook.com/100024669662406/posts/147641516068170</v>
      </c>
      <c r="H621" t="s">
        <v>6062</v>
      </c>
      <c r="I621" t="s">
        <v>2597</v>
      </c>
      <c r="J621" s="2" t="str">
        <f>HYPERLINK("https://www.facebook.com/100024669662406")</f>
        <v>https://www.facebook.com/100024669662406</v>
      </c>
      <c r="K621">
        <v>402</v>
      </c>
      <c r="L621" t="s">
        <v>6064</v>
      </c>
      <c r="N621" t="s">
        <v>13</v>
      </c>
      <c r="O621" t="s">
        <v>2597</v>
      </c>
      <c r="P621" s="2" t="str">
        <f>HYPERLINK("https://www.facebook.com/100024669662406")</f>
        <v>https://www.facebook.com/100024669662406</v>
      </c>
      <c r="Q621">
        <v>402</v>
      </c>
      <c r="R621" t="s">
        <v>6067</v>
      </c>
    </row>
    <row r="622" spans="1:19" ht="14.25" customHeight="1" x14ac:dyDescent="0.3">
      <c r="A622" t="s">
        <v>629</v>
      </c>
      <c r="B622" t="s">
        <v>1564</v>
      </c>
      <c r="C622" t="s">
        <v>95</v>
      </c>
      <c r="D622" t="s">
        <v>370</v>
      </c>
      <c r="E622" t="s">
        <v>371</v>
      </c>
      <c r="F622" t="s">
        <v>6058</v>
      </c>
      <c r="G622" s="2" t="str">
        <f>HYPERLINK("https://www.facebook.com/100021683227515/posts/206645690068204")</f>
        <v>https://www.facebook.com/100021683227515/posts/206645690068204</v>
      </c>
      <c r="H622" t="s">
        <v>6062</v>
      </c>
      <c r="I622" t="s">
        <v>1566</v>
      </c>
      <c r="J622" s="2" t="str">
        <f>HYPERLINK("https://www.facebook.com/100021683227515")</f>
        <v>https://www.facebook.com/100021683227515</v>
      </c>
      <c r="K622">
        <v>102</v>
      </c>
      <c r="L622" t="s">
        <v>6064</v>
      </c>
      <c r="N622" t="s">
        <v>13</v>
      </c>
      <c r="O622" t="s">
        <v>1566</v>
      </c>
      <c r="P622" s="2" t="str">
        <f>HYPERLINK("https://www.facebook.com/100021683227515")</f>
        <v>https://www.facebook.com/100021683227515</v>
      </c>
      <c r="Q622">
        <v>102</v>
      </c>
      <c r="R622" t="s">
        <v>6067</v>
      </c>
      <c r="S622" t="s">
        <v>6091</v>
      </c>
    </row>
    <row r="623" spans="1:19" ht="14.25" customHeight="1" x14ac:dyDescent="0.3">
      <c r="A623" t="s">
        <v>629</v>
      </c>
      <c r="B623" t="s">
        <v>1022</v>
      </c>
      <c r="C623" t="s">
        <v>95</v>
      </c>
      <c r="D623" t="s">
        <v>544</v>
      </c>
      <c r="E623" t="s">
        <v>545</v>
      </c>
      <c r="F623" t="s">
        <v>6058</v>
      </c>
      <c r="G623" s="2" t="str">
        <f>HYPERLINK("https://www.facebook.com/766448933/posts/10156248697373934")</f>
        <v>https://www.facebook.com/766448933/posts/10156248697373934</v>
      </c>
      <c r="H623" t="s">
        <v>6062</v>
      </c>
      <c r="I623" t="s">
        <v>1028</v>
      </c>
      <c r="J623" s="2" t="str">
        <f>HYPERLINK("https://www.facebook.com/766448933")</f>
        <v>https://www.facebook.com/766448933</v>
      </c>
      <c r="K623">
        <v>0</v>
      </c>
      <c r="L623" t="s">
        <v>6064</v>
      </c>
      <c r="N623" t="s">
        <v>13</v>
      </c>
      <c r="O623" t="s">
        <v>1028</v>
      </c>
      <c r="P623" s="2" t="str">
        <f>HYPERLINK("https://www.facebook.com/766448933")</f>
        <v>https://www.facebook.com/766448933</v>
      </c>
      <c r="Q623">
        <v>0</v>
      </c>
      <c r="R623" t="s">
        <v>6067</v>
      </c>
    </row>
    <row r="624" spans="1:19" ht="14.25" customHeight="1" x14ac:dyDescent="0.3">
      <c r="A624" t="s">
        <v>629</v>
      </c>
      <c r="B624" t="s">
        <v>2147</v>
      </c>
      <c r="C624" t="s">
        <v>95</v>
      </c>
      <c r="D624" t="s">
        <v>882</v>
      </c>
      <c r="E624" t="s">
        <v>2151</v>
      </c>
      <c r="F624" t="s">
        <v>6057</v>
      </c>
      <c r="G624" s="2" t="str">
        <f>HYPERLINK("https://www.facebook.com/100003771932724/posts/1222460574556329")</f>
        <v>https://www.facebook.com/100003771932724/posts/1222460574556329</v>
      </c>
      <c r="H624" t="s">
        <v>6062</v>
      </c>
      <c r="I624" t="s">
        <v>884</v>
      </c>
      <c r="J624" s="2" t="str">
        <f>HYPERLINK("https://www.facebook.com/100003771932724")</f>
        <v>https://www.facebook.com/100003771932724</v>
      </c>
      <c r="K624">
        <v>1079</v>
      </c>
      <c r="L624" t="s">
        <v>6064</v>
      </c>
      <c r="N624" t="s">
        <v>13</v>
      </c>
      <c r="O624" t="s">
        <v>884</v>
      </c>
      <c r="P624" s="2" t="str">
        <f>HYPERLINK("https://www.facebook.com/100003771932724")</f>
        <v>https://www.facebook.com/100003771932724</v>
      </c>
      <c r="Q624">
        <v>1079</v>
      </c>
      <c r="R624" t="s">
        <v>6067</v>
      </c>
      <c r="S624" t="s">
        <v>6073</v>
      </c>
    </row>
    <row r="625" spans="1:19" ht="14.25" customHeight="1" x14ac:dyDescent="0.3">
      <c r="A625" t="s">
        <v>629</v>
      </c>
      <c r="B625" t="s">
        <v>881</v>
      </c>
      <c r="C625" t="s">
        <v>95</v>
      </c>
      <c r="D625" t="s">
        <v>882</v>
      </c>
      <c r="E625" t="s">
        <v>883</v>
      </c>
      <c r="F625" t="s">
        <v>6059</v>
      </c>
      <c r="G625" s="2" t="str">
        <f>HYPERLINK("https://www.facebook.com/100003771932724/posts/1222460574556329?comment_id=1222915987844121")</f>
        <v>https://www.facebook.com/100003771932724/posts/1222460574556329?comment_id=1222915987844121</v>
      </c>
      <c r="H625" t="s">
        <v>6062</v>
      </c>
      <c r="I625" t="s">
        <v>884</v>
      </c>
      <c r="J625" s="2" t="str">
        <f>HYPERLINK("https://www.facebook.com/100003771932724")</f>
        <v>https://www.facebook.com/100003771932724</v>
      </c>
      <c r="K625">
        <v>1079</v>
      </c>
      <c r="L625" t="s">
        <v>6064</v>
      </c>
      <c r="N625" t="s">
        <v>13</v>
      </c>
      <c r="O625" t="s">
        <v>884</v>
      </c>
      <c r="P625" s="2" t="str">
        <f>HYPERLINK("https://www.facebook.com/100003771932724")</f>
        <v>https://www.facebook.com/100003771932724</v>
      </c>
      <c r="Q625">
        <v>1079</v>
      </c>
      <c r="R625" t="s">
        <v>6067</v>
      </c>
      <c r="S625" t="s">
        <v>6073</v>
      </c>
    </row>
    <row r="626" spans="1:19" ht="14.25" customHeight="1" x14ac:dyDescent="0.3">
      <c r="A626" t="s">
        <v>629</v>
      </c>
      <c r="B626" t="s">
        <v>1083</v>
      </c>
      <c r="C626" t="s">
        <v>95</v>
      </c>
      <c r="D626" t="s">
        <v>544</v>
      </c>
      <c r="E626" t="s">
        <v>545</v>
      </c>
      <c r="F626" t="s">
        <v>6058</v>
      </c>
      <c r="G626" s="2" t="str">
        <f>HYPERLINK("https://www.facebook.com/100000964224731/posts/1957032467672208")</f>
        <v>https://www.facebook.com/100000964224731/posts/1957032467672208</v>
      </c>
      <c r="H626" t="s">
        <v>6062</v>
      </c>
      <c r="I626" t="s">
        <v>1084</v>
      </c>
      <c r="J626" s="2" t="str">
        <f>HYPERLINK("https://www.facebook.com/100000964224731")</f>
        <v>https://www.facebook.com/100000964224731</v>
      </c>
      <c r="K626">
        <v>227</v>
      </c>
      <c r="L626" t="s">
        <v>6064</v>
      </c>
      <c r="N626" t="s">
        <v>13</v>
      </c>
      <c r="O626" t="s">
        <v>1084</v>
      </c>
      <c r="P626" s="2" t="str">
        <f>HYPERLINK("https://www.facebook.com/100000964224731")</f>
        <v>https://www.facebook.com/100000964224731</v>
      </c>
      <c r="Q626">
        <v>227</v>
      </c>
      <c r="R626" t="s">
        <v>6067</v>
      </c>
    </row>
    <row r="627" spans="1:19" ht="14.25" customHeight="1" x14ac:dyDescent="0.3">
      <c r="A627" t="s">
        <v>2225</v>
      </c>
      <c r="B627" t="s">
        <v>1513</v>
      </c>
      <c r="C627" t="s">
        <v>95</v>
      </c>
      <c r="D627" t="s">
        <v>1099</v>
      </c>
      <c r="E627" t="s">
        <v>3359</v>
      </c>
      <c r="F627" t="s">
        <v>6059</v>
      </c>
      <c r="G627" s="2" t="str">
        <f>HYPERLINK("https://www.facebook.com/100002489064006/posts/1666923993400553?comment_id=1667091360050483")</f>
        <v>https://www.facebook.com/100002489064006/posts/1666923993400553?comment_id=1667091360050483</v>
      </c>
      <c r="H627" t="s">
        <v>6062</v>
      </c>
      <c r="I627" t="s">
        <v>3360</v>
      </c>
      <c r="J627" s="2" t="str">
        <f>HYPERLINK("https://www.facebook.com/100002262915418")</f>
        <v>https://www.facebook.com/100002262915418</v>
      </c>
      <c r="K627">
        <v>483</v>
      </c>
      <c r="L627" t="s">
        <v>6064</v>
      </c>
      <c r="N627" t="s">
        <v>13</v>
      </c>
      <c r="O627" t="s">
        <v>1101</v>
      </c>
      <c r="P627" s="2" t="str">
        <f>HYPERLINK("https://www.facebook.com/100002489064006")</f>
        <v>https://www.facebook.com/100002489064006</v>
      </c>
      <c r="Q627">
        <v>2089</v>
      </c>
      <c r="R627" t="s">
        <v>6067</v>
      </c>
      <c r="S627" t="s">
        <v>6073</v>
      </c>
    </row>
    <row r="628" spans="1:19" ht="14.25" customHeight="1" x14ac:dyDescent="0.3">
      <c r="A628" t="s">
        <v>629</v>
      </c>
      <c r="B628" t="s">
        <v>226</v>
      </c>
      <c r="C628" t="s">
        <v>95</v>
      </c>
      <c r="D628" t="s">
        <v>1437</v>
      </c>
      <c r="E628" t="s">
        <v>1439</v>
      </c>
      <c r="F628" t="s">
        <v>6059</v>
      </c>
      <c r="G628" s="2" t="str">
        <f>HYPERLINK("https://www.facebook.com/100001180906559/posts/1642867705762577?comment_id=1642876749095006")</f>
        <v>https://www.facebook.com/100001180906559/posts/1642867705762577?comment_id=1642876749095006</v>
      </c>
      <c r="H628" t="s">
        <v>6062</v>
      </c>
      <c r="I628" t="s">
        <v>1440</v>
      </c>
      <c r="J628" s="2" t="str">
        <f>HYPERLINK("https://www.facebook.com/100001180906559")</f>
        <v>https://www.facebook.com/100001180906559</v>
      </c>
      <c r="K628">
        <v>385</v>
      </c>
      <c r="L628" t="s">
        <v>6064</v>
      </c>
      <c r="N628" t="s">
        <v>13</v>
      </c>
      <c r="O628" t="s">
        <v>1440</v>
      </c>
      <c r="P628" s="2" t="str">
        <f>HYPERLINK("https://www.facebook.com/100001180906559")</f>
        <v>https://www.facebook.com/100001180906559</v>
      </c>
      <c r="Q628">
        <v>385</v>
      </c>
      <c r="R628" t="s">
        <v>6067</v>
      </c>
      <c r="S628" t="s">
        <v>6073</v>
      </c>
    </row>
    <row r="629" spans="1:19" ht="14.25" customHeight="1" x14ac:dyDescent="0.3">
      <c r="A629" t="s">
        <v>629</v>
      </c>
      <c r="B629" t="s">
        <v>226</v>
      </c>
      <c r="C629" t="s">
        <v>95</v>
      </c>
      <c r="D629" t="s">
        <v>1437</v>
      </c>
      <c r="E629" t="s">
        <v>1441</v>
      </c>
      <c r="F629" t="s">
        <v>6059</v>
      </c>
      <c r="G629" s="2" t="str">
        <f>HYPERLINK("https://www.facebook.com/100001180906559/posts/1642867705762577?comment_id=1642876552428359")</f>
        <v>https://www.facebook.com/100001180906559/posts/1642867705762577?comment_id=1642876552428359</v>
      </c>
      <c r="H629" t="s">
        <v>6062</v>
      </c>
      <c r="I629" t="s">
        <v>1440</v>
      </c>
      <c r="J629" s="2" t="str">
        <f>HYPERLINK("https://www.facebook.com/100001180906559")</f>
        <v>https://www.facebook.com/100001180906559</v>
      </c>
      <c r="K629">
        <v>385</v>
      </c>
      <c r="L629" t="s">
        <v>6064</v>
      </c>
      <c r="N629" t="s">
        <v>13</v>
      </c>
      <c r="O629" t="s">
        <v>1440</v>
      </c>
      <c r="P629" s="2" t="str">
        <f>HYPERLINK("https://www.facebook.com/100001180906559")</f>
        <v>https://www.facebook.com/100001180906559</v>
      </c>
      <c r="Q629">
        <v>385</v>
      </c>
      <c r="R629" t="s">
        <v>6067</v>
      </c>
      <c r="S629" t="s">
        <v>6073</v>
      </c>
    </row>
    <row r="630" spans="1:19" ht="14.25" customHeight="1" x14ac:dyDescent="0.3">
      <c r="A630" t="s">
        <v>629</v>
      </c>
      <c r="B630" t="s">
        <v>231</v>
      </c>
      <c r="C630" t="s">
        <v>95</v>
      </c>
      <c r="D630" t="s">
        <v>1437</v>
      </c>
      <c r="E630" t="s">
        <v>1443</v>
      </c>
      <c r="F630" t="s">
        <v>6059</v>
      </c>
      <c r="G630" s="2" t="str">
        <f>HYPERLINK("https://www.facebook.com/100001180906559/posts/1642867705762577?comment_id=1642875792428435")</f>
        <v>https://www.facebook.com/100001180906559/posts/1642867705762577?comment_id=1642875792428435</v>
      </c>
      <c r="H630" t="s">
        <v>6062</v>
      </c>
      <c r="I630" t="s">
        <v>1440</v>
      </c>
      <c r="J630" s="2" t="str">
        <f>HYPERLINK("https://www.facebook.com/100001180906559")</f>
        <v>https://www.facebook.com/100001180906559</v>
      </c>
      <c r="K630">
        <v>385</v>
      </c>
      <c r="L630" t="s">
        <v>6064</v>
      </c>
      <c r="N630" t="s">
        <v>13</v>
      </c>
      <c r="O630" t="s">
        <v>1440</v>
      </c>
      <c r="P630" s="2" t="str">
        <f>HYPERLINK("https://www.facebook.com/100001180906559")</f>
        <v>https://www.facebook.com/100001180906559</v>
      </c>
      <c r="Q630">
        <v>385</v>
      </c>
      <c r="R630" t="s">
        <v>6067</v>
      </c>
      <c r="S630" t="s">
        <v>6073</v>
      </c>
    </row>
    <row r="631" spans="1:19" ht="14.25" customHeight="1" x14ac:dyDescent="0.3">
      <c r="A631" t="s">
        <v>629</v>
      </c>
      <c r="B631" t="s">
        <v>1466</v>
      </c>
      <c r="C631" t="s">
        <v>95</v>
      </c>
      <c r="D631" t="s">
        <v>1437</v>
      </c>
      <c r="E631" t="s">
        <v>1467</v>
      </c>
      <c r="F631" t="s">
        <v>6056</v>
      </c>
      <c r="G631" s="2" t="str">
        <f>HYPERLINK("https://www.facebook.com/100001180906559/posts/1642867705762577")</f>
        <v>https://www.facebook.com/100001180906559/posts/1642867705762577</v>
      </c>
      <c r="H631" t="s">
        <v>6062</v>
      </c>
      <c r="I631" t="s">
        <v>1440</v>
      </c>
      <c r="J631" s="2" t="str">
        <f>HYPERLINK("https://www.facebook.com/100001180906559")</f>
        <v>https://www.facebook.com/100001180906559</v>
      </c>
      <c r="K631">
        <v>385</v>
      </c>
      <c r="L631" t="s">
        <v>6064</v>
      </c>
      <c r="N631" t="s">
        <v>13</v>
      </c>
      <c r="O631" t="s">
        <v>1440</v>
      </c>
      <c r="P631" s="2" t="str">
        <f>HYPERLINK("https://www.facebook.com/100001180906559")</f>
        <v>https://www.facebook.com/100001180906559</v>
      </c>
      <c r="Q631">
        <v>385</v>
      </c>
      <c r="R631" t="s">
        <v>6067</v>
      </c>
      <c r="S631" t="s">
        <v>6073</v>
      </c>
    </row>
    <row r="632" spans="1:19" ht="14.25" customHeight="1" x14ac:dyDescent="0.3">
      <c r="A632" t="s">
        <v>629</v>
      </c>
      <c r="B632" t="s">
        <v>2058</v>
      </c>
      <c r="C632" t="s">
        <v>95</v>
      </c>
      <c r="D632" t="s">
        <v>544</v>
      </c>
      <c r="E632" t="s">
        <v>545</v>
      </c>
      <c r="F632" t="s">
        <v>6058</v>
      </c>
      <c r="G632" s="2" t="str">
        <f>HYPERLINK("https://www.facebook.com/100003170057584/posts/1620252314757088")</f>
        <v>https://www.facebook.com/100003170057584/posts/1620252314757088</v>
      </c>
      <c r="H632" t="s">
        <v>6062</v>
      </c>
      <c r="I632" t="s">
        <v>2059</v>
      </c>
      <c r="J632" s="2" t="str">
        <f>HYPERLINK("https://www.facebook.com/100003170057584")</f>
        <v>https://www.facebook.com/100003170057584</v>
      </c>
      <c r="K632">
        <v>473</v>
      </c>
      <c r="L632" t="s">
        <v>6064</v>
      </c>
      <c r="N632" t="s">
        <v>13</v>
      </c>
      <c r="O632" t="s">
        <v>2059</v>
      </c>
      <c r="P632" s="2" t="str">
        <f>HYPERLINK("https://www.facebook.com/100003170057584")</f>
        <v>https://www.facebook.com/100003170057584</v>
      </c>
      <c r="Q632">
        <v>473</v>
      </c>
      <c r="R632" t="s">
        <v>6067</v>
      </c>
      <c r="S632" t="s">
        <v>6073</v>
      </c>
    </row>
    <row r="633" spans="1:19" ht="14.25" customHeight="1" x14ac:dyDescent="0.3">
      <c r="A633" t="s">
        <v>2225</v>
      </c>
      <c r="B633" t="s">
        <v>2516</v>
      </c>
      <c r="C633" t="s">
        <v>95</v>
      </c>
      <c r="D633" t="s">
        <v>853</v>
      </c>
      <c r="E633" t="s">
        <v>4</v>
      </c>
      <c r="F633" t="s">
        <v>6059</v>
      </c>
      <c r="G633" s="2" t="str">
        <f>HYPERLINK("https://www.facebook.com/100008934274771/posts/1810262525948206?comment_id=1810291205945338")</f>
        <v>https://www.facebook.com/100008934274771/posts/1810262525948206?comment_id=1810291205945338</v>
      </c>
      <c r="H633" t="s">
        <v>6062</v>
      </c>
      <c r="I633" t="s">
        <v>2524</v>
      </c>
      <c r="J633" s="2" t="str">
        <f>HYPERLINK("https://www.facebook.com/100008008392511")</f>
        <v>https://www.facebook.com/100008008392511</v>
      </c>
      <c r="K633">
        <v>167</v>
      </c>
      <c r="L633" t="s">
        <v>6064</v>
      </c>
      <c r="N633" t="s">
        <v>13</v>
      </c>
      <c r="O633" t="s">
        <v>856</v>
      </c>
      <c r="P633" s="2" t="str">
        <f>HYPERLINK("https://www.facebook.com/100008934274771")</f>
        <v>https://www.facebook.com/100008934274771</v>
      </c>
      <c r="Q633">
        <v>10395</v>
      </c>
      <c r="R633" t="s">
        <v>6067</v>
      </c>
      <c r="S633" t="s">
        <v>6087</v>
      </c>
    </row>
    <row r="634" spans="1:19" ht="14.25" customHeight="1" x14ac:dyDescent="0.3">
      <c r="A634" t="s">
        <v>629</v>
      </c>
      <c r="B634" t="s">
        <v>1065</v>
      </c>
      <c r="C634" t="s">
        <v>95</v>
      </c>
      <c r="D634" t="s">
        <v>10</v>
      </c>
      <c r="E634" t="s">
        <v>1066</v>
      </c>
      <c r="F634" t="s">
        <v>6059</v>
      </c>
      <c r="G634" s="2" t="str">
        <f>HYPERLINK("https://www.facebook.com/762053551/posts/10156366210158552?comment_id=10156366355813552")</f>
        <v>https://www.facebook.com/762053551/posts/10156366210158552?comment_id=10156366355813552</v>
      </c>
      <c r="H634" t="s">
        <v>6062</v>
      </c>
      <c r="I634" t="s">
        <v>1067</v>
      </c>
      <c r="J634" s="2" t="str">
        <f>HYPERLINK("https://www.facebook.com/100000569247206")</f>
        <v>https://www.facebook.com/100000569247206</v>
      </c>
      <c r="K634">
        <v>27</v>
      </c>
      <c r="L634" t="s">
        <v>6063</v>
      </c>
      <c r="M634">
        <v>33</v>
      </c>
      <c r="N634" t="s">
        <v>13</v>
      </c>
      <c r="O634" t="s">
        <v>14</v>
      </c>
      <c r="P634" s="2" t="str">
        <f>HYPERLINK("https://www.facebook.com/762053551")</f>
        <v>https://www.facebook.com/762053551</v>
      </c>
      <c r="Q634">
        <v>102347</v>
      </c>
      <c r="R634" t="s">
        <v>6067</v>
      </c>
      <c r="S634" t="s">
        <v>6073</v>
      </c>
    </row>
    <row r="635" spans="1:19" ht="14.25" customHeight="1" x14ac:dyDescent="0.3">
      <c r="A635" t="s">
        <v>629</v>
      </c>
      <c r="B635" t="s">
        <v>2215</v>
      </c>
      <c r="C635" t="s">
        <v>95</v>
      </c>
      <c r="D635" t="s">
        <v>2192</v>
      </c>
      <c r="E635" t="s">
        <v>2216</v>
      </c>
      <c r="F635" t="s">
        <v>6056</v>
      </c>
      <c r="G635" s="2" t="str">
        <f>HYPERLINK("https://www.facebook.com/503460458/posts/10160120240745459")</f>
        <v>https://www.facebook.com/503460458/posts/10160120240745459</v>
      </c>
      <c r="H635" t="s">
        <v>6062</v>
      </c>
      <c r="I635" t="s">
        <v>2195</v>
      </c>
      <c r="J635" s="2" t="str">
        <f>HYPERLINK("https://www.facebook.com/503460458")</f>
        <v>https://www.facebook.com/503460458</v>
      </c>
      <c r="K635">
        <v>0</v>
      </c>
      <c r="L635" t="s">
        <v>6063</v>
      </c>
      <c r="N635" t="s">
        <v>13</v>
      </c>
      <c r="O635" t="s">
        <v>2195</v>
      </c>
      <c r="P635" s="2" t="str">
        <f>HYPERLINK("https://www.facebook.com/503460458")</f>
        <v>https://www.facebook.com/503460458</v>
      </c>
      <c r="Q635">
        <v>0</v>
      </c>
      <c r="R635" t="s">
        <v>6067</v>
      </c>
      <c r="S635" t="s">
        <v>6073</v>
      </c>
    </row>
    <row r="636" spans="1:19" ht="14.25" customHeight="1" x14ac:dyDescent="0.3">
      <c r="A636" t="s">
        <v>4439</v>
      </c>
      <c r="B636" t="s">
        <v>4214</v>
      </c>
      <c r="C636" t="s">
        <v>3538</v>
      </c>
      <c r="D636" t="s">
        <v>2419</v>
      </c>
      <c r="E636" t="s">
        <v>2420</v>
      </c>
      <c r="F636" t="s">
        <v>6056</v>
      </c>
      <c r="G636" s="2" t="str">
        <f>HYPERLINK("https://www.facebook.com/503460458/posts/10160109321490459")</f>
        <v>https://www.facebook.com/503460458/posts/10160109321490459</v>
      </c>
      <c r="H636" t="s">
        <v>6062</v>
      </c>
      <c r="I636" t="s">
        <v>2195</v>
      </c>
      <c r="J636" s="2" t="str">
        <f>HYPERLINK("https://www.facebook.com/503460458")</f>
        <v>https://www.facebook.com/503460458</v>
      </c>
      <c r="K636">
        <v>0</v>
      </c>
      <c r="L636" t="s">
        <v>6063</v>
      </c>
      <c r="N636" t="s">
        <v>13</v>
      </c>
      <c r="O636" t="s">
        <v>2195</v>
      </c>
      <c r="P636" s="2" t="str">
        <f>HYPERLINK("https://www.facebook.com/503460458")</f>
        <v>https://www.facebook.com/503460458</v>
      </c>
      <c r="Q636">
        <v>0</v>
      </c>
      <c r="R636" t="s">
        <v>6067</v>
      </c>
      <c r="S636" t="s">
        <v>6073</v>
      </c>
    </row>
    <row r="637" spans="1:19" ht="14.25" customHeight="1" x14ac:dyDescent="0.3">
      <c r="A637" t="s">
        <v>2225</v>
      </c>
      <c r="B637" t="s">
        <v>2792</v>
      </c>
      <c r="C637" t="s">
        <v>95</v>
      </c>
      <c r="D637" t="s">
        <v>2789</v>
      </c>
      <c r="E637" t="s">
        <v>2796</v>
      </c>
      <c r="F637" t="s">
        <v>6059</v>
      </c>
      <c r="G637" s="2" t="str">
        <f>HYPERLINK("https://www.facebook.com/100000239981419/posts/2109629449055034?comment_id=2109634255721220")</f>
        <v>https://www.facebook.com/100000239981419/posts/2109629449055034?comment_id=2109634255721220</v>
      </c>
      <c r="H637" t="s">
        <v>6062</v>
      </c>
      <c r="I637" t="s">
        <v>2797</v>
      </c>
      <c r="J637" s="2" t="str">
        <f>HYPERLINK("https://www.facebook.com/100000880117633")</f>
        <v>https://www.facebook.com/100000880117633</v>
      </c>
      <c r="K637">
        <v>6697</v>
      </c>
      <c r="L637" t="s">
        <v>6063</v>
      </c>
      <c r="N637" t="s">
        <v>13</v>
      </c>
      <c r="O637" t="s">
        <v>2791</v>
      </c>
      <c r="P637" s="2" t="str">
        <f>HYPERLINK("https://www.facebook.com/100000239981419")</f>
        <v>https://www.facebook.com/100000239981419</v>
      </c>
      <c r="Q637">
        <v>3952</v>
      </c>
      <c r="R637" t="s">
        <v>6067</v>
      </c>
      <c r="S637" t="s">
        <v>6073</v>
      </c>
    </row>
    <row r="638" spans="1:19" ht="14.25" customHeight="1" x14ac:dyDescent="0.3">
      <c r="A638" t="s">
        <v>5409</v>
      </c>
      <c r="B638" t="s">
        <v>5959</v>
      </c>
      <c r="C638" t="s">
        <v>3538</v>
      </c>
      <c r="D638" t="s">
        <v>5960</v>
      </c>
      <c r="E638" t="s">
        <v>5961</v>
      </c>
      <c r="F638" t="s">
        <v>6058</v>
      </c>
      <c r="G638" s="2" t="str">
        <f>HYPERLINK("https://www.facebook.com/100004236217962/posts/1027176824100182")</f>
        <v>https://www.facebook.com/100004236217962/posts/1027176824100182</v>
      </c>
      <c r="H638" t="s">
        <v>6062</v>
      </c>
      <c r="I638" t="s">
        <v>5962</v>
      </c>
      <c r="J638" s="2" t="str">
        <f>HYPERLINK("https://www.facebook.com/100004236217962")</f>
        <v>https://www.facebook.com/100004236217962</v>
      </c>
      <c r="K638">
        <v>275</v>
      </c>
      <c r="L638" t="s">
        <v>6063</v>
      </c>
      <c r="N638" t="s">
        <v>13</v>
      </c>
      <c r="O638" t="s">
        <v>5962</v>
      </c>
      <c r="P638" s="2" t="str">
        <f>HYPERLINK("https://www.facebook.com/100004236217962")</f>
        <v>https://www.facebook.com/100004236217962</v>
      </c>
      <c r="Q638">
        <v>275</v>
      </c>
      <c r="R638" t="s">
        <v>6067</v>
      </c>
      <c r="S638" t="s">
        <v>6073</v>
      </c>
    </row>
    <row r="639" spans="1:19" ht="14.25" customHeight="1" x14ac:dyDescent="0.3">
      <c r="A639" t="s">
        <v>1</v>
      </c>
      <c r="B639" t="s">
        <v>461</v>
      </c>
      <c r="C639" t="s">
        <v>95</v>
      </c>
      <c r="D639" t="s">
        <v>464</v>
      </c>
      <c r="E639" t="s">
        <v>465</v>
      </c>
      <c r="F639" t="s">
        <v>6059</v>
      </c>
      <c r="G639" s="2" t="str">
        <f>HYPERLINK("https://www.facebook.com/1362386453/posts/10216460219362335?comment_id=10216474008947066")</f>
        <v>https://www.facebook.com/1362386453/posts/10216460219362335?comment_id=10216474008947066</v>
      </c>
      <c r="H639" t="s">
        <v>6062</v>
      </c>
      <c r="I639" t="s">
        <v>466</v>
      </c>
      <c r="J639" s="2" t="str">
        <f>HYPERLINK("https://www.facebook.com/100007693413494")</f>
        <v>https://www.facebook.com/100007693413494</v>
      </c>
      <c r="K639">
        <v>552</v>
      </c>
      <c r="L639" t="s">
        <v>6063</v>
      </c>
      <c r="N639" t="s">
        <v>13</v>
      </c>
      <c r="O639" t="s">
        <v>467</v>
      </c>
      <c r="P639" s="2" t="str">
        <f>HYPERLINK("https://www.facebook.com/1362386453")</f>
        <v>https://www.facebook.com/1362386453</v>
      </c>
      <c r="Q639">
        <v>3896</v>
      </c>
      <c r="R639" t="s">
        <v>6067</v>
      </c>
      <c r="S639" t="s">
        <v>6073</v>
      </c>
    </row>
    <row r="640" spans="1:19" ht="14.25" customHeight="1" x14ac:dyDescent="0.3">
      <c r="A640" t="s">
        <v>1</v>
      </c>
      <c r="B640" t="s">
        <v>472</v>
      </c>
      <c r="C640" t="s">
        <v>95</v>
      </c>
      <c r="D640" t="s">
        <v>464</v>
      </c>
      <c r="E640" t="s">
        <v>473</v>
      </c>
      <c r="F640" t="s">
        <v>6059</v>
      </c>
      <c r="G640" s="2" t="str">
        <f>HYPERLINK("https://www.facebook.com/1362386453/posts/10216460219362335?comment_id=10216473983226423")</f>
        <v>https://www.facebook.com/1362386453/posts/10216460219362335?comment_id=10216473983226423</v>
      </c>
      <c r="H640" t="s">
        <v>6062</v>
      </c>
      <c r="I640" t="s">
        <v>466</v>
      </c>
      <c r="J640" s="2" t="str">
        <f>HYPERLINK("https://www.facebook.com/100007693413494")</f>
        <v>https://www.facebook.com/100007693413494</v>
      </c>
      <c r="K640">
        <v>552</v>
      </c>
      <c r="L640" t="s">
        <v>6063</v>
      </c>
      <c r="N640" t="s">
        <v>13</v>
      </c>
      <c r="O640" t="s">
        <v>467</v>
      </c>
      <c r="P640" s="2" t="str">
        <f>HYPERLINK("https://www.facebook.com/1362386453")</f>
        <v>https://www.facebook.com/1362386453</v>
      </c>
      <c r="Q640">
        <v>3896</v>
      </c>
      <c r="R640" t="s">
        <v>6067</v>
      </c>
      <c r="S640" t="s">
        <v>6073</v>
      </c>
    </row>
    <row r="641" spans="1:19" ht="14.25" customHeight="1" x14ac:dyDescent="0.3">
      <c r="A641" t="s">
        <v>1</v>
      </c>
      <c r="B641" t="s">
        <v>484</v>
      </c>
      <c r="C641" t="s">
        <v>95</v>
      </c>
      <c r="D641" t="s">
        <v>464</v>
      </c>
      <c r="E641" t="s">
        <v>487</v>
      </c>
      <c r="F641" t="s">
        <v>6059</v>
      </c>
      <c r="G641" s="2" t="str">
        <f>HYPERLINK("https://www.facebook.com/1362386453/posts/10216460219362335?comment_id=10216473959265824")</f>
        <v>https://www.facebook.com/1362386453/posts/10216460219362335?comment_id=10216473959265824</v>
      </c>
      <c r="H641" t="s">
        <v>6062</v>
      </c>
      <c r="I641" t="s">
        <v>466</v>
      </c>
      <c r="J641" s="2" t="str">
        <f>HYPERLINK("https://www.facebook.com/100007693413494")</f>
        <v>https://www.facebook.com/100007693413494</v>
      </c>
      <c r="K641">
        <v>552</v>
      </c>
      <c r="L641" t="s">
        <v>6063</v>
      </c>
      <c r="N641" t="s">
        <v>13</v>
      </c>
      <c r="O641" t="s">
        <v>467</v>
      </c>
      <c r="P641" s="2" t="str">
        <f>HYPERLINK("https://www.facebook.com/1362386453")</f>
        <v>https://www.facebook.com/1362386453</v>
      </c>
      <c r="Q641">
        <v>3896</v>
      </c>
      <c r="R641" t="s">
        <v>6067</v>
      </c>
      <c r="S641" t="s">
        <v>6073</v>
      </c>
    </row>
    <row r="642" spans="1:19" ht="14.25" customHeight="1" x14ac:dyDescent="0.3">
      <c r="A642" t="s">
        <v>629</v>
      </c>
      <c r="B642" t="s">
        <v>457</v>
      </c>
      <c r="C642" t="s">
        <v>95</v>
      </c>
      <c r="D642" t="s">
        <v>1892</v>
      </c>
      <c r="E642" t="s">
        <v>1893</v>
      </c>
      <c r="F642" t="s">
        <v>6059</v>
      </c>
      <c r="G642" s="2" t="str">
        <f>HYPERLINK("https://www.facebook.com/100000310239251/posts/1755820284438296?comment_id=1797815336905457")</f>
        <v>https://www.facebook.com/100000310239251/posts/1755820284438296?comment_id=1797815336905457</v>
      </c>
      <c r="H642" t="s">
        <v>6062</v>
      </c>
      <c r="I642" t="s">
        <v>1894</v>
      </c>
      <c r="J642" s="2" t="str">
        <f>HYPERLINK("https://www.facebook.com/100009688721671")</f>
        <v>https://www.facebook.com/100009688721671</v>
      </c>
      <c r="K642">
        <v>0</v>
      </c>
      <c r="L642" t="s">
        <v>6063</v>
      </c>
      <c r="N642" t="s">
        <v>13</v>
      </c>
      <c r="O642" t="s">
        <v>1895</v>
      </c>
      <c r="P642" s="2" t="str">
        <f>HYPERLINK("https://www.facebook.com/100000310239251")</f>
        <v>https://www.facebook.com/100000310239251</v>
      </c>
      <c r="Q642">
        <v>0</v>
      </c>
      <c r="R642" t="s">
        <v>6067</v>
      </c>
      <c r="S642" t="s">
        <v>6073</v>
      </c>
    </row>
    <row r="643" spans="1:19" ht="14.25" customHeight="1" x14ac:dyDescent="0.3">
      <c r="A643" t="s">
        <v>2225</v>
      </c>
      <c r="B643" t="s">
        <v>3459</v>
      </c>
      <c r="C643" t="s">
        <v>95</v>
      </c>
      <c r="D643" t="s">
        <v>3460</v>
      </c>
      <c r="E643" t="s">
        <v>3461</v>
      </c>
      <c r="F643" t="s">
        <v>6059</v>
      </c>
      <c r="G643" s="2" t="str">
        <f>HYPERLINK("https://www.facebook.com/100006051378479/posts/2007823269429366?comment_id=2008113066067053")</f>
        <v>https://www.facebook.com/100006051378479/posts/2007823269429366?comment_id=2008113066067053</v>
      </c>
      <c r="H643" t="s">
        <v>6062</v>
      </c>
      <c r="I643" t="s">
        <v>3462</v>
      </c>
      <c r="J643" s="2" t="str">
        <f>HYPERLINK("https://www.facebook.com/100002522596489")</f>
        <v>https://www.facebook.com/100002522596489</v>
      </c>
      <c r="K643">
        <v>32</v>
      </c>
      <c r="L643" t="s">
        <v>6063</v>
      </c>
      <c r="N643" t="s">
        <v>13</v>
      </c>
      <c r="O643" t="s">
        <v>873</v>
      </c>
      <c r="P643" s="2" t="str">
        <f>HYPERLINK("https://www.facebook.com/100006051378479")</f>
        <v>https://www.facebook.com/100006051378479</v>
      </c>
      <c r="Q643">
        <v>58</v>
      </c>
      <c r="R643" t="s">
        <v>6067</v>
      </c>
      <c r="S643" t="s">
        <v>6073</v>
      </c>
    </row>
    <row r="644" spans="1:19" ht="14.25" customHeight="1" x14ac:dyDescent="0.3">
      <c r="A644" t="s">
        <v>3527</v>
      </c>
      <c r="B644" t="s">
        <v>1302</v>
      </c>
      <c r="C644" t="s">
        <v>95</v>
      </c>
      <c r="D644" t="s">
        <v>2196</v>
      </c>
      <c r="E644" t="s">
        <v>4134</v>
      </c>
      <c r="F644" t="s">
        <v>6059</v>
      </c>
      <c r="G644" s="2" t="str">
        <f>HYPERLINK("https://www.facebook.com/100001415260849/posts/1744734525583706?comment_id=1744809465576212")</f>
        <v>https://www.facebook.com/100001415260849/posts/1744734525583706?comment_id=1744809465576212</v>
      </c>
      <c r="H644" t="s">
        <v>6062</v>
      </c>
      <c r="I644" t="s">
        <v>4135</v>
      </c>
      <c r="J644" s="2" t="str">
        <f>HYPERLINK("https://www.facebook.com/663406559")</f>
        <v>https://www.facebook.com/663406559</v>
      </c>
      <c r="K644">
        <v>7371</v>
      </c>
      <c r="L644" t="s">
        <v>6063</v>
      </c>
      <c r="N644" t="s">
        <v>13</v>
      </c>
      <c r="O644" t="s">
        <v>2199</v>
      </c>
      <c r="P644" s="2" t="str">
        <f>HYPERLINK("https://www.facebook.com/100001415260849")</f>
        <v>https://www.facebook.com/100001415260849</v>
      </c>
      <c r="Q644">
        <v>0</v>
      </c>
      <c r="R644" t="s">
        <v>6067</v>
      </c>
      <c r="S644" t="s">
        <v>6073</v>
      </c>
    </row>
    <row r="645" spans="1:19" ht="14.25" customHeight="1" x14ac:dyDescent="0.3">
      <c r="A645" t="s">
        <v>3527</v>
      </c>
      <c r="B645" t="s">
        <v>1309</v>
      </c>
      <c r="C645" t="s">
        <v>95</v>
      </c>
      <c r="D645" t="s">
        <v>2196</v>
      </c>
      <c r="E645" t="s">
        <v>4148</v>
      </c>
      <c r="F645" t="s">
        <v>6059</v>
      </c>
      <c r="G645" s="2" t="str">
        <f>HYPERLINK("https://www.facebook.com/100001415260849/posts/1744734525583706?comment_id=1744803202243505")</f>
        <v>https://www.facebook.com/100001415260849/posts/1744734525583706?comment_id=1744803202243505</v>
      </c>
      <c r="H645" t="s">
        <v>6062</v>
      </c>
      <c r="I645" t="s">
        <v>4135</v>
      </c>
      <c r="J645" s="2" t="str">
        <f>HYPERLINK("https://www.facebook.com/663406559")</f>
        <v>https://www.facebook.com/663406559</v>
      </c>
      <c r="K645">
        <v>7371</v>
      </c>
      <c r="L645" t="s">
        <v>6063</v>
      </c>
      <c r="N645" t="s">
        <v>13</v>
      </c>
      <c r="O645" t="s">
        <v>2199</v>
      </c>
      <c r="P645" s="2" t="str">
        <f>HYPERLINK("https://www.facebook.com/100001415260849")</f>
        <v>https://www.facebook.com/100001415260849</v>
      </c>
      <c r="Q645">
        <v>0</v>
      </c>
      <c r="R645" t="s">
        <v>6067</v>
      </c>
      <c r="S645" t="s">
        <v>6073</v>
      </c>
    </row>
    <row r="646" spans="1:19" ht="14.25" customHeight="1" x14ac:dyDescent="0.3">
      <c r="A646" t="s">
        <v>3527</v>
      </c>
      <c r="B646" t="s">
        <v>4141</v>
      </c>
      <c r="C646" t="s">
        <v>95</v>
      </c>
      <c r="D646" t="s">
        <v>2196</v>
      </c>
      <c r="E646" t="s">
        <v>4143</v>
      </c>
      <c r="F646" t="s">
        <v>6059</v>
      </c>
      <c r="G646" s="2" t="str">
        <f>HYPERLINK("https://www.facebook.com/100001415260849/posts/1744734525583706?comment_id=1744805662243259")</f>
        <v>https://www.facebook.com/100001415260849/posts/1744734525583706?comment_id=1744805662243259</v>
      </c>
      <c r="H646" t="s">
        <v>6062</v>
      </c>
      <c r="I646" t="s">
        <v>4135</v>
      </c>
      <c r="J646" s="2" t="str">
        <f>HYPERLINK("https://www.facebook.com/663406559")</f>
        <v>https://www.facebook.com/663406559</v>
      </c>
      <c r="K646">
        <v>7371</v>
      </c>
      <c r="L646" t="s">
        <v>6063</v>
      </c>
      <c r="N646" t="s">
        <v>13</v>
      </c>
      <c r="O646" t="s">
        <v>2199</v>
      </c>
      <c r="P646" s="2" t="str">
        <f>HYPERLINK("https://www.facebook.com/100001415260849")</f>
        <v>https://www.facebook.com/100001415260849</v>
      </c>
      <c r="Q646">
        <v>0</v>
      </c>
      <c r="R646" t="s">
        <v>6067</v>
      </c>
      <c r="S646" t="s">
        <v>6073</v>
      </c>
    </row>
    <row r="647" spans="1:19" ht="14.25" customHeight="1" x14ac:dyDescent="0.3">
      <c r="A647" t="s">
        <v>2225</v>
      </c>
      <c r="B647" t="s">
        <v>756</v>
      </c>
      <c r="C647" t="s">
        <v>95</v>
      </c>
      <c r="D647" t="s">
        <v>544</v>
      </c>
      <c r="E647" t="s">
        <v>545</v>
      </c>
      <c r="F647" t="s">
        <v>6058</v>
      </c>
      <c r="G647" s="2" t="str">
        <f>HYPERLINK("https://www.facebook.com/811721895616622/posts/372630156556345")</f>
        <v>https://www.facebook.com/811721895616622/posts/372630156556345</v>
      </c>
      <c r="H647" t="s">
        <v>6062</v>
      </c>
      <c r="I647" t="s">
        <v>2733</v>
      </c>
      <c r="J647" s="2" t="str">
        <f>HYPERLINK("https://www.facebook.com/100014280900915")</f>
        <v>https://www.facebook.com/100014280900915</v>
      </c>
      <c r="K647">
        <v>82</v>
      </c>
      <c r="L647" t="s">
        <v>6063</v>
      </c>
      <c r="N647" t="s">
        <v>13</v>
      </c>
      <c r="O647" t="s">
        <v>2734</v>
      </c>
      <c r="P647" s="2" t="str">
        <f>HYPERLINK("https://www.facebook.com/811721895616622")</f>
        <v>https://www.facebook.com/811721895616622</v>
      </c>
      <c r="R647" t="s">
        <v>6067</v>
      </c>
    </row>
    <row r="648" spans="1:19" ht="14.25" customHeight="1" x14ac:dyDescent="0.3">
      <c r="A648" t="s">
        <v>2225</v>
      </c>
      <c r="B648" t="s">
        <v>756</v>
      </c>
      <c r="C648" t="s">
        <v>95</v>
      </c>
      <c r="D648" t="s">
        <v>544</v>
      </c>
      <c r="E648" t="s">
        <v>545</v>
      </c>
      <c r="F648" t="s">
        <v>6058</v>
      </c>
      <c r="G648" s="2" t="str">
        <f>HYPERLINK("https://www.facebook.com/811721895616622/posts/1519783234810481")</f>
        <v>https://www.facebook.com/811721895616622/posts/1519783234810481</v>
      </c>
      <c r="H648" t="s">
        <v>6062</v>
      </c>
      <c r="I648" t="s">
        <v>2733</v>
      </c>
      <c r="J648" s="2" t="str">
        <f>HYPERLINK("https://www.facebook.com/100014280900915")</f>
        <v>https://www.facebook.com/100014280900915</v>
      </c>
      <c r="K648">
        <v>82</v>
      </c>
      <c r="L648" t="s">
        <v>6063</v>
      </c>
      <c r="N648" t="s">
        <v>13</v>
      </c>
      <c r="O648" t="s">
        <v>2734</v>
      </c>
      <c r="P648" s="2" t="str">
        <f>HYPERLINK("https://www.facebook.com/811721895616622")</f>
        <v>https://www.facebook.com/811721895616622</v>
      </c>
      <c r="R648" t="s">
        <v>6067</v>
      </c>
    </row>
    <row r="649" spans="1:19" ht="14.25" customHeight="1" x14ac:dyDescent="0.3">
      <c r="A649" t="s">
        <v>2225</v>
      </c>
      <c r="B649" t="s">
        <v>742</v>
      </c>
      <c r="C649" t="s">
        <v>95</v>
      </c>
      <c r="D649" t="s">
        <v>544</v>
      </c>
      <c r="E649" t="s">
        <v>545</v>
      </c>
      <c r="F649" t="s">
        <v>6058</v>
      </c>
      <c r="G649" s="2" t="str">
        <f>HYPERLINK("https://www.facebook.com/100003146540865/posts/1621317301316472")</f>
        <v>https://www.facebook.com/100003146540865/posts/1621317301316472</v>
      </c>
      <c r="H649" t="s">
        <v>6062</v>
      </c>
      <c r="I649" t="s">
        <v>2671</v>
      </c>
      <c r="J649" s="2" t="str">
        <f>HYPERLINK("https://www.facebook.com/100003146540865")</f>
        <v>https://www.facebook.com/100003146540865</v>
      </c>
      <c r="K649">
        <v>0</v>
      </c>
      <c r="L649" t="s">
        <v>6064</v>
      </c>
      <c r="N649" t="s">
        <v>13</v>
      </c>
      <c r="O649" t="s">
        <v>2671</v>
      </c>
      <c r="P649" s="2" t="str">
        <f>HYPERLINK("https://www.facebook.com/100003146540865")</f>
        <v>https://www.facebook.com/100003146540865</v>
      </c>
      <c r="Q649">
        <v>0</v>
      </c>
      <c r="R649" t="s">
        <v>6067</v>
      </c>
      <c r="S649" t="s">
        <v>6073</v>
      </c>
    </row>
    <row r="650" spans="1:19" ht="14.25" customHeight="1" x14ac:dyDescent="0.3">
      <c r="A650" t="s">
        <v>4439</v>
      </c>
      <c r="B650" t="s">
        <v>4528</v>
      </c>
      <c r="C650" t="s">
        <v>3538</v>
      </c>
      <c r="D650" t="s">
        <v>4529</v>
      </c>
      <c r="E650" t="s">
        <v>4530</v>
      </c>
      <c r="F650" t="s">
        <v>6059</v>
      </c>
      <c r="G650" s="2" t="str">
        <f>HYPERLINK("https://www.facebook.com/762053551/posts/10156279127673552?comment_id=10156358923898552")</f>
        <v>https://www.facebook.com/762053551/posts/10156279127673552?comment_id=10156358923898552</v>
      </c>
      <c r="H650" t="s">
        <v>6062</v>
      </c>
      <c r="I650" t="s">
        <v>4531</v>
      </c>
      <c r="J650" s="2" t="str">
        <f>HYPERLINK("https://www.facebook.com/100000444264109")</f>
        <v>https://www.facebook.com/100000444264109</v>
      </c>
      <c r="K650">
        <v>23746</v>
      </c>
      <c r="L650" t="s">
        <v>6063</v>
      </c>
      <c r="N650" t="s">
        <v>13</v>
      </c>
      <c r="O650" t="s">
        <v>14</v>
      </c>
      <c r="P650" s="2" t="str">
        <f>HYPERLINK("https://www.facebook.com/762053551")</f>
        <v>https://www.facebook.com/762053551</v>
      </c>
      <c r="Q650">
        <v>102347</v>
      </c>
      <c r="R650" t="s">
        <v>6067</v>
      </c>
      <c r="S650" t="s">
        <v>6073</v>
      </c>
    </row>
    <row r="651" spans="1:19" ht="14.25" customHeight="1" x14ac:dyDescent="0.3">
      <c r="A651" t="s">
        <v>2225</v>
      </c>
      <c r="B651" t="s">
        <v>767</v>
      </c>
      <c r="C651" t="s">
        <v>95</v>
      </c>
      <c r="D651" t="s">
        <v>853</v>
      </c>
      <c r="E651" t="s">
        <v>2882</v>
      </c>
      <c r="F651" t="s">
        <v>6059</v>
      </c>
      <c r="G651" s="2" t="str">
        <f>HYPERLINK("https://www.facebook.com/100008934274771/posts/1810262525948206?comment_id=1810265245947934")</f>
        <v>https://www.facebook.com/100008934274771/posts/1810262525948206?comment_id=1810265245947934</v>
      </c>
      <c r="H651" t="s">
        <v>6062</v>
      </c>
      <c r="I651" t="s">
        <v>2883</v>
      </c>
      <c r="J651" s="2" t="str">
        <f>HYPERLINK("https://www.facebook.com/100003362463588")</f>
        <v>https://www.facebook.com/100003362463588</v>
      </c>
      <c r="K651">
        <v>33</v>
      </c>
      <c r="L651" t="s">
        <v>6063</v>
      </c>
      <c r="N651" t="s">
        <v>13</v>
      </c>
      <c r="O651" t="s">
        <v>856</v>
      </c>
      <c r="P651" s="2" t="str">
        <f>HYPERLINK("https://www.facebook.com/100008934274771")</f>
        <v>https://www.facebook.com/100008934274771</v>
      </c>
      <c r="Q651">
        <v>10395</v>
      </c>
      <c r="R651" t="s">
        <v>6067</v>
      </c>
      <c r="S651" t="s">
        <v>6073</v>
      </c>
    </row>
    <row r="652" spans="1:19" ht="14.25" customHeight="1" x14ac:dyDescent="0.3">
      <c r="A652" t="s">
        <v>629</v>
      </c>
      <c r="B652" t="s">
        <v>43</v>
      </c>
      <c r="C652" t="s">
        <v>95</v>
      </c>
      <c r="D652" t="s">
        <v>464</v>
      </c>
      <c r="E652" t="s">
        <v>1308</v>
      </c>
      <c r="F652" t="s">
        <v>6059</v>
      </c>
      <c r="G652" s="2" t="str">
        <f>HYPERLINK("https://www.facebook.com/1362386453/posts/10216460219362335?comment_id=10216467573466183")</f>
        <v>https://www.facebook.com/1362386453/posts/10216460219362335?comment_id=10216467573466183</v>
      </c>
      <c r="H652" t="s">
        <v>6062</v>
      </c>
      <c r="I652" t="s">
        <v>408</v>
      </c>
      <c r="J652" s="2" t="str">
        <f>HYPERLINK("https://www.facebook.com/132754177323554")</f>
        <v>https://www.facebook.com/132754177323554</v>
      </c>
      <c r="K652">
        <v>16569</v>
      </c>
      <c r="L652" t="s">
        <v>6065</v>
      </c>
      <c r="N652" t="s">
        <v>13</v>
      </c>
      <c r="O652" t="s">
        <v>467</v>
      </c>
      <c r="P652" s="2" t="str">
        <f>HYPERLINK("https://www.facebook.com/1362386453")</f>
        <v>https://www.facebook.com/1362386453</v>
      </c>
      <c r="Q652">
        <v>3896</v>
      </c>
      <c r="R652" t="s">
        <v>6067</v>
      </c>
      <c r="S652" t="s">
        <v>6073</v>
      </c>
    </row>
    <row r="653" spans="1:19" ht="14.25" customHeight="1" x14ac:dyDescent="0.3">
      <c r="A653" t="s">
        <v>3527</v>
      </c>
      <c r="B653" t="s">
        <v>977</v>
      </c>
      <c r="C653" t="s">
        <v>95</v>
      </c>
      <c r="D653" t="s">
        <v>690</v>
      </c>
      <c r="E653" t="s">
        <v>4009</v>
      </c>
      <c r="F653" t="s">
        <v>6059</v>
      </c>
      <c r="G653" s="2" t="str">
        <f>HYPERLINK("https://www.facebook.com/278105015535592/posts/1935377959808281?comment_id=1935653436447400")</f>
        <v>https://www.facebook.com/278105015535592/posts/1935377959808281?comment_id=1935653436447400</v>
      </c>
      <c r="H653" t="s">
        <v>6062</v>
      </c>
      <c r="I653" t="s">
        <v>408</v>
      </c>
      <c r="J653" s="2" t="str">
        <f>HYPERLINK("https://www.facebook.com/132754177323554")</f>
        <v>https://www.facebook.com/132754177323554</v>
      </c>
      <c r="K653">
        <v>16569</v>
      </c>
      <c r="L653" t="s">
        <v>6065</v>
      </c>
      <c r="N653" t="s">
        <v>13</v>
      </c>
      <c r="O653" t="s">
        <v>996</v>
      </c>
      <c r="P653" s="2" t="str">
        <f>HYPERLINK("https://www.facebook.com/278105015535592")</f>
        <v>https://www.facebook.com/278105015535592</v>
      </c>
      <c r="Q653">
        <v>4845</v>
      </c>
      <c r="R653" t="s">
        <v>6067</v>
      </c>
    </row>
    <row r="654" spans="1:19" ht="14.25" customHeight="1" x14ac:dyDescent="0.3">
      <c r="A654" t="s">
        <v>2225</v>
      </c>
      <c r="B654" t="s">
        <v>3063</v>
      </c>
      <c r="C654" t="s">
        <v>95</v>
      </c>
      <c r="D654" t="s">
        <v>464</v>
      </c>
      <c r="E654" t="s">
        <v>3064</v>
      </c>
      <c r="F654" t="s">
        <v>6059</v>
      </c>
      <c r="G654" s="2" t="str">
        <f>HYPERLINK("https://www.facebook.com/1362386453/posts/10216460219362335?comment_id=10216460687094028")</f>
        <v>https://www.facebook.com/1362386453/posts/10216460219362335?comment_id=10216460687094028</v>
      </c>
      <c r="H654" t="s">
        <v>6062</v>
      </c>
      <c r="I654" t="s">
        <v>408</v>
      </c>
      <c r="J654" s="2" t="str">
        <f>HYPERLINK("https://www.facebook.com/132754177323554")</f>
        <v>https://www.facebook.com/132754177323554</v>
      </c>
      <c r="K654">
        <v>16569</v>
      </c>
      <c r="L654" t="s">
        <v>6065</v>
      </c>
      <c r="N654" t="s">
        <v>13</v>
      </c>
      <c r="O654" t="s">
        <v>467</v>
      </c>
      <c r="P654" s="2" t="str">
        <f>HYPERLINK("https://www.facebook.com/1362386453")</f>
        <v>https://www.facebook.com/1362386453</v>
      </c>
      <c r="Q654">
        <v>3896</v>
      </c>
      <c r="R654" t="s">
        <v>6067</v>
      </c>
      <c r="S654" t="s">
        <v>6073</v>
      </c>
    </row>
    <row r="655" spans="1:19" ht="14.25" customHeight="1" x14ac:dyDescent="0.3">
      <c r="A655" t="s">
        <v>629</v>
      </c>
      <c r="B655" t="s">
        <v>773</v>
      </c>
      <c r="C655" t="s">
        <v>95</v>
      </c>
      <c r="D655" t="s">
        <v>10</v>
      </c>
      <c r="E655" t="s">
        <v>778</v>
      </c>
      <c r="F655" t="s">
        <v>6059</v>
      </c>
      <c r="G655" s="2" t="str">
        <f>HYPERLINK("https://www.facebook.com/762053551/posts/10156366210158552?comment_id=10156366904898552")</f>
        <v>https://www.facebook.com/762053551/posts/10156366210158552?comment_id=10156366904898552</v>
      </c>
      <c r="H655" t="s">
        <v>6062</v>
      </c>
      <c r="I655" t="s">
        <v>779</v>
      </c>
      <c r="J655" s="2" t="str">
        <f>HYPERLINK("https://www.facebook.com/100003715250164")</f>
        <v>https://www.facebook.com/100003715250164</v>
      </c>
      <c r="K655">
        <v>1624</v>
      </c>
      <c r="L655" t="s">
        <v>6063</v>
      </c>
      <c r="N655" t="s">
        <v>13</v>
      </c>
      <c r="O655" t="s">
        <v>14</v>
      </c>
      <c r="P655" s="2" t="str">
        <f>HYPERLINK("https://www.facebook.com/762053551")</f>
        <v>https://www.facebook.com/762053551</v>
      </c>
      <c r="Q655">
        <v>102347</v>
      </c>
      <c r="R655" t="s">
        <v>6067</v>
      </c>
      <c r="S655" t="s">
        <v>6073</v>
      </c>
    </row>
    <row r="656" spans="1:19" ht="14.25" customHeight="1" x14ac:dyDescent="0.3">
      <c r="A656" t="s">
        <v>5409</v>
      </c>
      <c r="B656" t="s">
        <v>862</v>
      </c>
      <c r="C656" t="s">
        <v>3538</v>
      </c>
      <c r="D656" t="s">
        <v>3780</v>
      </c>
      <c r="E656" t="s">
        <v>4672</v>
      </c>
      <c r="F656" t="s">
        <v>6058</v>
      </c>
      <c r="G656" s="2" t="str">
        <f>HYPERLINK("https://www.facebook.com/100024455791509/posts/157023968456129")</f>
        <v>https://www.facebook.com/100024455791509/posts/157023968456129</v>
      </c>
      <c r="H656" t="s">
        <v>6062</v>
      </c>
      <c r="I656" t="s">
        <v>1545</v>
      </c>
      <c r="J656" s="2" t="str">
        <f>HYPERLINK("https://www.facebook.com/100024455791509")</f>
        <v>https://www.facebook.com/100024455791509</v>
      </c>
      <c r="K656">
        <v>422</v>
      </c>
      <c r="L656" t="s">
        <v>6063</v>
      </c>
      <c r="N656" t="s">
        <v>13</v>
      </c>
      <c r="O656" t="s">
        <v>1545</v>
      </c>
      <c r="P656" s="2" t="str">
        <f>HYPERLINK("https://www.facebook.com/100024455791509")</f>
        <v>https://www.facebook.com/100024455791509</v>
      </c>
      <c r="Q656">
        <v>422</v>
      </c>
      <c r="R656" t="s">
        <v>6067</v>
      </c>
      <c r="S656" t="s">
        <v>6073</v>
      </c>
    </row>
    <row r="657" spans="1:19" ht="14.25" customHeight="1" x14ac:dyDescent="0.3">
      <c r="A657" t="s">
        <v>629</v>
      </c>
      <c r="B657" t="s">
        <v>338</v>
      </c>
      <c r="C657" t="s">
        <v>95</v>
      </c>
      <c r="D657" t="s">
        <v>370</v>
      </c>
      <c r="E657" t="s">
        <v>371</v>
      </c>
      <c r="F657" t="s">
        <v>6058</v>
      </c>
      <c r="G657" s="2" t="str">
        <f>HYPERLINK("https://www.facebook.com/100024455791509/posts/159917408166785")</f>
        <v>https://www.facebook.com/100024455791509/posts/159917408166785</v>
      </c>
      <c r="H657" t="s">
        <v>6062</v>
      </c>
      <c r="I657" t="s">
        <v>1545</v>
      </c>
      <c r="J657" s="2" t="str">
        <f>HYPERLINK("https://www.facebook.com/100024455791509")</f>
        <v>https://www.facebook.com/100024455791509</v>
      </c>
      <c r="K657">
        <v>422</v>
      </c>
      <c r="L657" t="s">
        <v>6063</v>
      </c>
      <c r="N657" t="s">
        <v>13</v>
      </c>
      <c r="O657" t="s">
        <v>1545</v>
      </c>
      <c r="P657" s="2" t="str">
        <f>HYPERLINK("https://www.facebook.com/100024455791509")</f>
        <v>https://www.facebook.com/100024455791509</v>
      </c>
      <c r="Q657">
        <v>422</v>
      </c>
      <c r="R657" t="s">
        <v>6067</v>
      </c>
      <c r="S657" t="s">
        <v>6073</v>
      </c>
    </row>
    <row r="658" spans="1:19" ht="14.25" customHeight="1" x14ac:dyDescent="0.3">
      <c r="A658" t="s">
        <v>629</v>
      </c>
      <c r="B658" t="s">
        <v>1557</v>
      </c>
      <c r="C658" t="s">
        <v>95</v>
      </c>
      <c r="D658" t="s">
        <v>370</v>
      </c>
      <c r="E658" t="s">
        <v>371</v>
      </c>
      <c r="F658" t="s">
        <v>6058</v>
      </c>
      <c r="G658" s="2" t="str">
        <f>HYPERLINK("https://www.facebook.com/100024455791509/posts/159914994833693")</f>
        <v>https://www.facebook.com/100024455791509/posts/159914994833693</v>
      </c>
      <c r="H658" t="s">
        <v>6062</v>
      </c>
      <c r="I658" t="s">
        <v>1545</v>
      </c>
      <c r="J658" s="2" t="str">
        <f>HYPERLINK("https://www.facebook.com/100024455791509")</f>
        <v>https://www.facebook.com/100024455791509</v>
      </c>
      <c r="K658">
        <v>422</v>
      </c>
      <c r="L658" t="s">
        <v>6063</v>
      </c>
      <c r="N658" t="s">
        <v>13</v>
      </c>
      <c r="O658" t="s">
        <v>1545</v>
      </c>
      <c r="P658" s="2" t="str">
        <f>HYPERLINK("https://www.facebook.com/100024455791509")</f>
        <v>https://www.facebook.com/100024455791509</v>
      </c>
      <c r="Q658">
        <v>422</v>
      </c>
      <c r="R658" t="s">
        <v>6067</v>
      </c>
      <c r="S658" t="s">
        <v>6073</v>
      </c>
    </row>
    <row r="659" spans="1:19" ht="14.25" customHeight="1" x14ac:dyDescent="0.3">
      <c r="A659" t="s">
        <v>629</v>
      </c>
      <c r="B659" t="s">
        <v>1014</v>
      </c>
      <c r="C659" t="s">
        <v>95</v>
      </c>
      <c r="D659" t="s">
        <v>10</v>
      </c>
      <c r="E659" t="s">
        <v>1015</v>
      </c>
      <c r="F659" t="s">
        <v>6059</v>
      </c>
      <c r="G659" s="2" t="str">
        <f>HYPERLINK("https://www.facebook.com/762053551/posts/10156366210158552?comment_id=10156366392588552")</f>
        <v>https://www.facebook.com/762053551/posts/10156366210158552?comment_id=10156366392588552</v>
      </c>
      <c r="H659" t="s">
        <v>6062</v>
      </c>
      <c r="I659" t="s">
        <v>1016</v>
      </c>
      <c r="J659" s="2" t="str">
        <f>HYPERLINK("https://www.facebook.com/100000741098121")</f>
        <v>https://www.facebook.com/100000741098121</v>
      </c>
      <c r="K659">
        <v>57</v>
      </c>
      <c r="L659" t="s">
        <v>6063</v>
      </c>
      <c r="N659" t="s">
        <v>13</v>
      </c>
      <c r="O659" t="s">
        <v>14</v>
      </c>
      <c r="P659" s="2" t="str">
        <f>HYPERLINK("https://www.facebook.com/762053551")</f>
        <v>https://www.facebook.com/762053551</v>
      </c>
      <c r="Q659">
        <v>102347</v>
      </c>
      <c r="R659" t="s">
        <v>6067</v>
      </c>
      <c r="S659" t="s">
        <v>6073</v>
      </c>
    </row>
    <row r="660" spans="1:19" ht="14.25" customHeight="1" x14ac:dyDescent="0.3">
      <c r="A660" t="s">
        <v>629</v>
      </c>
      <c r="B660" t="s">
        <v>1017</v>
      </c>
      <c r="C660" t="s">
        <v>95</v>
      </c>
      <c r="D660" t="s">
        <v>10</v>
      </c>
      <c r="E660" t="s">
        <v>1018</v>
      </c>
      <c r="F660" t="s">
        <v>6059</v>
      </c>
      <c r="G660" s="2" t="str">
        <f>HYPERLINK("https://www.facebook.com/762053551/posts/10156366210158552?comment_id=10156366390493552")</f>
        <v>https://www.facebook.com/762053551/posts/10156366210158552?comment_id=10156366390493552</v>
      </c>
      <c r="H660" t="s">
        <v>6062</v>
      </c>
      <c r="I660" t="s">
        <v>1016</v>
      </c>
      <c r="J660" s="2" t="str">
        <f>HYPERLINK("https://www.facebook.com/100000741098121")</f>
        <v>https://www.facebook.com/100000741098121</v>
      </c>
      <c r="K660">
        <v>57</v>
      </c>
      <c r="L660" t="s">
        <v>6063</v>
      </c>
      <c r="N660" t="s">
        <v>13</v>
      </c>
      <c r="O660" t="s">
        <v>14</v>
      </c>
      <c r="P660" s="2" t="str">
        <f>HYPERLINK("https://www.facebook.com/762053551")</f>
        <v>https://www.facebook.com/762053551</v>
      </c>
      <c r="Q660">
        <v>102347</v>
      </c>
      <c r="R660" t="s">
        <v>6067</v>
      </c>
      <c r="S660" t="s">
        <v>6073</v>
      </c>
    </row>
    <row r="661" spans="1:19" ht="14.25" customHeight="1" x14ac:dyDescent="0.3">
      <c r="A661" t="s">
        <v>1</v>
      </c>
      <c r="B661" t="s">
        <v>15</v>
      </c>
      <c r="C661" t="s">
        <v>16</v>
      </c>
      <c r="D661" t="s">
        <v>10</v>
      </c>
      <c r="E661" t="s">
        <v>17</v>
      </c>
      <c r="F661" t="s">
        <v>6059</v>
      </c>
      <c r="G661" s="2" t="str">
        <f>HYPERLINK("https://www.facebook.com/762053551/posts/10156366210158552?comment_id=10156368610688552")</f>
        <v>https://www.facebook.com/762053551/posts/10156366210158552?comment_id=10156368610688552</v>
      </c>
      <c r="H661" t="s">
        <v>6062</v>
      </c>
      <c r="I661" t="s">
        <v>18</v>
      </c>
      <c r="J661" s="2" t="str">
        <f>HYPERLINK("https://www.facebook.com/1047762916")</f>
        <v>https://www.facebook.com/1047762916</v>
      </c>
      <c r="K661">
        <v>1724</v>
      </c>
      <c r="L661" t="s">
        <v>6063</v>
      </c>
      <c r="N661" t="s">
        <v>13</v>
      </c>
      <c r="O661" t="s">
        <v>14</v>
      </c>
      <c r="P661" s="2" t="str">
        <f>HYPERLINK("https://www.facebook.com/762053551")</f>
        <v>https://www.facebook.com/762053551</v>
      </c>
      <c r="Q661">
        <v>102347</v>
      </c>
      <c r="R661" t="s">
        <v>6067</v>
      </c>
      <c r="S661" t="s">
        <v>6073</v>
      </c>
    </row>
    <row r="662" spans="1:19" ht="14.25" customHeight="1" x14ac:dyDescent="0.3">
      <c r="A662" t="s">
        <v>3527</v>
      </c>
      <c r="B662" t="s">
        <v>3585</v>
      </c>
      <c r="C662" t="s">
        <v>95</v>
      </c>
      <c r="D662" t="s">
        <v>3483</v>
      </c>
      <c r="E662" t="s">
        <v>3484</v>
      </c>
      <c r="F662" t="s">
        <v>6058</v>
      </c>
      <c r="G662" s="2" t="str">
        <f>HYPERLINK("https://www.facebook.com/100000460794469/posts/2159615250730480")</f>
        <v>https://www.facebook.com/100000460794469/posts/2159615250730480</v>
      </c>
      <c r="H662" t="s">
        <v>6062</v>
      </c>
      <c r="I662" t="s">
        <v>2432</v>
      </c>
      <c r="J662" s="2" t="str">
        <f>HYPERLINK("https://www.facebook.com/100000460794469")</f>
        <v>https://www.facebook.com/100000460794469</v>
      </c>
      <c r="K662">
        <v>0</v>
      </c>
      <c r="L662" t="s">
        <v>6064</v>
      </c>
      <c r="N662" t="s">
        <v>13</v>
      </c>
      <c r="O662" t="s">
        <v>2432</v>
      </c>
      <c r="P662" s="2" t="str">
        <f>HYPERLINK("https://www.facebook.com/100000460794469")</f>
        <v>https://www.facebook.com/100000460794469</v>
      </c>
      <c r="Q662">
        <v>0</v>
      </c>
      <c r="R662" t="s">
        <v>6067</v>
      </c>
    </row>
    <row r="663" spans="1:19" ht="14.25" customHeight="1" x14ac:dyDescent="0.3">
      <c r="A663" t="s">
        <v>2225</v>
      </c>
      <c r="B663" t="s">
        <v>2428</v>
      </c>
      <c r="C663" t="s">
        <v>95</v>
      </c>
      <c r="D663" t="s">
        <v>544</v>
      </c>
      <c r="E663" t="s">
        <v>545</v>
      </c>
      <c r="F663" t="s">
        <v>6058</v>
      </c>
      <c r="G663" s="2" t="str">
        <f>HYPERLINK("https://www.facebook.com/100000460794469/posts/2161060947252577")</f>
        <v>https://www.facebook.com/100000460794469/posts/2161060947252577</v>
      </c>
      <c r="H663" t="s">
        <v>6062</v>
      </c>
      <c r="I663" t="s">
        <v>2432</v>
      </c>
      <c r="J663" s="2" t="str">
        <f>HYPERLINK("https://www.facebook.com/100000460794469")</f>
        <v>https://www.facebook.com/100000460794469</v>
      </c>
      <c r="K663">
        <v>0</v>
      </c>
      <c r="L663" t="s">
        <v>6064</v>
      </c>
      <c r="N663" t="s">
        <v>13</v>
      </c>
      <c r="O663" t="s">
        <v>2432</v>
      </c>
      <c r="P663" s="2" t="str">
        <f>HYPERLINK("https://www.facebook.com/100000460794469")</f>
        <v>https://www.facebook.com/100000460794469</v>
      </c>
      <c r="Q663">
        <v>0</v>
      </c>
      <c r="R663" t="s">
        <v>6067</v>
      </c>
    </row>
    <row r="664" spans="1:19" ht="14.25" customHeight="1" x14ac:dyDescent="0.3">
      <c r="A664" t="s">
        <v>629</v>
      </c>
      <c r="B664" t="s">
        <v>430</v>
      </c>
      <c r="C664" t="s">
        <v>95</v>
      </c>
      <c r="D664" t="s">
        <v>370</v>
      </c>
      <c r="E664" t="s">
        <v>371</v>
      </c>
      <c r="F664" t="s">
        <v>6058</v>
      </c>
      <c r="G664" s="2" t="str">
        <f>HYPERLINK("https://www.facebook.com/100001109698122/posts/1790514637662175")</f>
        <v>https://www.facebook.com/100001109698122/posts/1790514637662175</v>
      </c>
      <c r="H664" t="s">
        <v>6062</v>
      </c>
      <c r="I664" t="s">
        <v>1835</v>
      </c>
      <c r="J664" s="2" t="str">
        <f>HYPERLINK("https://www.facebook.com/100001109698122")</f>
        <v>https://www.facebook.com/100001109698122</v>
      </c>
      <c r="K664">
        <v>55</v>
      </c>
      <c r="L664" t="s">
        <v>6063</v>
      </c>
      <c r="N664" t="s">
        <v>13</v>
      </c>
      <c r="O664" t="s">
        <v>1835</v>
      </c>
      <c r="P664" s="2" t="str">
        <f>HYPERLINK("https://www.facebook.com/100001109698122")</f>
        <v>https://www.facebook.com/100001109698122</v>
      </c>
      <c r="Q664">
        <v>55</v>
      </c>
      <c r="R664" t="s">
        <v>6067</v>
      </c>
      <c r="S664" t="s">
        <v>6112</v>
      </c>
    </row>
    <row r="665" spans="1:19" ht="14.25" customHeight="1" x14ac:dyDescent="0.3">
      <c r="A665" t="s">
        <v>629</v>
      </c>
      <c r="B665" t="s">
        <v>773</v>
      </c>
      <c r="C665" t="s">
        <v>95</v>
      </c>
      <c r="D665" t="s">
        <v>774</v>
      </c>
      <c r="E665" t="s">
        <v>775</v>
      </c>
      <c r="F665" t="s">
        <v>6059</v>
      </c>
      <c r="G665" s="2" t="str">
        <f>HYPERLINK("https://www.facebook.com/100002809245911/posts/1274385559331740?comment_id=1274395769330719")</f>
        <v>https://www.facebook.com/100002809245911/posts/1274385559331740?comment_id=1274395769330719</v>
      </c>
      <c r="H665" t="s">
        <v>6062</v>
      </c>
      <c r="I665" t="s">
        <v>776</v>
      </c>
      <c r="J665" s="2" t="str">
        <f>HYPERLINK("https://www.facebook.com/100007706051377")</f>
        <v>https://www.facebook.com/100007706051377</v>
      </c>
      <c r="K665">
        <v>0</v>
      </c>
      <c r="L665" t="s">
        <v>6063</v>
      </c>
      <c r="M665">
        <v>25</v>
      </c>
      <c r="N665" t="s">
        <v>13</v>
      </c>
      <c r="O665" t="s">
        <v>777</v>
      </c>
      <c r="P665" s="2" t="str">
        <f>HYPERLINK("https://www.facebook.com/100002809245911")</f>
        <v>https://www.facebook.com/100002809245911</v>
      </c>
      <c r="Q665">
        <v>0</v>
      </c>
      <c r="R665" t="s">
        <v>6067</v>
      </c>
      <c r="S665" t="s">
        <v>6073</v>
      </c>
    </row>
    <row r="666" spans="1:19" ht="14.25" customHeight="1" x14ac:dyDescent="0.3">
      <c r="A666" t="s">
        <v>2225</v>
      </c>
      <c r="B666" t="s">
        <v>723</v>
      </c>
      <c r="C666" t="s">
        <v>95</v>
      </c>
      <c r="D666" t="s">
        <v>853</v>
      </c>
      <c r="E666" t="s">
        <v>2445</v>
      </c>
      <c r="F666" t="s">
        <v>6059</v>
      </c>
      <c r="G666" s="2" t="str">
        <f>HYPERLINK("https://www.facebook.com/100008934274771/posts/1810262525948206?comment_id=1810294579278334")</f>
        <v>https://www.facebook.com/100008934274771/posts/1810262525948206?comment_id=1810294579278334</v>
      </c>
      <c r="H666" t="s">
        <v>6062</v>
      </c>
      <c r="I666" t="s">
        <v>2446</v>
      </c>
      <c r="J666" s="2" t="str">
        <f>HYPERLINK("https://www.facebook.com/100009117621577")</f>
        <v>https://www.facebook.com/100009117621577</v>
      </c>
      <c r="K666">
        <v>4442</v>
      </c>
      <c r="L666" t="s">
        <v>6063</v>
      </c>
      <c r="N666" t="s">
        <v>13</v>
      </c>
      <c r="O666" t="s">
        <v>856</v>
      </c>
      <c r="P666" s="2" t="str">
        <f>HYPERLINK("https://www.facebook.com/100008934274771")</f>
        <v>https://www.facebook.com/100008934274771</v>
      </c>
      <c r="Q666">
        <v>10395</v>
      </c>
      <c r="R666" t="s">
        <v>6067</v>
      </c>
      <c r="S666" t="s">
        <v>6073</v>
      </c>
    </row>
    <row r="667" spans="1:19" ht="14.25" customHeight="1" x14ac:dyDescent="0.3">
      <c r="A667" t="s">
        <v>629</v>
      </c>
      <c r="B667" t="s">
        <v>178</v>
      </c>
      <c r="C667" t="s">
        <v>95</v>
      </c>
      <c r="D667" t="s">
        <v>1421</v>
      </c>
      <c r="E667" t="s">
        <v>1422</v>
      </c>
      <c r="F667" t="s">
        <v>6056</v>
      </c>
      <c r="G667" s="2" t="str">
        <f>HYPERLINK("https://www.facebook.com/218843318500440/posts/571670323217736")</f>
        <v>https://www.facebook.com/218843318500440/posts/571670323217736</v>
      </c>
      <c r="H667" t="s">
        <v>6062</v>
      </c>
      <c r="I667" t="s">
        <v>1423</v>
      </c>
      <c r="J667" s="2" t="str">
        <f>HYPERLINK("https://www.facebook.com/1293362063")</f>
        <v>https://www.facebook.com/1293362063</v>
      </c>
      <c r="K667">
        <v>0</v>
      </c>
      <c r="L667" t="s">
        <v>6063</v>
      </c>
      <c r="N667" t="s">
        <v>13</v>
      </c>
      <c r="O667" t="s">
        <v>424</v>
      </c>
      <c r="P667" s="2" t="str">
        <f>HYPERLINK("https://www.facebook.com/218843318500440")</f>
        <v>https://www.facebook.com/218843318500440</v>
      </c>
      <c r="Q667">
        <v>28144</v>
      </c>
      <c r="R667" t="s">
        <v>6067</v>
      </c>
      <c r="S667" t="s">
        <v>6095</v>
      </c>
    </row>
    <row r="668" spans="1:19" ht="14.25" customHeight="1" x14ac:dyDescent="0.3">
      <c r="A668" t="s">
        <v>629</v>
      </c>
      <c r="B668" t="s">
        <v>638</v>
      </c>
      <c r="C668" t="s">
        <v>95</v>
      </c>
      <c r="D668" t="s">
        <v>10</v>
      </c>
      <c r="E668" t="s">
        <v>639</v>
      </c>
      <c r="F668" t="s">
        <v>6059</v>
      </c>
      <c r="G668" s="2" t="str">
        <f>HYPERLINK("https://www.facebook.com/762053551/posts/10156366210158552?comment_id=10156367267808552")</f>
        <v>https://www.facebook.com/762053551/posts/10156366210158552?comment_id=10156367267808552</v>
      </c>
      <c r="H668" t="s">
        <v>6062</v>
      </c>
      <c r="I668" t="s">
        <v>443</v>
      </c>
      <c r="J668" s="2" t="str">
        <f t="shared" ref="J668:J675" si="13">HYPERLINK("https://www.facebook.com/100001242196915")</f>
        <v>https://www.facebook.com/100001242196915</v>
      </c>
      <c r="K668">
        <v>411</v>
      </c>
      <c r="L668" t="s">
        <v>6063</v>
      </c>
      <c r="N668" t="s">
        <v>13</v>
      </c>
      <c r="O668" t="s">
        <v>14</v>
      </c>
      <c r="P668" s="2" t="str">
        <f>HYPERLINK("https://www.facebook.com/762053551")</f>
        <v>https://www.facebook.com/762053551</v>
      </c>
      <c r="Q668">
        <v>102347</v>
      </c>
      <c r="R668" t="s">
        <v>6067</v>
      </c>
      <c r="S668" t="s">
        <v>6073</v>
      </c>
    </row>
    <row r="669" spans="1:19" ht="14.25" customHeight="1" x14ac:dyDescent="0.3">
      <c r="A669" t="s">
        <v>1</v>
      </c>
      <c r="B669" t="s">
        <v>601</v>
      </c>
      <c r="C669" t="s">
        <v>95</v>
      </c>
      <c r="D669" t="s">
        <v>10</v>
      </c>
      <c r="E669" t="s">
        <v>602</v>
      </c>
      <c r="F669" t="s">
        <v>6059</v>
      </c>
      <c r="G669" s="2" t="str">
        <f>HYPERLINK("https://www.facebook.com/1070092426/posts/10213398046920195?comment_id=10213399323192101")</f>
        <v>https://www.facebook.com/1070092426/posts/10213398046920195?comment_id=10213399323192101</v>
      </c>
      <c r="H669" t="s">
        <v>6062</v>
      </c>
      <c r="I669" t="s">
        <v>443</v>
      </c>
      <c r="J669" s="2" t="str">
        <f t="shared" si="13"/>
        <v>https://www.facebook.com/100001242196915</v>
      </c>
      <c r="K669">
        <v>411</v>
      </c>
      <c r="L669" t="s">
        <v>6063</v>
      </c>
      <c r="N669" t="s">
        <v>13</v>
      </c>
      <c r="O669" t="s">
        <v>314</v>
      </c>
      <c r="P669" s="2" t="str">
        <f>HYPERLINK("https://www.facebook.com/1070092426")</f>
        <v>https://www.facebook.com/1070092426</v>
      </c>
      <c r="Q669">
        <v>5892</v>
      </c>
      <c r="R669" t="s">
        <v>6067</v>
      </c>
      <c r="S669" t="s">
        <v>6073</v>
      </c>
    </row>
    <row r="670" spans="1:19" ht="14.25" customHeight="1" x14ac:dyDescent="0.3">
      <c r="A670" t="s">
        <v>1</v>
      </c>
      <c r="B670" t="s">
        <v>603</v>
      </c>
      <c r="C670" t="s">
        <v>95</v>
      </c>
      <c r="D670" t="s">
        <v>10</v>
      </c>
      <c r="E670" t="s">
        <v>604</v>
      </c>
      <c r="F670" t="s">
        <v>6059</v>
      </c>
      <c r="G670" s="2" t="str">
        <f>HYPERLINK("https://www.facebook.com/1070092426/posts/10213398046920195?comment_id=10213399306831692")</f>
        <v>https://www.facebook.com/1070092426/posts/10213398046920195?comment_id=10213399306831692</v>
      </c>
      <c r="H670" t="s">
        <v>6062</v>
      </c>
      <c r="I670" t="s">
        <v>443</v>
      </c>
      <c r="J670" s="2" t="str">
        <f t="shared" si="13"/>
        <v>https://www.facebook.com/100001242196915</v>
      </c>
      <c r="K670">
        <v>411</v>
      </c>
      <c r="L670" t="s">
        <v>6063</v>
      </c>
      <c r="N670" t="s">
        <v>13</v>
      </c>
      <c r="O670" t="s">
        <v>314</v>
      </c>
      <c r="P670" s="2" t="str">
        <f>HYPERLINK("https://www.facebook.com/1070092426")</f>
        <v>https://www.facebook.com/1070092426</v>
      </c>
      <c r="Q670">
        <v>5892</v>
      </c>
      <c r="R670" t="s">
        <v>6067</v>
      </c>
      <c r="S670" t="s">
        <v>6073</v>
      </c>
    </row>
    <row r="671" spans="1:19" ht="14.25" customHeight="1" x14ac:dyDescent="0.3">
      <c r="A671" t="s">
        <v>1</v>
      </c>
      <c r="B671" t="s">
        <v>607</v>
      </c>
      <c r="C671" t="s">
        <v>95</v>
      </c>
      <c r="D671" t="s">
        <v>10</v>
      </c>
      <c r="E671" t="s">
        <v>608</v>
      </c>
      <c r="F671" t="s">
        <v>6059</v>
      </c>
      <c r="G671" s="2" t="str">
        <f>HYPERLINK("https://www.facebook.com/1070092426/posts/10213398046920195?comment_id=10213399286071173")</f>
        <v>https://www.facebook.com/1070092426/posts/10213398046920195?comment_id=10213399286071173</v>
      </c>
      <c r="H671" t="s">
        <v>6062</v>
      </c>
      <c r="I671" t="s">
        <v>443</v>
      </c>
      <c r="J671" s="2" t="str">
        <f t="shared" si="13"/>
        <v>https://www.facebook.com/100001242196915</v>
      </c>
      <c r="K671">
        <v>411</v>
      </c>
      <c r="L671" t="s">
        <v>6063</v>
      </c>
      <c r="N671" t="s">
        <v>13</v>
      </c>
      <c r="O671" t="s">
        <v>314</v>
      </c>
      <c r="P671" s="2" t="str">
        <f>HYPERLINK("https://www.facebook.com/1070092426")</f>
        <v>https://www.facebook.com/1070092426</v>
      </c>
      <c r="Q671">
        <v>5892</v>
      </c>
      <c r="R671" t="s">
        <v>6067</v>
      </c>
      <c r="S671" t="s">
        <v>6073</v>
      </c>
    </row>
    <row r="672" spans="1:19" ht="14.25" customHeight="1" x14ac:dyDescent="0.3">
      <c r="A672" t="s">
        <v>1</v>
      </c>
      <c r="B672" t="s">
        <v>441</v>
      </c>
      <c r="C672" t="s">
        <v>95</v>
      </c>
      <c r="D672" t="s">
        <v>10</v>
      </c>
      <c r="E672" t="s">
        <v>442</v>
      </c>
      <c r="F672" t="s">
        <v>6059</v>
      </c>
      <c r="G672" s="2" t="str">
        <f>HYPERLINK("https://www.facebook.com/1070092426/posts/10213398046920195?comment_id=10213402060980544")</f>
        <v>https://www.facebook.com/1070092426/posts/10213398046920195?comment_id=10213402060980544</v>
      </c>
      <c r="H672" t="s">
        <v>6062</v>
      </c>
      <c r="I672" t="s">
        <v>443</v>
      </c>
      <c r="J672" s="2" t="str">
        <f t="shared" si="13"/>
        <v>https://www.facebook.com/100001242196915</v>
      </c>
      <c r="K672">
        <v>411</v>
      </c>
      <c r="L672" t="s">
        <v>6063</v>
      </c>
      <c r="N672" t="s">
        <v>13</v>
      </c>
      <c r="O672" t="s">
        <v>314</v>
      </c>
      <c r="P672" s="2" t="str">
        <f>HYPERLINK("https://www.facebook.com/1070092426")</f>
        <v>https://www.facebook.com/1070092426</v>
      </c>
      <c r="Q672">
        <v>5892</v>
      </c>
      <c r="R672" t="s">
        <v>6067</v>
      </c>
      <c r="S672" t="s">
        <v>6073</v>
      </c>
    </row>
    <row r="673" spans="1:19" ht="14.25" customHeight="1" x14ac:dyDescent="0.3">
      <c r="A673" t="s">
        <v>629</v>
      </c>
      <c r="B673" t="s">
        <v>636</v>
      </c>
      <c r="C673" t="s">
        <v>95</v>
      </c>
      <c r="D673" t="s">
        <v>10</v>
      </c>
      <c r="E673" t="s">
        <v>637</v>
      </c>
      <c r="F673" t="s">
        <v>6059</v>
      </c>
      <c r="G673" s="2" t="str">
        <f>HYPERLINK("https://www.facebook.com/762053551/posts/10156366210158552?comment_id=10156367272233552")</f>
        <v>https://www.facebook.com/762053551/posts/10156366210158552?comment_id=10156367272233552</v>
      </c>
      <c r="H673" t="s">
        <v>6062</v>
      </c>
      <c r="I673" t="s">
        <v>443</v>
      </c>
      <c r="J673" s="2" t="str">
        <f t="shared" si="13"/>
        <v>https://www.facebook.com/100001242196915</v>
      </c>
      <c r="K673">
        <v>411</v>
      </c>
      <c r="L673" t="s">
        <v>6063</v>
      </c>
      <c r="N673" t="s">
        <v>13</v>
      </c>
      <c r="O673" t="s">
        <v>14</v>
      </c>
      <c r="P673" s="2" t="str">
        <f>HYPERLINK("https://www.facebook.com/762053551")</f>
        <v>https://www.facebook.com/762053551</v>
      </c>
      <c r="Q673">
        <v>102347</v>
      </c>
      <c r="R673" t="s">
        <v>6067</v>
      </c>
      <c r="S673" t="s">
        <v>6073</v>
      </c>
    </row>
    <row r="674" spans="1:19" ht="14.25" customHeight="1" x14ac:dyDescent="0.3">
      <c r="A674" t="s">
        <v>629</v>
      </c>
      <c r="B674" t="s">
        <v>643</v>
      </c>
      <c r="C674" t="s">
        <v>95</v>
      </c>
      <c r="D674" t="s">
        <v>10</v>
      </c>
      <c r="E674" t="s">
        <v>644</v>
      </c>
      <c r="F674" t="s">
        <v>6059</v>
      </c>
      <c r="G674" s="2" t="str">
        <f>HYPERLINK("https://www.facebook.com/762053551/posts/10156366210158552?comment_id=10156367264753552")</f>
        <v>https://www.facebook.com/762053551/posts/10156366210158552?comment_id=10156367264753552</v>
      </c>
      <c r="H674" t="s">
        <v>6062</v>
      </c>
      <c r="I674" t="s">
        <v>443</v>
      </c>
      <c r="J674" s="2" t="str">
        <f t="shared" si="13"/>
        <v>https://www.facebook.com/100001242196915</v>
      </c>
      <c r="K674">
        <v>411</v>
      </c>
      <c r="L674" t="s">
        <v>6063</v>
      </c>
      <c r="N674" t="s">
        <v>13</v>
      </c>
      <c r="O674" t="s">
        <v>14</v>
      </c>
      <c r="P674" s="2" t="str">
        <f>HYPERLINK("https://www.facebook.com/762053551")</f>
        <v>https://www.facebook.com/762053551</v>
      </c>
      <c r="Q674">
        <v>102347</v>
      </c>
      <c r="R674" t="s">
        <v>6067</v>
      </c>
      <c r="S674" t="s">
        <v>6073</v>
      </c>
    </row>
    <row r="675" spans="1:19" ht="14.25" customHeight="1" x14ac:dyDescent="0.3">
      <c r="A675" t="s">
        <v>1</v>
      </c>
      <c r="B675" t="s">
        <v>615</v>
      </c>
      <c r="C675" t="s">
        <v>95</v>
      </c>
      <c r="D675" t="s">
        <v>10</v>
      </c>
      <c r="E675" t="s">
        <v>616</v>
      </c>
      <c r="F675" t="s">
        <v>6059</v>
      </c>
      <c r="G675" s="2" t="str">
        <f>HYPERLINK("https://www.facebook.com/1070092426/posts/10213398046920195?comment_id=10213399273790866")</f>
        <v>https://www.facebook.com/1070092426/posts/10213398046920195?comment_id=10213399273790866</v>
      </c>
      <c r="H675" t="s">
        <v>6062</v>
      </c>
      <c r="I675" t="s">
        <v>443</v>
      </c>
      <c r="J675" s="2" t="str">
        <f t="shared" si="13"/>
        <v>https://www.facebook.com/100001242196915</v>
      </c>
      <c r="K675">
        <v>411</v>
      </c>
      <c r="L675" t="s">
        <v>6063</v>
      </c>
      <c r="N675" t="s">
        <v>13</v>
      </c>
      <c r="O675" t="s">
        <v>314</v>
      </c>
      <c r="P675" s="2" t="str">
        <f>HYPERLINK("https://www.facebook.com/1070092426")</f>
        <v>https://www.facebook.com/1070092426</v>
      </c>
      <c r="Q675">
        <v>5892</v>
      </c>
      <c r="R675" t="s">
        <v>6067</v>
      </c>
      <c r="S675" t="s">
        <v>6073</v>
      </c>
    </row>
    <row r="676" spans="1:19" ht="14.25" customHeight="1" x14ac:dyDescent="0.3">
      <c r="A676" t="s">
        <v>3527</v>
      </c>
      <c r="B676" t="s">
        <v>3562</v>
      </c>
      <c r="C676" t="s">
        <v>95</v>
      </c>
      <c r="D676" t="s">
        <v>2929</v>
      </c>
      <c r="E676" t="s">
        <v>3563</v>
      </c>
      <c r="F676" t="s">
        <v>6058</v>
      </c>
      <c r="G676" s="2" t="str">
        <f>HYPERLINK("https://www.facebook.com/100010904382173/posts/566230787083729")</f>
        <v>https://www.facebook.com/100010904382173/posts/566230787083729</v>
      </c>
      <c r="H676" t="s">
        <v>6062</v>
      </c>
      <c r="I676" t="s">
        <v>3564</v>
      </c>
      <c r="J676" s="2" t="str">
        <f>HYPERLINK("https://www.facebook.com/100010904382173")</f>
        <v>https://www.facebook.com/100010904382173</v>
      </c>
      <c r="K676">
        <v>40</v>
      </c>
      <c r="L676" t="s">
        <v>6063</v>
      </c>
      <c r="N676" t="s">
        <v>13</v>
      </c>
      <c r="O676" t="s">
        <v>3564</v>
      </c>
      <c r="P676" s="2" t="str">
        <f>HYPERLINK("https://www.facebook.com/100010904382173")</f>
        <v>https://www.facebook.com/100010904382173</v>
      </c>
      <c r="Q676">
        <v>40</v>
      </c>
      <c r="R676" t="s">
        <v>6067</v>
      </c>
      <c r="S676" t="s">
        <v>6073</v>
      </c>
    </row>
    <row r="677" spans="1:19" ht="14.25" customHeight="1" x14ac:dyDescent="0.3">
      <c r="A677" t="s">
        <v>629</v>
      </c>
      <c r="B677" t="s">
        <v>411</v>
      </c>
      <c r="C677" t="s">
        <v>95</v>
      </c>
      <c r="D677" t="s">
        <v>1776</v>
      </c>
      <c r="E677" t="s">
        <v>1777</v>
      </c>
      <c r="F677" t="s">
        <v>6057</v>
      </c>
      <c r="G677" s="2" t="str">
        <f>HYPERLINK("https://www.facebook.com/100002321474929/posts/1623506911070009")</f>
        <v>https://www.facebook.com/100002321474929/posts/1623506911070009</v>
      </c>
      <c r="H677" t="s">
        <v>6062</v>
      </c>
      <c r="I677" t="s">
        <v>1778</v>
      </c>
      <c r="J677" s="2" t="str">
        <f>HYPERLINK("https://www.facebook.com/100002321474929")</f>
        <v>https://www.facebook.com/100002321474929</v>
      </c>
      <c r="K677">
        <v>119</v>
      </c>
      <c r="L677" t="s">
        <v>6064</v>
      </c>
      <c r="N677" t="s">
        <v>13</v>
      </c>
      <c r="O677" t="s">
        <v>1778</v>
      </c>
      <c r="P677" s="2" t="str">
        <f>HYPERLINK("https://www.facebook.com/100002321474929")</f>
        <v>https://www.facebook.com/100002321474929</v>
      </c>
      <c r="Q677">
        <v>119</v>
      </c>
      <c r="R677" t="s">
        <v>6067</v>
      </c>
      <c r="S677" t="s">
        <v>6091</v>
      </c>
    </row>
    <row r="678" spans="1:19" ht="14.25" customHeight="1" x14ac:dyDescent="0.3">
      <c r="A678" t="s">
        <v>629</v>
      </c>
      <c r="B678" t="s">
        <v>1785</v>
      </c>
      <c r="C678" t="s">
        <v>95</v>
      </c>
      <c r="D678" t="s">
        <v>544</v>
      </c>
      <c r="E678" t="s">
        <v>545</v>
      </c>
      <c r="F678" t="s">
        <v>6058</v>
      </c>
      <c r="G678" s="2" t="str">
        <f>HYPERLINK("https://www.facebook.com/100002321474929/posts/1623504434403590")</f>
        <v>https://www.facebook.com/100002321474929/posts/1623504434403590</v>
      </c>
      <c r="H678" t="s">
        <v>6062</v>
      </c>
      <c r="I678" t="s">
        <v>1778</v>
      </c>
      <c r="J678" s="2" t="str">
        <f>HYPERLINK("https://www.facebook.com/100002321474929")</f>
        <v>https://www.facebook.com/100002321474929</v>
      </c>
      <c r="K678">
        <v>119</v>
      </c>
      <c r="L678" t="s">
        <v>6064</v>
      </c>
      <c r="N678" t="s">
        <v>13</v>
      </c>
      <c r="O678" t="s">
        <v>1778</v>
      </c>
      <c r="P678" s="2" t="str">
        <f>HYPERLINK("https://www.facebook.com/100002321474929")</f>
        <v>https://www.facebook.com/100002321474929</v>
      </c>
      <c r="Q678">
        <v>119</v>
      </c>
      <c r="R678" t="s">
        <v>6067</v>
      </c>
      <c r="S678" t="s">
        <v>6091</v>
      </c>
    </row>
    <row r="679" spans="1:19" ht="14.25" customHeight="1" x14ac:dyDescent="0.3">
      <c r="A679" t="s">
        <v>629</v>
      </c>
      <c r="B679" t="s">
        <v>1785</v>
      </c>
      <c r="C679" t="s">
        <v>95</v>
      </c>
      <c r="D679" t="s">
        <v>544</v>
      </c>
      <c r="E679" t="s">
        <v>545</v>
      </c>
      <c r="F679" t="s">
        <v>6058</v>
      </c>
      <c r="G679" s="2" t="str">
        <f>HYPERLINK("https://www.facebook.com/100002321474929/posts/1623504427736924")</f>
        <v>https://www.facebook.com/100002321474929/posts/1623504427736924</v>
      </c>
      <c r="H679" t="s">
        <v>6062</v>
      </c>
      <c r="I679" t="s">
        <v>1778</v>
      </c>
      <c r="J679" s="2" t="str">
        <f>HYPERLINK("https://www.facebook.com/100002321474929")</f>
        <v>https://www.facebook.com/100002321474929</v>
      </c>
      <c r="K679">
        <v>119</v>
      </c>
      <c r="L679" t="s">
        <v>6064</v>
      </c>
      <c r="N679" t="s">
        <v>13</v>
      </c>
      <c r="O679" t="s">
        <v>1778</v>
      </c>
      <c r="P679" s="2" t="str">
        <f>HYPERLINK("https://www.facebook.com/100002321474929")</f>
        <v>https://www.facebook.com/100002321474929</v>
      </c>
      <c r="Q679">
        <v>119</v>
      </c>
      <c r="R679" t="s">
        <v>6067</v>
      </c>
      <c r="S679" t="s">
        <v>6091</v>
      </c>
    </row>
    <row r="680" spans="1:19" ht="14.25" customHeight="1" x14ac:dyDescent="0.3">
      <c r="A680" t="s">
        <v>1</v>
      </c>
      <c r="B680" t="s">
        <v>507</v>
      </c>
      <c r="C680" t="s">
        <v>95</v>
      </c>
      <c r="D680" t="s">
        <v>508</v>
      </c>
      <c r="E680" t="s">
        <v>509</v>
      </c>
      <c r="F680" t="s">
        <v>6058</v>
      </c>
      <c r="G680" s="2" t="str">
        <f>HYPERLINK("https://www.facebook.com/100002448603166/posts/1640248596066745")</f>
        <v>https://www.facebook.com/100002448603166/posts/1640248596066745</v>
      </c>
      <c r="H680" t="s">
        <v>6062</v>
      </c>
      <c r="I680" t="s">
        <v>510</v>
      </c>
      <c r="J680" s="2" t="str">
        <f>HYPERLINK("https://www.facebook.com/100002448603166")</f>
        <v>https://www.facebook.com/100002448603166</v>
      </c>
      <c r="K680">
        <v>611</v>
      </c>
      <c r="L680" t="s">
        <v>6064</v>
      </c>
      <c r="N680" t="s">
        <v>13</v>
      </c>
      <c r="O680" t="s">
        <v>510</v>
      </c>
      <c r="P680" s="2" t="str">
        <f>HYPERLINK("https://www.facebook.com/100002448603166")</f>
        <v>https://www.facebook.com/100002448603166</v>
      </c>
      <c r="Q680">
        <v>611</v>
      </c>
      <c r="R680" t="s">
        <v>6067</v>
      </c>
      <c r="S680" t="s">
        <v>6073</v>
      </c>
    </row>
    <row r="681" spans="1:19" ht="14.25" customHeight="1" x14ac:dyDescent="0.3">
      <c r="A681" t="s">
        <v>1</v>
      </c>
      <c r="B681" t="s">
        <v>511</v>
      </c>
      <c r="C681" t="s">
        <v>95</v>
      </c>
      <c r="D681" t="s">
        <v>512</v>
      </c>
      <c r="E681" t="s">
        <v>513</v>
      </c>
      <c r="F681" t="s">
        <v>6058</v>
      </c>
      <c r="G681" s="2" t="str">
        <f>HYPERLINK("https://www.facebook.com/100002448603166/posts/1640248059400132")</f>
        <v>https://www.facebook.com/100002448603166/posts/1640248059400132</v>
      </c>
      <c r="H681" t="s">
        <v>6062</v>
      </c>
      <c r="I681" t="s">
        <v>510</v>
      </c>
      <c r="J681" s="2" t="str">
        <f>HYPERLINK("https://www.facebook.com/100002448603166")</f>
        <v>https://www.facebook.com/100002448603166</v>
      </c>
      <c r="K681">
        <v>611</v>
      </c>
      <c r="L681" t="s">
        <v>6064</v>
      </c>
      <c r="N681" t="s">
        <v>13</v>
      </c>
      <c r="O681" t="s">
        <v>510</v>
      </c>
      <c r="P681" s="2" t="str">
        <f>HYPERLINK("https://www.facebook.com/100002448603166")</f>
        <v>https://www.facebook.com/100002448603166</v>
      </c>
      <c r="Q681">
        <v>611</v>
      </c>
      <c r="R681" t="s">
        <v>6067</v>
      </c>
      <c r="S681" t="s">
        <v>6073</v>
      </c>
    </row>
    <row r="682" spans="1:19" ht="14.25" customHeight="1" x14ac:dyDescent="0.3">
      <c r="A682" t="s">
        <v>2225</v>
      </c>
      <c r="B682" t="s">
        <v>2494</v>
      </c>
      <c r="C682" t="s">
        <v>95</v>
      </c>
      <c r="D682" t="s">
        <v>544</v>
      </c>
      <c r="E682" t="s">
        <v>545</v>
      </c>
      <c r="F682" t="s">
        <v>6058</v>
      </c>
      <c r="G682" s="2" t="str">
        <f>HYPERLINK("https://www.facebook.com/100002980738393/posts/1565949790181030")</f>
        <v>https://www.facebook.com/100002980738393/posts/1565949790181030</v>
      </c>
      <c r="H682" t="s">
        <v>6062</v>
      </c>
      <c r="I682" t="s">
        <v>2504</v>
      </c>
      <c r="J682" s="2" t="str">
        <f>HYPERLINK("https://www.facebook.com/100002980738393")</f>
        <v>https://www.facebook.com/100002980738393</v>
      </c>
      <c r="K682">
        <v>452</v>
      </c>
      <c r="L682" t="s">
        <v>6064</v>
      </c>
      <c r="N682" t="s">
        <v>13</v>
      </c>
      <c r="O682" t="s">
        <v>2504</v>
      </c>
      <c r="P682" s="2" t="str">
        <f>HYPERLINK("https://www.facebook.com/100002980738393")</f>
        <v>https://www.facebook.com/100002980738393</v>
      </c>
      <c r="Q682">
        <v>452</v>
      </c>
      <c r="R682" t="s">
        <v>6067</v>
      </c>
      <c r="S682" t="s">
        <v>6073</v>
      </c>
    </row>
    <row r="683" spans="1:19" ht="14.25" customHeight="1" x14ac:dyDescent="0.3">
      <c r="A683" t="s">
        <v>2225</v>
      </c>
      <c r="B683" t="s">
        <v>767</v>
      </c>
      <c r="C683" t="s">
        <v>95</v>
      </c>
      <c r="D683" t="s">
        <v>544</v>
      </c>
      <c r="E683" t="s">
        <v>545</v>
      </c>
      <c r="F683" t="s">
        <v>6058</v>
      </c>
      <c r="G683" s="2" t="str">
        <f>HYPERLINK("https://www.facebook.com/100001568710850/posts/1816275948434678")</f>
        <v>https://www.facebook.com/100001568710850/posts/1816275948434678</v>
      </c>
      <c r="H683" t="s">
        <v>6062</v>
      </c>
      <c r="I683" t="s">
        <v>2874</v>
      </c>
      <c r="J683" s="2" t="str">
        <f>HYPERLINK("https://www.facebook.com/100001568710850")</f>
        <v>https://www.facebook.com/100001568710850</v>
      </c>
      <c r="K683">
        <v>1587</v>
      </c>
      <c r="L683" t="s">
        <v>6064</v>
      </c>
      <c r="N683" t="s">
        <v>13</v>
      </c>
      <c r="O683" t="s">
        <v>2874</v>
      </c>
      <c r="P683" s="2" t="str">
        <f>HYPERLINK("https://www.facebook.com/100001568710850")</f>
        <v>https://www.facebook.com/100001568710850</v>
      </c>
      <c r="Q683">
        <v>1587</v>
      </c>
      <c r="R683" t="s">
        <v>6067</v>
      </c>
      <c r="S683" t="s">
        <v>6073</v>
      </c>
    </row>
    <row r="684" spans="1:19" ht="14.25" customHeight="1" x14ac:dyDescent="0.3">
      <c r="A684" t="s">
        <v>2225</v>
      </c>
      <c r="B684" t="s">
        <v>764</v>
      </c>
      <c r="C684" t="s">
        <v>95</v>
      </c>
      <c r="D684" t="s">
        <v>853</v>
      </c>
      <c r="E684" t="s">
        <v>2873</v>
      </c>
      <c r="F684" t="s">
        <v>6059</v>
      </c>
      <c r="G684" s="2" t="str">
        <f>HYPERLINK("https://www.facebook.com/100008934274771/posts/1810262525948206?comment_id=1810265629281229")</f>
        <v>https://www.facebook.com/100008934274771/posts/1810262525948206?comment_id=1810265629281229</v>
      </c>
      <c r="H684" t="s">
        <v>6062</v>
      </c>
      <c r="I684" t="s">
        <v>2874</v>
      </c>
      <c r="J684" s="2" t="str">
        <f>HYPERLINK("https://www.facebook.com/100001568710850")</f>
        <v>https://www.facebook.com/100001568710850</v>
      </c>
      <c r="K684">
        <v>1587</v>
      </c>
      <c r="L684" t="s">
        <v>6064</v>
      </c>
      <c r="N684" t="s">
        <v>13</v>
      </c>
      <c r="O684" t="s">
        <v>856</v>
      </c>
      <c r="P684" s="2" t="str">
        <f>HYPERLINK("https://www.facebook.com/100008934274771")</f>
        <v>https://www.facebook.com/100008934274771</v>
      </c>
      <c r="Q684">
        <v>10395</v>
      </c>
      <c r="R684" t="s">
        <v>6067</v>
      </c>
      <c r="S684" t="s">
        <v>6073</v>
      </c>
    </row>
    <row r="685" spans="1:19" ht="14.25" customHeight="1" x14ac:dyDescent="0.3">
      <c r="A685" t="s">
        <v>629</v>
      </c>
      <c r="B685" t="s">
        <v>1707</v>
      </c>
      <c r="C685" t="s">
        <v>95</v>
      </c>
      <c r="D685" t="s">
        <v>1710</v>
      </c>
      <c r="E685" t="s">
        <v>1711</v>
      </c>
      <c r="F685" t="s">
        <v>6057</v>
      </c>
      <c r="G685" s="2" t="str">
        <f>HYPERLINK("https://www.facebook.com/100024567036954/posts/157586528403581")</f>
        <v>https://www.facebook.com/100024567036954/posts/157586528403581</v>
      </c>
      <c r="H685" t="s">
        <v>6062</v>
      </c>
      <c r="I685" t="s">
        <v>1712</v>
      </c>
      <c r="J685" s="2" t="str">
        <f>HYPERLINK("https://www.facebook.com/100024567036954")</f>
        <v>https://www.facebook.com/100024567036954</v>
      </c>
      <c r="K685">
        <v>78</v>
      </c>
      <c r="L685" t="s">
        <v>6064</v>
      </c>
      <c r="N685" t="s">
        <v>13</v>
      </c>
      <c r="O685" t="s">
        <v>1712</v>
      </c>
      <c r="P685" s="2" t="str">
        <f>HYPERLINK("https://www.facebook.com/100024567036954")</f>
        <v>https://www.facebook.com/100024567036954</v>
      </c>
      <c r="Q685">
        <v>78</v>
      </c>
      <c r="R685" t="s">
        <v>6067</v>
      </c>
    </row>
    <row r="686" spans="1:19" ht="14.25" customHeight="1" x14ac:dyDescent="0.3">
      <c r="A686" t="s">
        <v>5409</v>
      </c>
      <c r="B686" t="s">
        <v>373</v>
      </c>
      <c r="C686" t="s">
        <v>3538</v>
      </c>
      <c r="D686" t="s">
        <v>5442</v>
      </c>
      <c r="E686" t="s">
        <v>5592</v>
      </c>
      <c r="F686" t="s">
        <v>6058</v>
      </c>
      <c r="G686" s="2" t="str">
        <f>HYPERLINK("https://www.facebook.com/100001770284935/posts/1647735708628756")</f>
        <v>https://www.facebook.com/100001770284935/posts/1647735708628756</v>
      </c>
      <c r="H686" t="s">
        <v>6062</v>
      </c>
      <c r="I686" t="s">
        <v>5864</v>
      </c>
      <c r="J686" s="2" t="str">
        <f>HYPERLINK("https://www.facebook.com/100001770284935")</f>
        <v>https://www.facebook.com/100001770284935</v>
      </c>
      <c r="K686">
        <v>355</v>
      </c>
      <c r="L686" t="s">
        <v>6064</v>
      </c>
      <c r="N686" t="s">
        <v>13</v>
      </c>
      <c r="O686" t="s">
        <v>5864</v>
      </c>
      <c r="P686" s="2" t="str">
        <f>HYPERLINK("https://www.facebook.com/100001770284935")</f>
        <v>https://www.facebook.com/100001770284935</v>
      </c>
      <c r="Q686">
        <v>355</v>
      </c>
      <c r="R686" t="s">
        <v>6067</v>
      </c>
      <c r="S686" t="s">
        <v>6073</v>
      </c>
    </row>
    <row r="687" spans="1:19" ht="14.25" customHeight="1" x14ac:dyDescent="0.3">
      <c r="A687" t="s">
        <v>2225</v>
      </c>
      <c r="B687" t="s">
        <v>2381</v>
      </c>
      <c r="C687" t="s">
        <v>95</v>
      </c>
      <c r="D687" t="s">
        <v>2383</v>
      </c>
      <c r="E687" t="s">
        <v>2384</v>
      </c>
      <c r="F687" t="s">
        <v>6057</v>
      </c>
      <c r="G687" s="2" t="str">
        <f>HYPERLINK("https://www.facebook.com/100003766338782/posts/1232205073581692")</f>
        <v>https://www.facebook.com/100003766338782/posts/1232205073581692</v>
      </c>
      <c r="H687" t="s">
        <v>6062</v>
      </c>
      <c r="I687" t="s">
        <v>2300</v>
      </c>
      <c r="J687" s="2" t="str">
        <f t="shared" ref="J687:J694" si="14">HYPERLINK("https://www.facebook.com/100003766338782")</f>
        <v>https://www.facebook.com/100003766338782</v>
      </c>
      <c r="K687">
        <v>181</v>
      </c>
      <c r="L687" t="s">
        <v>6064</v>
      </c>
      <c r="N687" t="s">
        <v>13</v>
      </c>
      <c r="O687" t="s">
        <v>2300</v>
      </c>
      <c r="P687" s="2" t="str">
        <f>HYPERLINK("https://www.facebook.com/100003766338782")</f>
        <v>https://www.facebook.com/100003766338782</v>
      </c>
      <c r="Q687">
        <v>181</v>
      </c>
      <c r="R687" t="s">
        <v>6067</v>
      </c>
      <c r="S687" t="s">
        <v>6073</v>
      </c>
    </row>
    <row r="688" spans="1:19" ht="14.25" customHeight="1" x14ac:dyDescent="0.3">
      <c r="A688" t="s">
        <v>2225</v>
      </c>
      <c r="B688" t="s">
        <v>2400</v>
      </c>
      <c r="C688" t="s">
        <v>95</v>
      </c>
      <c r="D688" t="s">
        <v>2401</v>
      </c>
      <c r="E688" t="s">
        <v>2402</v>
      </c>
      <c r="F688" t="s">
        <v>6057</v>
      </c>
      <c r="G688" s="2" t="str">
        <f>HYPERLINK("https://www.facebook.com/100003766338782/posts/1232203900248476")</f>
        <v>https://www.facebook.com/100003766338782/posts/1232203900248476</v>
      </c>
      <c r="H688" t="s">
        <v>6062</v>
      </c>
      <c r="I688" t="s">
        <v>2300</v>
      </c>
      <c r="J688" s="2" t="str">
        <f t="shared" si="14"/>
        <v>https://www.facebook.com/100003766338782</v>
      </c>
      <c r="K688">
        <v>181</v>
      </c>
      <c r="L688" t="s">
        <v>6064</v>
      </c>
      <c r="N688" t="s">
        <v>13</v>
      </c>
      <c r="O688" t="s">
        <v>2300</v>
      </c>
      <c r="P688" s="2" t="str">
        <f>HYPERLINK("https://www.facebook.com/100003766338782")</f>
        <v>https://www.facebook.com/100003766338782</v>
      </c>
      <c r="Q688">
        <v>181</v>
      </c>
      <c r="R688" t="s">
        <v>6067</v>
      </c>
      <c r="S688" t="s">
        <v>6073</v>
      </c>
    </row>
    <row r="689" spans="1:19" ht="14.25" customHeight="1" x14ac:dyDescent="0.3">
      <c r="A689" t="s">
        <v>2225</v>
      </c>
      <c r="B689" t="s">
        <v>2389</v>
      </c>
      <c r="C689" t="s">
        <v>95</v>
      </c>
      <c r="D689" t="s">
        <v>544</v>
      </c>
      <c r="E689" t="s">
        <v>545</v>
      </c>
      <c r="F689" t="s">
        <v>6058</v>
      </c>
      <c r="G689" s="2" t="str">
        <f>HYPERLINK("https://www.facebook.com/100003766338782/posts/1232204793581720")</f>
        <v>https://www.facebook.com/100003766338782/posts/1232204793581720</v>
      </c>
      <c r="H689" t="s">
        <v>6062</v>
      </c>
      <c r="I689" t="s">
        <v>2300</v>
      </c>
      <c r="J689" s="2" t="str">
        <f t="shared" si="14"/>
        <v>https://www.facebook.com/100003766338782</v>
      </c>
      <c r="K689">
        <v>181</v>
      </c>
      <c r="L689" t="s">
        <v>6064</v>
      </c>
      <c r="N689" t="s">
        <v>13</v>
      </c>
      <c r="O689" t="s">
        <v>2300</v>
      </c>
      <c r="P689" s="2" t="str">
        <f>HYPERLINK("https://www.facebook.com/100003766338782")</f>
        <v>https://www.facebook.com/100003766338782</v>
      </c>
      <c r="Q689">
        <v>181</v>
      </c>
      <c r="R689" t="s">
        <v>6067</v>
      </c>
      <c r="S689" t="s">
        <v>6073</v>
      </c>
    </row>
    <row r="690" spans="1:19" ht="14.25" customHeight="1" x14ac:dyDescent="0.3">
      <c r="A690" t="s">
        <v>2225</v>
      </c>
      <c r="B690" t="s">
        <v>2389</v>
      </c>
      <c r="C690" t="s">
        <v>95</v>
      </c>
      <c r="D690" t="s">
        <v>544</v>
      </c>
      <c r="E690" t="s">
        <v>545</v>
      </c>
      <c r="F690" t="s">
        <v>6058</v>
      </c>
      <c r="G690" s="2" t="str">
        <f>HYPERLINK("https://www.facebook.com/100003766338782/posts/1232204626915070")</f>
        <v>https://www.facebook.com/100003766338782/posts/1232204626915070</v>
      </c>
      <c r="H690" t="s">
        <v>6062</v>
      </c>
      <c r="I690" t="s">
        <v>2300</v>
      </c>
      <c r="J690" s="2" t="str">
        <f t="shared" si="14"/>
        <v>https://www.facebook.com/100003766338782</v>
      </c>
      <c r="K690">
        <v>181</v>
      </c>
      <c r="L690" t="s">
        <v>6064</v>
      </c>
      <c r="N690" t="s">
        <v>13</v>
      </c>
      <c r="O690" t="s">
        <v>2300</v>
      </c>
      <c r="P690" s="2" t="str">
        <f>HYPERLINK("https://www.facebook.com/100003766338782")</f>
        <v>https://www.facebook.com/100003766338782</v>
      </c>
      <c r="Q690">
        <v>181</v>
      </c>
      <c r="R690" t="s">
        <v>6067</v>
      </c>
      <c r="S690" t="s">
        <v>6073</v>
      </c>
    </row>
    <row r="691" spans="1:19" ht="14.25" customHeight="1" x14ac:dyDescent="0.3">
      <c r="A691" t="s">
        <v>2225</v>
      </c>
      <c r="B691" t="s">
        <v>2406</v>
      </c>
      <c r="C691" t="s">
        <v>95</v>
      </c>
      <c r="D691" t="s">
        <v>544</v>
      </c>
      <c r="E691" t="s">
        <v>545</v>
      </c>
      <c r="F691" t="s">
        <v>6058</v>
      </c>
      <c r="G691" s="2" t="str">
        <f>HYPERLINK("https://www.facebook.com/100003766338782/posts/1232203466915186")</f>
        <v>https://www.facebook.com/100003766338782/posts/1232203466915186</v>
      </c>
      <c r="H691" t="s">
        <v>6062</v>
      </c>
      <c r="I691" t="s">
        <v>2300</v>
      </c>
      <c r="J691" s="2" t="str">
        <f t="shared" si="14"/>
        <v>https://www.facebook.com/100003766338782</v>
      </c>
      <c r="K691">
        <v>181</v>
      </c>
      <c r="L691" t="s">
        <v>6064</v>
      </c>
      <c r="N691" t="s">
        <v>13</v>
      </c>
      <c r="O691" t="s">
        <v>2300</v>
      </c>
      <c r="P691" s="2" t="str">
        <f>HYPERLINK("https://www.facebook.com/100003766338782")</f>
        <v>https://www.facebook.com/100003766338782</v>
      </c>
      <c r="Q691">
        <v>181</v>
      </c>
      <c r="R691" t="s">
        <v>6067</v>
      </c>
      <c r="S691" t="s">
        <v>6073</v>
      </c>
    </row>
    <row r="692" spans="1:19" ht="14.25" customHeight="1" x14ac:dyDescent="0.3">
      <c r="A692" t="s">
        <v>2225</v>
      </c>
      <c r="B692" t="s">
        <v>2298</v>
      </c>
      <c r="C692" t="s">
        <v>95</v>
      </c>
      <c r="D692" t="s">
        <v>853</v>
      </c>
      <c r="E692" t="s">
        <v>2299</v>
      </c>
      <c r="F692" t="s">
        <v>6059</v>
      </c>
      <c r="G692" s="2" t="str">
        <f>HYPERLINK("https://www.facebook.com/100008934274771/posts/1810262525948206?comment_id=1810308742610251")</f>
        <v>https://www.facebook.com/100008934274771/posts/1810262525948206?comment_id=1810308742610251</v>
      </c>
      <c r="H692" t="s">
        <v>6062</v>
      </c>
      <c r="I692" t="s">
        <v>2300</v>
      </c>
      <c r="J692" s="2" t="str">
        <f t="shared" si="14"/>
        <v>https://www.facebook.com/100003766338782</v>
      </c>
      <c r="K692">
        <v>181</v>
      </c>
      <c r="L692" t="s">
        <v>6064</v>
      </c>
      <c r="N692" t="s">
        <v>13</v>
      </c>
      <c r="O692" t="s">
        <v>856</v>
      </c>
      <c r="P692" s="2" t="str">
        <f>HYPERLINK("https://www.facebook.com/100008934274771")</f>
        <v>https://www.facebook.com/100008934274771</v>
      </c>
      <c r="Q692">
        <v>10395</v>
      </c>
      <c r="R692" t="s">
        <v>6067</v>
      </c>
      <c r="S692" t="s">
        <v>6073</v>
      </c>
    </row>
    <row r="693" spans="1:19" ht="14.25" customHeight="1" x14ac:dyDescent="0.3">
      <c r="A693" t="s">
        <v>2225</v>
      </c>
      <c r="B693" t="s">
        <v>2312</v>
      </c>
      <c r="C693" t="s">
        <v>95</v>
      </c>
      <c r="D693" t="s">
        <v>853</v>
      </c>
      <c r="E693" t="s">
        <v>2313</v>
      </c>
      <c r="F693" t="s">
        <v>6059</v>
      </c>
      <c r="G693" s="2" t="str">
        <f>HYPERLINK("https://www.facebook.com/100008934274771/posts/1810262525948206?comment_id=1810307125943746")</f>
        <v>https://www.facebook.com/100008934274771/posts/1810262525948206?comment_id=1810307125943746</v>
      </c>
      <c r="H693" t="s">
        <v>6062</v>
      </c>
      <c r="I693" t="s">
        <v>2300</v>
      </c>
      <c r="J693" s="2" t="str">
        <f t="shared" si="14"/>
        <v>https://www.facebook.com/100003766338782</v>
      </c>
      <c r="K693">
        <v>181</v>
      </c>
      <c r="L693" t="s">
        <v>6064</v>
      </c>
      <c r="N693" t="s">
        <v>13</v>
      </c>
      <c r="O693" t="s">
        <v>856</v>
      </c>
      <c r="P693" s="2" t="str">
        <f>HYPERLINK("https://www.facebook.com/100008934274771")</f>
        <v>https://www.facebook.com/100008934274771</v>
      </c>
      <c r="Q693">
        <v>10395</v>
      </c>
      <c r="R693" t="s">
        <v>6067</v>
      </c>
      <c r="S693" t="s">
        <v>6073</v>
      </c>
    </row>
    <row r="694" spans="1:19" ht="14.25" customHeight="1" x14ac:dyDescent="0.3">
      <c r="A694" t="s">
        <v>2225</v>
      </c>
      <c r="B694" t="s">
        <v>2324</v>
      </c>
      <c r="C694" t="s">
        <v>95</v>
      </c>
      <c r="D694" t="s">
        <v>2325</v>
      </c>
      <c r="E694" t="s">
        <v>2326</v>
      </c>
      <c r="F694" t="s">
        <v>6057</v>
      </c>
      <c r="G694" s="2" t="str">
        <f>HYPERLINK("https://www.facebook.com/100003766338782/posts/1232213496914183")</f>
        <v>https://www.facebook.com/100003766338782/posts/1232213496914183</v>
      </c>
      <c r="H694" t="s">
        <v>6062</v>
      </c>
      <c r="I694" t="s">
        <v>2300</v>
      </c>
      <c r="J694" s="2" t="str">
        <f t="shared" si="14"/>
        <v>https://www.facebook.com/100003766338782</v>
      </c>
      <c r="K694">
        <v>181</v>
      </c>
      <c r="L694" t="s">
        <v>6064</v>
      </c>
      <c r="N694" t="s">
        <v>13</v>
      </c>
      <c r="O694" t="s">
        <v>2300</v>
      </c>
      <c r="P694" s="2" t="str">
        <f>HYPERLINK("https://www.facebook.com/100003766338782")</f>
        <v>https://www.facebook.com/100003766338782</v>
      </c>
      <c r="Q694">
        <v>181</v>
      </c>
      <c r="R694" t="s">
        <v>6067</v>
      </c>
      <c r="S694" t="s">
        <v>6073</v>
      </c>
    </row>
    <row r="695" spans="1:19" ht="14.25" customHeight="1" x14ac:dyDescent="0.3">
      <c r="A695" t="s">
        <v>5409</v>
      </c>
      <c r="B695" t="s">
        <v>5186</v>
      </c>
      <c r="C695" t="s">
        <v>3538</v>
      </c>
      <c r="D695" t="s">
        <v>3780</v>
      </c>
      <c r="E695" t="s">
        <v>4672</v>
      </c>
      <c r="F695" t="s">
        <v>6058</v>
      </c>
      <c r="G695" s="2" t="str">
        <f>HYPERLINK("https://www.facebook.com/100017227806968/posts/211782982739294")</f>
        <v>https://www.facebook.com/100017227806968/posts/211782982739294</v>
      </c>
      <c r="H695" t="s">
        <v>6062</v>
      </c>
      <c r="I695" t="s">
        <v>5657</v>
      </c>
      <c r="J695" s="2" t="str">
        <f>HYPERLINK("https://www.facebook.com/100017227806968")</f>
        <v>https://www.facebook.com/100017227806968</v>
      </c>
      <c r="K695">
        <v>333</v>
      </c>
      <c r="L695" t="s">
        <v>6064</v>
      </c>
      <c r="N695" t="s">
        <v>13</v>
      </c>
      <c r="O695" t="s">
        <v>5657</v>
      </c>
      <c r="P695" s="2" t="str">
        <f>HYPERLINK("https://www.facebook.com/100017227806968")</f>
        <v>https://www.facebook.com/100017227806968</v>
      </c>
      <c r="Q695">
        <v>333</v>
      </c>
      <c r="R695" t="s">
        <v>6067</v>
      </c>
      <c r="S695" t="s">
        <v>6073</v>
      </c>
    </row>
    <row r="696" spans="1:19" ht="14.25" customHeight="1" x14ac:dyDescent="0.3">
      <c r="A696" t="s">
        <v>2225</v>
      </c>
      <c r="B696" t="s">
        <v>2847</v>
      </c>
      <c r="C696" t="s">
        <v>95</v>
      </c>
      <c r="D696" t="s">
        <v>464</v>
      </c>
      <c r="E696" t="s">
        <v>2855</v>
      </c>
      <c r="F696" t="s">
        <v>6059</v>
      </c>
      <c r="G696" s="2" t="str">
        <f>HYPERLINK("https://www.facebook.com/1362386453/posts/10216460219362335?comment_id=10216462141730393")</f>
        <v>https://www.facebook.com/1362386453/posts/10216460219362335?comment_id=10216462141730393</v>
      </c>
      <c r="H696" t="s">
        <v>6062</v>
      </c>
      <c r="I696" t="s">
        <v>2856</v>
      </c>
      <c r="J696" s="2" t="str">
        <f>HYPERLINK("https://www.facebook.com/100003269937210")</f>
        <v>https://www.facebook.com/100003269937210</v>
      </c>
      <c r="K696">
        <v>174</v>
      </c>
      <c r="L696" t="s">
        <v>6064</v>
      </c>
      <c r="N696" t="s">
        <v>13</v>
      </c>
      <c r="O696" t="s">
        <v>467</v>
      </c>
      <c r="P696" s="2" t="str">
        <f>HYPERLINK("https://www.facebook.com/1362386453")</f>
        <v>https://www.facebook.com/1362386453</v>
      </c>
      <c r="Q696">
        <v>3896</v>
      </c>
      <c r="R696" t="s">
        <v>6067</v>
      </c>
      <c r="S696" t="s">
        <v>6073</v>
      </c>
    </row>
    <row r="697" spans="1:19" ht="14.25" customHeight="1" x14ac:dyDescent="0.3">
      <c r="A697" t="s">
        <v>4995</v>
      </c>
      <c r="B697" t="s">
        <v>2063</v>
      </c>
      <c r="C697" t="s">
        <v>3538</v>
      </c>
      <c r="D697" t="s">
        <v>5078</v>
      </c>
      <c r="E697" t="s">
        <v>5382</v>
      </c>
      <c r="F697" t="s">
        <v>6059</v>
      </c>
      <c r="G697" s="2" t="str">
        <f>HYPERLINK("https://www.facebook.com/100001929668660/posts/1891490270925277?comment_id=1891819350892369")</f>
        <v>https://www.facebook.com/100001929668660/posts/1891490270925277?comment_id=1891819350892369</v>
      </c>
      <c r="H697" t="s">
        <v>6062</v>
      </c>
      <c r="I697" t="s">
        <v>5383</v>
      </c>
      <c r="J697" s="2" t="str">
        <f>HYPERLINK("https://www.facebook.com/1414223990")</f>
        <v>https://www.facebook.com/1414223990</v>
      </c>
      <c r="K697">
        <v>0</v>
      </c>
      <c r="L697" t="s">
        <v>6064</v>
      </c>
      <c r="N697" t="s">
        <v>13</v>
      </c>
      <c r="O697" t="s">
        <v>5081</v>
      </c>
      <c r="P697" s="2" t="str">
        <f>HYPERLINK("https://www.facebook.com/100001929668660")</f>
        <v>https://www.facebook.com/100001929668660</v>
      </c>
      <c r="Q697">
        <v>2652</v>
      </c>
      <c r="R697" t="s">
        <v>6067</v>
      </c>
      <c r="S697" t="s">
        <v>6073</v>
      </c>
    </row>
    <row r="698" spans="1:19" ht="14.25" customHeight="1" x14ac:dyDescent="0.3">
      <c r="A698" t="s">
        <v>629</v>
      </c>
      <c r="B698" t="s">
        <v>474</v>
      </c>
      <c r="C698" t="s">
        <v>95</v>
      </c>
      <c r="D698" t="s">
        <v>1990</v>
      </c>
      <c r="E698" t="s">
        <v>1991</v>
      </c>
      <c r="F698" t="s">
        <v>6056</v>
      </c>
      <c r="G698" s="2" t="str">
        <f>HYPERLINK("https://www.facebook.com/100001162554457/posts/1667788923269843")</f>
        <v>https://www.facebook.com/100001162554457/posts/1667788923269843</v>
      </c>
      <c r="H698" t="s">
        <v>6062</v>
      </c>
      <c r="I698" t="s">
        <v>1992</v>
      </c>
      <c r="J698" s="2" t="str">
        <f>HYPERLINK("https://www.facebook.com/100001162554457")</f>
        <v>https://www.facebook.com/100001162554457</v>
      </c>
      <c r="K698">
        <v>1026</v>
      </c>
      <c r="L698" t="s">
        <v>6064</v>
      </c>
      <c r="N698" t="s">
        <v>13</v>
      </c>
      <c r="O698" t="s">
        <v>1992</v>
      </c>
      <c r="P698" s="2" t="str">
        <f>HYPERLINK("https://www.facebook.com/100001162554457")</f>
        <v>https://www.facebook.com/100001162554457</v>
      </c>
      <c r="Q698">
        <v>1026</v>
      </c>
      <c r="R698" t="s">
        <v>6067</v>
      </c>
      <c r="S698" t="s">
        <v>6073</v>
      </c>
    </row>
    <row r="699" spans="1:19" ht="14.25" customHeight="1" x14ac:dyDescent="0.3">
      <c r="A699" t="s">
        <v>629</v>
      </c>
      <c r="B699" t="s">
        <v>329</v>
      </c>
      <c r="C699" t="s">
        <v>95</v>
      </c>
      <c r="D699" t="s">
        <v>370</v>
      </c>
      <c r="E699" t="s">
        <v>371</v>
      </c>
      <c r="F699" t="s">
        <v>6058</v>
      </c>
      <c r="G699" s="2" t="str">
        <f>HYPERLINK("https://www.facebook.com/100017198714825/posts/223044001612222")</f>
        <v>https://www.facebook.com/100017198714825/posts/223044001612222</v>
      </c>
      <c r="H699" t="s">
        <v>6062</v>
      </c>
      <c r="I699" t="s">
        <v>1540</v>
      </c>
      <c r="J699" s="2" t="str">
        <f>HYPERLINK("https://www.facebook.com/100017198714825")</f>
        <v>https://www.facebook.com/100017198714825</v>
      </c>
      <c r="K699">
        <v>852</v>
      </c>
      <c r="L699" t="s">
        <v>6064</v>
      </c>
      <c r="N699" t="s">
        <v>13</v>
      </c>
      <c r="O699" t="s">
        <v>1540</v>
      </c>
      <c r="P699" s="2" t="str">
        <f>HYPERLINK("https://www.facebook.com/100017198714825")</f>
        <v>https://www.facebook.com/100017198714825</v>
      </c>
      <c r="Q699">
        <v>852</v>
      </c>
      <c r="R699" t="s">
        <v>6067</v>
      </c>
      <c r="S699" t="s">
        <v>6086</v>
      </c>
    </row>
    <row r="700" spans="1:19" ht="14.25" customHeight="1" x14ac:dyDescent="0.3">
      <c r="A700" t="s">
        <v>629</v>
      </c>
      <c r="B700" t="s">
        <v>352</v>
      </c>
      <c r="C700" t="s">
        <v>95</v>
      </c>
      <c r="D700" t="s">
        <v>370</v>
      </c>
      <c r="E700" t="s">
        <v>371</v>
      </c>
      <c r="F700" t="s">
        <v>6058</v>
      </c>
      <c r="G700" s="2" t="str">
        <f>HYPERLINK("https://www.facebook.com/100017198714825/posts/223036104946345")</f>
        <v>https://www.facebook.com/100017198714825/posts/223036104946345</v>
      </c>
      <c r="H700" t="s">
        <v>6062</v>
      </c>
      <c r="I700" t="s">
        <v>1540</v>
      </c>
      <c r="J700" s="2" t="str">
        <f>HYPERLINK("https://www.facebook.com/100017198714825")</f>
        <v>https://www.facebook.com/100017198714825</v>
      </c>
      <c r="K700">
        <v>852</v>
      </c>
      <c r="L700" t="s">
        <v>6064</v>
      </c>
      <c r="N700" t="s">
        <v>13</v>
      </c>
      <c r="O700" t="s">
        <v>1540</v>
      </c>
      <c r="P700" s="2" t="str">
        <f>HYPERLINK("https://www.facebook.com/100017198714825")</f>
        <v>https://www.facebook.com/100017198714825</v>
      </c>
      <c r="Q700">
        <v>852</v>
      </c>
      <c r="R700" t="s">
        <v>6067</v>
      </c>
      <c r="S700" t="s">
        <v>6086</v>
      </c>
    </row>
    <row r="701" spans="1:19" ht="14.25" customHeight="1" x14ac:dyDescent="0.3">
      <c r="A701" t="s">
        <v>629</v>
      </c>
      <c r="B701" t="s">
        <v>430</v>
      </c>
      <c r="C701" t="s">
        <v>95</v>
      </c>
      <c r="D701" t="s">
        <v>370</v>
      </c>
      <c r="E701" t="s">
        <v>371</v>
      </c>
      <c r="F701" t="s">
        <v>6058</v>
      </c>
      <c r="G701" s="2" t="str">
        <f>HYPERLINK("https://www.facebook.com/100017198714825/posts/223022544947701")</f>
        <v>https://www.facebook.com/100017198714825/posts/223022544947701</v>
      </c>
      <c r="H701" t="s">
        <v>6062</v>
      </c>
      <c r="I701" t="s">
        <v>1540</v>
      </c>
      <c r="J701" s="2" t="str">
        <f>HYPERLINK("https://www.facebook.com/100017198714825")</f>
        <v>https://www.facebook.com/100017198714825</v>
      </c>
      <c r="K701">
        <v>852</v>
      </c>
      <c r="L701" t="s">
        <v>6064</v>
      </c>
      <c r="N701" t="s">
        <v>13</v>
      </c>
      <c r="O701" t="s">
        <v>1540</v>
      </c>
      <c r="P701" s="2" t="str">
        <f>HYPERLINK("https://www.facebook.com/100017198714825")</f>
        <v>https://www.facebook.com/100017198714825</v>
      </c>
      <c r="Q701">
        <v>852</v>
      </c>
      <c r="R701" t="s">
        <v>6067</v>
      </c>
      <c r="S701" t="s">
        <v>6086</v>
      </c>
    </row>
    <row r="702" spans="1:19" ht="14.25" customHeight="1" x14ac:dyDescent="0.3">
      <c r="A702" t="s">
        <v>629</v>
      </c>
      <c r="B702" t="s">
        <v>1995</v>
      </c>
      <c r="C702" t="s">
        <v>95</v>
      </c>
      <c r="D702" t="s">
        <v>370</v>
      </c>
      <c r="E702" t="s">
        <v>371</v>
      </c>
      <c r="F702" t="s">
        <v>6058</v>
      </c>
      <c r="G702" s="2" t="str">
        <f>HYPERLINK("https://www.facebook.com/100017198714825/posts/223015921615030")</f>
        <v>https://www.facebook.com/100017198714825/posts/223015921615030</v>
      </c>
      <c r="H702" t="s">
        <v>6062</v>
      </c>
      <c r="I702" t="s">
        <v>1540</v>
      </c>
      <c r="J702" s="2" t="str">
        <f>HYPERLINK("https://www.facebook.com/100017198714825")</f>
        <v>https://www.facebook.com/100017198714825</v>
      </c>
      <c r="K702">
        <v>852</v>
      </c>
      <c r="L702" t="s">
        <v>6064</v>
      </c>
      <c r="N702" t="s">
        <v>13</v>
      </c>
      <c r="O702" t="s">
        <v>1540</v>
      </c>
      <c r="P702" s="2" t="str">
        <f>HYPERLINK("https://www.facebook.com/100017198714825")</f>
        <v>https://www.facebook.com/100017198714825</v>
      </c>
      <c r="Q702">
        <v>852</v>
      </c>
      <c r="R702" t="s">
        <v>6067</v>
      </c>
      <c r="S702" t="s">
        <v>6086</v>
      </c>
    </row>
    <row r="703" spans="1:19" ht="14.25" customHeight="1" x14ac:dyDescent="0.3">
      <c r="A703" t="s">
        <v>2225</v>
      </c>
      <c r="B703" t="s">
        <v>733</v>
      </c>
      <c r="C703" t="s">
        <v>95</v>
      </c>
      <c r="D703" t="s">
        <v>544</v>
      </c>
      <c r="E703" t="s">
        <v>545</v>
      </c>
      <c r="F703" t="s">
        <v>6058</v>
      </c>
      <c r="G703" s="2" t="str">
        <f>HYPERLINK("https://www.facebook.com/100001561527873/posts/1688299184565449")</f>
        <v>https://www.facebook.com/100001561527873/posts/1688299184565449</v>
      </c>
      <c r="H703" t="s">
        <v>6062</v>
      </c>
      <c r="I703" t="s">
        <v>1805</v>
      </c>
      <c r="J703" s="2" t="str">
        <f>HYPERLINK("https://www.facebook.com/100001561527873")</f>
        <v>https://www.facebook.com/100001561527873</v>
      </c>
      <c r="K703">
        <v>0</v>
      </c>
      <c r="L703" t="s">
        <v>6064</v>
      </c>
      <c r="N703" t="s">
        <v>13</v>
      </c>
      <c r="O703" t="s">
        <v>1805</v>
      </c>
      <c r="P703" s="2" t="str">
        <f>HYPERLINK("https://www.facebook.com/100001561527873")</f>
        <v>https://www.facebook.com/100001561527873</v>
      </c>
      <c r="Q703">
        <v>0</v>
      </c>
      <c r="R703" t="s">
        <v>6067</v>
      </c>
      <c r="S703" t="s">
        <v>6073</v>
      </c>
    </row>
    <row r="704" spans="1:19" ht="14.25" customHeight="1" x14ac:dyDescent="0.3">
      <c r="A704" t="s">
        <v>629</v>
      </c>
      <c r="B704" t="s">
        <v>1804</v>
      </c>
      <c r="C704" t="s">
        <v>95</v>
      </c>
      <c r="D704" t="s">
        <v>370</v>
      </c>
      <c r="E704" t="s">
        <v>371</v>
      </c>
      <c r="F704" t="s">
        <v>6058</v>
      </c>
      <c r="G704" s="2" t="str">
        <f>HYPERLINK("https://www.facebook.com/100001561527873/posts/1688762577852443")</f>
        <v>https://www.facebook.com/100001561527873/posts/1688762577852443</v>
      </c>
      <c r="H704" t="s">
        <v>6062</v>
      </c>
      <c r="I704" t="s">
        <v>1805</v>
      </c>
      <c r="J704" s="2" t="str">
        <f>HYPERLINK("https://www.facebook.com/100001561527873")</f>
        <v>https://www.facebook.com/100001561527873</v>
      </c>
      <c r="K704">
        <v>0</v>
      </c>
      <c r="L704" t="s">
        <v>6064</v>
      </c>
      <c r="N704" t="s">
        <v>13</v>
      </c>
      <c r="O704" t="s">
        <v>1805</v>
      </c>
      <c r="P704" s="2" t="str">
        <f>HYPERLINK("https://www.facebook.com/100001561527873")</f>
        <v>https://www.facebook.com/100001561527873</v>
      </c>
      <c r="Q704">
        <v>0</v>
      </c>
      <c r="R704" t="s">
        <v>6067</v>
      </c>
      <c r="S704" t="s">
        <v>6073</v>
      </c>
    </row>
    <row r="705" spans="1:19" ht="14.25" customHeight="1" x14ac:dyDescent="0.3">
      <c r="A705" t="s">
        <v>3527</v>
      </c>
      <c r="B705" t="s">
        <v>3639</v>
      </c>
      <c r="C705" t="s">
        <v>95</v>
      </c>
      <c r="D705" t="s">
        <v>2196</v>
      </c>
      <c r="E705" t="s">
        <v>3640</v>
      </c>
      <c r="F705" t="s">
        <v>6059</v>
      </c>
      <c r="G705" s="2" t="str">
        <f>HYPERLINK("https://www.facebook.com/100001415260849/posts/1744734525583706?comment_id=1745219932201832")</f>
        <v>https://www.facebook.com/100001415260849/posts/1744734525583706?comment_id=1745219932201832</v>
      </c>
      <c r="H705" t="s">
        <v>6062</v>
      </c>
      <c r="I705" t="s">
        <v>3630</v>
      </c>
      <c r="J705" s="2" t="str">
        <f>HYPERLINK("https://www.facebook.com/100001042338849")</f>
        <v>https://www.facebook.com/100001042338849</v>
      </c>
      <c r="K705">
        <v>1439</v>
      </c>
      <c r="L705" t="s">
        <v>6064</v>
      </c>
      <c r="N705" t="s">
        <v>13</v>
      </c>
      <c r="O705" t="s">
        <v>2199</v>
      </c>
      <c r="P705" s="2" t="str">
        <f>HYPERLINK("https://www.facebook.com/100001415260849")</f>
        <v>https://www.facebook.com/100001415260849</v>
      </c>
      <c r="Q705">
        <v>0</v>
      </c>
      <c r="R705" t="s">
        <v>6067</v>
      </c>
      <c r="S705" t="s">
        <v>6073</v>
      </c>
    </row>
    <row r="706" spans="1:19" ht="14.25" customHeight="1" x14ac:dyDescent="0.3">
      <c r="A706" t="s">
        <v>3527</v>
      </c>
      <c r="B706" t="s">
        <v>3642</v>
      </c>
      <c r="C706" t="s">
        <v>95</v>
      </c>
      <c r="D706" t="s">
        <v>2196</v>
      </c>
      <c r="E706" t="s">
        <v>3643</v>
      </c>
      <c r="F706" t="s">
        <v>6059</v>
      </c>
      <c r="G706" s="2" t="str">
        <f>HYPERLINK("https://www.facebook.com/100001415260849/posts/1744734525583706?comment_id=1745217788868713")</f>
        <v>https://www.facebook.com/100001415260849/posts/1744734525583706?comment_id=1745217788868713</v>
      </c>
      <c r="H706" t="s">
        <v>6062</v>
      </c>
      <c r="I706" t="s">
        <v>3630</v>
      </c>
      <c r="J706" s="2" t="str">
        <f>HYPERLINK("https://www.facebook.com/100001042338849")</f>
        <v>https://www.facebook.com/100001042338849</v>
      </c>
      <c r="K706">
        <v>1439</v>
      </c>
      <c r="L706" t="s">
        <v>6064</v>
      </c>
      <c r="N706" t="s">
        <v>13</v>
      </c>
      <c r="O706" t="s">
        <v>2199</v>
      </c>
      <c r="P706" s="2" t="str">
        <f>HYPERLINK("https://www.facebook.com/100001415260849")</f>
        <v>https://www.facebook.com/100001415260849</v>
      </c>
      <c r="Q706">
        <v>0</v>
      </c>
      <c r="R706" t="s">
        <v>6067</v>
      </c>
      <c r="S706" t="s">
        <v>6073</v>
      </c>
    </row>
    <row r="707" spans="1:19" ht="14.25" customHeight="1" x14ac:dyDescent="0.3">
      <c r="A707" t="s">
        <v>3527</v>
      </c>
      <c r="B707" t="s">
        <v>2400</v>
      </c>
      <c r="C707" t="s">
        <v>95</v>
      </c>
      <c r="D707" t="s">
        <v>2196</v>
      </c>
      <c r="E707" t="s">
        <v>3659</v>
      </c>
      <c r="F707" t="s">
        <v>6059</v>
      </c>
      <c r="G707" s="2" t="str">
        <f>HYPERLINK("https://www.facebook.com/100001415260849/posts/1744734525583706?comment_id=1745210525536106")</f>
        <v>https://www.facebook.com/100001415260849/posts/1744734525583706?comment_id=1745210525536106</v>
      </c>
      <c r="H707" t="s">
        <v>6062</v>
      </c>
      <c r="I707" t="s">
        <v>3630</v>
      </c>
      <c r="J707" s="2" t="str">
        <f>HYPERLINK("https://www.facebook.com/100001042338849")</f>
        <v>https://www.facebook.com/100001042338849</v>
      </c>
      <c r="K707">
        <v>1439</v>
      </c>
      <c r="L707" t="s">
        <v>6064</v>
      </c>
      <c r="N707" t="s">
        <v>13</v>
      </c>
      <c r="O707" t="s">
        <v>2199</v>
      </c>
      <c r="P707" s="2" t="str">
        <f>HYPERLINK("https://www.facebook.com/100001415260849")</f>
        <v>https://www.facebook.com/100001415260849</v>
      </c>
      <c r="Q707">
        <v>0</v>
      </c>
      <c r="R707" t="s">
        <v>6067</v>
      </c>
      <c r="S707" t="s">
        <v>6073</v>
      </c>
    </row>
    <row r="708" spans="1:19" ht="14.25" customHeight="1" x14ac:dyDescent="0.3">
      <c r="A708" t="s">
        <v>3527</v>
      </c>
      <c r="B708" t="s">
        <v>716</v>
      </c>
      <c r="C708" t="s">
        <v>95</v>
      </c>
      <c r="D708" t="s">
        <v>2196</v>
      </c>
      <c r="E708" t="s">
        <v>3654</v>
      </c>
      <c r="F708" t="s">
        <v>6059</v>
      </c>
      <c r="G708" s="2" t="str">
        <f>HYPERLINK("https://www.facebook.com/100001415260849/posts/1744734525583706?comment_id=1745212945535864")</f>
        <v>https://www.facebook.com/100001415260849/posts/1744734525583706?comment_id=1745212945535864</v>
      </c>
      <c r="H708" t="s">
        <v>6062</v>
      </c>
      <c r="I708" t="s">
        <v>3630</v>
      </c>
      <c r="J708" s="2" t="str">
        <f>HYPERLINK("https://www.facebook.com/100001042338849")</f>
        <v>https://www.facebook.com/100001042338849</v>
      </c>
      <c r="K708">
        <v>1439</v>
      </c>
      <c r="L708" t="s">
        <v>6064</v>
      </c>
      <c r="N708" t="s">
        <v>13</v>
      </c>
      <c r="O708" t="s">
        <v>2199</v>
      </c>
      <c r="P708" s="2" t="str">
        <f>HYPERLINK("https://www.facebook.com/100001415260849")</f>
        <v>https://www.facebook.com/100001415260849</v>
      </c>
      <c r="Q708">
        <v>0</v>
      </c>
      <c r="R708" t="s">
        <v>6067</v>
      </c>
      <c r="S708" t="s">
        <v>6073</v>
      </c>
    </row>
    <row r="709" spans="1:19" ht="14.25" customHeight="1" x14ac:dyDescent="0.3">
      <c r="A709" t="s">
        <v>629</v>
      </c>
      <c r="B709" t="s">
        <v>593</v>
      </c>
      <c r="C709" t="s">
        <v>95</v>
      </c>
      <c r="D709" t="s">
        <v>544</v>
      </c>
      <c r="E709" t="s">
        <v>545</v>
      </c>
      <c r="F709" t="s">
        <v>6058</v>
      </c>
      <c r="G709" s="2" t="str">
        <f>HYPERLINK("https://www.facebook.com/100004594454345/posts/958102811019525")</f>
        <v>https://www.facebook.com/100004594454345/posts/958102811019525</v>
      </c>
      <c r="H709" t="s">
        <v>6062</v>
      </c>
      <c r="I709" t="s">
        <v>2168</v>
      </c>
      <c r="J709" s="2" t="str">
        <f>HYPERLINK("https://www.facebook.com/100004594454345")</f>
        <v>https://www.facebook.com/100004594454345</v>
      </c>
      <c r="K709">
        <v>31</v>
      </c>
      <c r="L709" t="s">
        <v>6064</v>
      </c>
      <c r="N709" t="s">
        <v>13</v>
      </c>
      <c r="O709" t="s">
        <v>2168</v>
      </c>
      <c r="P709" s="2" t="str">
        <f>HYPERLINK("https://www.facebook.com/100004594454345")</f>
        <v>https://www.facebook.com/100004594454345</v>
      </c>
      <c r="Q709">
        <v>31</v>
      </c>
      <c r="R709" t="s">
        <v>6067</v>
      </c>
      <c r="S709" t="s">
        <v>6100</v>
      </c>
    </row>
    <row r="710" spans="1:19" ht="14.25" customHeight="1" x14ac:dyDescent="0.3">
      <c r="A710" t="s">
        <v>2225</v>
      </c>
      <c r="B710" t="s">
        <v>764</v>
      </c>
      <c r="C710" t="s">
        <v>95</v>
      </c>
      <c r="D710" t="s">
        <v>544</v>
      </c>
      <c r="E710" t="s">
        <v>545</v>
      </c>
      <c r="F710" t="s">
        <v>6058</v>
      </c>
      <c r="G710" s="2" t="str">
        <f>HYPERLINK("https://www.facebook.com/100007020994531/posts/2067393603504653")</f>
        <v>https://www.facebook.com/100007020994531/posts/2067393603504653</v>
      </c>
      <c r="H710" t="s">
        <v>6062</v>
      </c>
      <c r="I710" t="s">
        <v>2868</v>
      </c>
      <c r="J710" s="2" t="str">
        <f>HYPERLINK("https://www.facebook.com/100007020994531")</f>
        <v>https://www.facebook.com/100007020994531</v>
      </c>
      <c r="K710">
        <v>615</v>
      </c>
      <c r="L710" t="s">
        <v>6064</v>
      </c>
      <c r="N710" t="s">
        <v>13</v>
      </c>
      <c r="O710" t="s">
        <v>2868</v>
      </c>
      <c r="P710" s="2" t="str">
        <f>HYPERLINK("https://www.facebook.com/100007020994531")</f>
        <v>https://www.facebook.com/100007020994531</v>
      </c>
      <c r="Q710">
        <v>615</v>
      </c>
      <c r="R710" t="s">
        <v>6067</v>
      </c>
      <c r="S710" t="s">
        <v>6073</v>
      </c>
    </row>
    <row r="711" spans="1:19" ht="14.25" customHeight="1" x14ac:dyDescent="0.3">
      <c r="A711" t="s">
        <v>5409</v>
      </c>
      <c r="B711" t="s">
        <v>1031</v>
      </c>
      <c r="C711" t="s">
        <v>3538</v>
      </c>
      <c r="D711" t="s">
        <v>5442</v>
      </c>
      <c r="E711" t="s">
        <v>5592</v>
      </c>
      <c r="F711" t="s">
        <v>6058</v>
      </c>
      <c r="G711" s="2" t="str">
        <f>HYPERLINK("https://www.facebook.com/100009448894926/posts/2048621772129433")</f>
        <v>https://www.facebook.com/100009448894926/posts/2048621772129433</v>
      </c>
      <c r="H711" t="s">
        <v>6062</v>
      </c>
      <c r="I711" t="s">
        <v>5641</v>
      </c>
      <c r="J711" s="2" t="str">
        <f>HYPERLINK("https://www.facebook.com/100009448894926")</f>
        <v>https://www.facebook.com/100009448894926</v>
      </c>
      <c r="K711">
        <v>7</v>
      </c>
      <c r="L711" t="s">
        <v>6064</v>
      </c>
      <c r="N711" t="s">
        <v>13</v>
      </c>
      <c r="O711" t="s">
        <v>5641</v>
      </c>
      <c r="P711" s="2" t="str">
        <f>HYPERLINK("https://www.facebook.com/100009448894926")</f>
        <v>https://www.facebook.com/100009448894926</v>
      </c>
      <c r="Q711">
        <v>7</v>
      </c>
      <c r="R711" t="s">
        <v>6067</v>
      </c>
      <c r="S711" t="s">
        <v>6073</v>
      </c>
    </row>
    <row r="712" spans="1:19" ht="14.25" customHeight="1" x14ac:dyDescent="0.3">
      <c r="A712" t="s">
        <v>629</v>
      </c>
      <c r="B712" t="s">
        <v>343</v>
      </c>
      <c r="C712" t="s">
        <v>95</v>
      </c>
      <c r="D712" t="s">
        <v>370</v>
      </c>
      <c r="E712" t="s">
        <v>371</v>
      </c>
      <c r="F712" t="s">
        <v>6058</v>
      </c>
      <c r="G712" s="2" t="str">
        <f>HYPERLINK("https://www.facebook.com/100014728098014/posts/359490087885258")</f>
        <v>https://www.facebook.com/100014728098014/posts/359490087885258</v>
      </c>
      <c r="H712" t="s">
        <v>6062</v>
      </c>
      <c r="I712" t="s">
        <v>1560</v>
      </c>
      <c r="J712" s="2" t="str">
        <f>HYPERLINK("https://www.facebook.com/100014728098014")</f>
        <v>https://www.facebook.com/100014728098014</v>
      </c>
      <c r="K712">
        <v>193</v>
      </c>
      <c r="L712" t="s">
        <v>6064</v>
      </c>
      <c r="N712" t="s">
        <v>13</v>
      </c>
      <c r="O712" t="s">
        <v>1560</v>
      </c>
      <c r="P712" s="2" t="str">
        <f>HYPERLINK("https://www.facebook.com/100014728098014")</f>
        <v>https://www.facebook.com/100014728098014</v>
      </c>
      <c r="Q712">
        <v>193</v>
      </c>
      <c r="R712" t="s">
        <v>6067</v>
      </c>
      <c r="S712" t="s">
        <v>6091</v>
      </c>
    </row>
    <row r="713" spans="1:19" ht="14.25" customHeight="1" x14ac:dyDescent="0.3">
      <c r="A713" t="s">
        <v>2225</v>
      </c>
      <c r="B713" t="s">
        <v>2488</v>
      </c>
      <c r="C713" t="s">
        <v>95</v>
      </c>
      <c r="D713" t="s">
        <v>853</v>
      </c>
      <c r="E713" t="s">
        <v>2492</v>
      </c>
      <c r="F713" t="s">
        <v>6059</v>
      </c>
      <c r="G713" s="2" t="str">
        <f>HYPERLINK("https://www.facebook.com/100008934274771/posts/1810262525948206?comment_id=1810292172611908")</f>
        <v>https://www.facebook.com/100008934274771/posts/1810262525948206?comment_id=1810292172611908</v>
      </c>
      <c r="H713" t="s">
        <v>6062</v>
      </c>
      <c r="I713" t="s">
        <v>2493</v>
      </c>
      <c r="J713" s="2" t="str">
        <f>HYPERLINK("https://www.facebook.com/100005902807713")</f>
        <v>https://www.facebook.com/100005902807713</v>
      </c>
      <c r="K713">
        <v>303</v>
      </c>
      <c r="L713" t="s">
        <v>6064</v>
      </c>
      <c r="N713" t="s">
        <v>13</v>
      </c>
      <c r="O713" t="s">
        <v>856</v>
      </c>
      <c r="P713" s="2" t="str">
        <f>HYPERLINK("https://www.facebook.com/100008934274771")</f>
        <v>https://www.facebook.com/100008934274771</v>
      </c>
      <c r="Q713">
        <v>10395</v>
      </c>
      <c r="R713" t="s">
        <v>6067</v>
      </c>
      <c r="S713" t="s">
        <v>6091</v>
      </c>
    </row>
    <row r="714" spans="1:19" ht="14.25" customHeight="1" x14ac:dyDescent="0.3">
      <c r="A714" t="s">
        <v>629</v>
      </c>
      <c r="B714" t="s">
        <v>997</v>
      </c>
      <c r="C714" t="s">
        <v>95</v>
      </c>
      <c r="D714" t="s">
        <v>370</v>
      </c>
      <c r="E714" t="s">
        <v>371</v>
      </c>
      <c r="F714" t="s">
        <v>6058</v>
      </c>
      <c r="G714" s="2" t="str">
        <f>HYPERLINK("https://www.facebook.com/1665726313/posts/10214820126251144")</f>
        <v>https://www.facebook.com/1665726313/posts/10214820126251144</v>
      </c>
      <c r="H714" t="s">
        <v>6062</v>
      </c>
      <c r="I714" t="s">
        <v>998</v>
      </c>
      <c r="J714" s="2" t="str">
        <f>HYPERLINK("https://www.facebook.com/1665726313")</f>
        <v>https://www.facebook.com/1665726313</v>
      </c>
      <c r="K714">
        <v>0</v>
      </c>
      <c r="L714" t="s">
        <v>6064</v>
      </c>
      <c r="N714" t="s">
        <v>13</v>
      </c>
      <c r="O714" t="s">
        <v>998</v>
      </c>
      <c r="P714" s="2" t="str">
        <f>HYPERLINK("https://www.facebook.com/1665726313")</f>
        <v>https://www.facebook.com/1665726313</v>
      </c>
      <c r="Q714">
        <v>0</v>
      </c>
      <c r="R714" t="s">
        <v>6067</v>
      </c>
    </row>
    <row r="715" spans="1:19" ht="14.25" customHeight="1" x14ac:dyDescent="0.3">
      <c r="A715" t="s">
        <v>4439</v>
      </c>
      <c r="B715" t="s">
        <v>1713</v>
      </c>
      <c r="C715" t="s">
        <v>3538</v>
      </c>
      <c r="D715" t="s">
        <v>4830</v>
      </c>
      <c r="E715" t="s">
        <v>4831</v>
      </c>
      <c r="F715" t="s">
        <v>6056</v>
      </c>
      <c r="G715" s="2" t="str">
        <f>HYPERLINK("https://www.facebook.com/100002422927543/posts/1625851764172239")</f>
        <v>https://www.facebook.com/100002422927543/posts/1625851764172239</v>
      </c>
      <c r="H715" t="s">
        <v>6062</v>
      </c>
      <c r="I715" t="s">
        <v>4832</v>
      </c>
      <c r="J715" s="2" t="str">
        <f>HYPERLINK("https://www.facebook.com/100002422927543")</f>
        <v>https://www.facebook.com/100002422927543</v>
      </c>
      <c r="K715">
        <v>608</v>
      </c>
      <c r="L715" t="s">
        <v>6063</v>
      </c>
      <c r="N715" t="s">
        <v>13</v>
      </c>
      <c r="O715" t="s">
        <v>4832</v>
      </c>
      <c r="P715" s="2" t="str">
        <f>HYPERLINK("https://www.facebook.com/100002422927543")</f>
        <v>https://www.facebook.com/100002422927543</v>
      </c>
      <c r="Q715">
        <v>608</v>
      </c>
      <c r="R715" t="s">
        <v>6067</v>
      </c>
      <c r="S715" t="s">
        <v>6073</v>
      </c>
    </row>
    <row r="716" spans="1:19" ht="14.25" customHeight="1" x14ac:dyDescent="0.3">
      <c r="A716" t="s">
        <v>3527</v>
      </c>
      <c r="B716" t="s">
        <v>3762</v>
      </c>
      <c r="C716" t="s">
        <v>95</v>
      </c>
      <c r="D716" t="s">
        <v>3765</v>
      </c>
      <c r="E716" t="s">
        <v>3765</v>
      </c>
      <c r="F716" t="s">
        <v>6056</v>
      </c>
      <c r="G716" s="2" t="str">
        <f>HYPERLINK("https://www.facebook.com/100001898433662/posts/1892046730868590")</f>
        <v>https://www.facebook.com/100001898433662/posts/1892046730868590</v>
      </c>
      <c r="H716" t="s">
        <v>6062</v>
      </c>
      <c r="I716" t="s">
        <v>3766</v>
      </c>
      <c r="J716" s="2" t="str">
        <f>HYPERLINK("https://www.facebook.com/100001898433662")</f>
        <v>https://www.facebook.com/100001898433662</v>
      </c>
      <c r="K716">
        <v>0</v>
      </c>
      <c r="L716" t="s">
        <v>6063</v>
      </c>
      <c r="N716" t="s">
        <v>13</v>
      </c>
      <c r="O716" t="s">
        <v>3766</v>
      </c>
      <c r="P716" s="2" t="str">
        <f>HYPERLINK("https://www.facebook.com/100001898433662")</f>
        <v>https://www.facebook.com/100001898433662</v>
      </c>
      <c r="Q716">
        <v>0</v>
      </c>
      <c r="R716" t="s">
        <v>6067</v>
      </c>
      <c r="S716" t="s">
        <v>6073</v>
      </c>
    </row>
    <row r="717" spans="1:19" ht="14.25" customHeight="1" x14ac:dyDescent="0.3">
      <c r="A717" t="s">
        <v>629</v>
      </c>
      <c r="B717" t="s">
        <v>704</v>
      </c>
      <c r="C717" t="s">
        <v>95</v>
      </c>
      <c r="D717" t="s">
        <v>705</v>
      </c>
      <c r="E717" t="s">
        <v>706</v>
      </c>
      <c r="F717" t="s">
        <v>6059</v>
      </c>
      <c r="G717" s="2" t="str">
        <f>HYPERLINK("https://www.facebook.com/100009448141933/posts/2010281069296812?comment_id=2028722300786022")</f>
        <v>https://www.facebook.com/100009448141933/posts/2010281069296812?comment_id=2028722300786022</v>
      </c>
      <c r="H717" t="s">
        <v>6062</v>
      </c>
      <c r="I717" t="s">
        <v>707</v>
      </c>
      <c r="J717" s="2" t="str">
        <f>HYPERLINK("https://www.facebook.com/1485866229")</f>
        <v>https://www.facebook.com/1485866229</v>
      </c>
      <c r="K717">
        <v>573</v>
      </c>
      <c r="L717" t="s">
        <v>6063</v>
      </c>
      <c r="N717" t="s">
        <v>13</v>
      </c>
      <c r="O717" t="s">
        <v>708</v>
      </c>
      <c r="P717" s="2" t="str">
        <f>HYPERLINK("https://www.facebook.com/100009448141933")</f>
        <v>https://www.facebook.com/100009448141933</v>
      </c>
      <c r="Q717">
        <v>822</v>
      </c>
      <c r="R717" t="s">
        <v>6067</v>
      </c>
      <c r="S717" t="s">
        <v>6073</v>
      </c>
    </row>
    <row r="718" spans="1:19" ht="14.25" customHeight="1" x14ac:dyDescent="0.3">
      <c r="A718" t="s">
        <v>2225</v>
      </c>
      <c r="B718" t="s">
        <v>1253</v>
      </c>
      <c r="C718" t="s">
        <v>95</v>
      </c>
      <c r="D718" t="s">
        <v>1409</v>
      </c>
      <c r="E718" t="s">
        <v>3193</v>
      </c>
      <c r="F718" t="s">
        <v>6059</v>
      </c>
      <c r="G718" s="2" t="str">
        <f>HYPERLINK("https://www.facebook.com/1188505182/posts/10214974858303441?comment_id=10214974975106361")</f>
        <v>https://www.facebook.com/1188505182/posts/10214974858303441?comment_id=10214974975106361</v>
      </c>
      <c r="H718" t="s">
        <v>6062</v>
      </c>
      <c r="I718" t="s">
        <v>1411</v>
      </c>
      <c r="J718" s="2" t="str">
        <f t="shared" ref="J718:J724" si="15">HYPERLINK("https://www.facebook.com/1188505182")</f>
        <v>https://www.facebook.com/1188505182</v>
      </c>
      <c r="K718">
        <v>542</v>
      </c>
      <c r="L718" t="s">
        <v>6063</v>
      </c>
      <c r="N718" t="s">
        <v>13</v>
      </c>
      <c r="O718" t="s">
        <v>1411</v>
      </c>
      <c r="P718" s="2" t="str">
        <f t="shared" ref="P718:P724" si="16">HYPERLINK("https://www.facebook.com/1188505182")</f>
        <v>https://www.facebook.com/1188505182</v>
      </c>
      <c r="Q718">
        <v>542</v>
      </c>
      <c r="R718" t="s">
        <v>6067</v>
      </c>
      <c r="S718" t="s">
        <v>6073</v>
      </c>
    </row>
    <row r="719" spans="1:19" ht="14.25" customHeight="1" x14ac:dyDescent="0.3">
      <c r="A719" t="s">
        <v>2225</v>
      </c>
      <c r="B719" t="s">
        <v>8</v>
      </c>
      <c r="C719" t="s">
        <v>95</v>
      </c>
      <c r="D719" t="s">
        <v>1409</v>
      </c>
      <c r="E719" t="s">
        <v>3186</v>
      </c>
      <c r="F719" t="s">
        <v>6059</v>
      </c>
      <c r="G719" s="2" t="str">
        <f>HYPERLINK("https://www.facebook.com/1188505182/posts/10214974858303441?comment_id=10214975009347217")</f>
        <v>https://www.facebook.com/1188505182/posts/10214974858303441?comment_id=10214975009347217</v>
      </c>
      <c r="H719" t="s">
        <v>6062</v>
      </c>
      <c r="I719" t="s">
        <v>1411</v>
      </c>
      <c r="J719" s="2" t="str">
        <f t="shared" si="15"/>
        <v>https://www.facebook.com/1188505182</v>
      </c>
      <c r="K719">
        <v>542</v>
      </c>
      <c r="L719" t="s">
        <v>6063</v>
      </c>
      <c r="N719" t="s">
        <v>13</v>
      </c>
      <c r="O719" t="s">
        <v>1411</v>
      </c>
      <c r="P719" s="2" t="str">
        <f t="shared" si="16"/>
        <v>https://www.facebook.com/1188505182</v>
      </c>
      <c r="Q719">
        <v>542</v>
      </c>
      <c r="R719" t="s">
        <v>6067</v>
      </c>
      <c r="S719" t="s">
        <v>6073</v>
      </c>
    </row>
    <row r="720" spans="1:19" ht="14.25" customHeight="1" x14ac:dyDescent="0.3">
      <c r="A720" t="s">
        <v>629</v>
      </c>
      <c r="B720" t="s">
        <v>1408</v>
      </c>
      <c r="C720" t="s">
        <v>95</v>
      </c>
      <c r="D720" t="s">
        <v>1409</v>
      </c>
      <c r="E720" t="s">
        <v>1410</v>
      </c>
      <c r="F720" t="s">
        <v>6059</v>
      </c>
      <c r="G720" s="2" t="str">
        <f>HYPERLINK("https://www.facebook.com/1188505182/posts/10214974858303441?comment_id=10214981987041655")</f>
        <v>https://www.facebook.com/1188505182/posts/10214974858303441?comment_id=10214981987041655</v>
      </c>
      <c r="H720" t="s">
        <v>6062</v>
      </c>
      <c r="I720" t="s">
        <v>1411</v>
      </c>
      <c r="J720" s="2" t="str">
        <f t="shared" si="15"/>
        <v>https://www.facebook.com/1188505182</v>
      </c>
      <c r="K720">
        <v>542</v>
      </c>
      <c r="L720" t="s">
        <v>6063</v>
      </c>
      <c r="N720" t="s">
        <v>13</v>
      </c>
      <c r="O720" t="s">
        <v>1411</v>
      </c>
      <c r="P720" s="2" t="str">
        <f t="shared" si="16"/>
        <v>https://www.facebook.com/1188505182</v>
      </c>
      <c r="Q720">
        <v>542</v>
      </c>
      <c r="R720" t="s">
        <v>6067</v>
      </c>
      <c r="S720" t="s">
        <v>6073</v>
      </c>
    </row>
    <row r="721" spans="1:19" ht="14.25" customHeight="1" x14ac:dyDescent="0.3">
      <c r="A721" t="s">
        <v>2225</v>
      </c>
      <c r="B721" t="s">
        <v>1232</v>
      </c>
      <c r="C721" t="s">
        <v>95</v>
      </c>
      <c r="D721" t="s">
        <v>1409</v>
      </c>
      <c r="E721" t="s">
        <v>3182</v>
      </c>
      <c r="F721" t="s">
        <v>6059</v>
      </c>
      <c r="G721" s="2" t="str">
        <f>HYPERLINK("https://www.facebook.com/1188505182/posts/10214974858303441?comment_id=10214975015867380")</f>
        <v>https://www.facebook.com/1188505182/posts/10214974858303441?comment_id=10214975015867380</v>
      </c>
      <c r="H721" t="s">
        <v>6062</v>
      </c>
      <c r="I721" t="s">
        <v>1411</v>
      </c>
      <c r="J721" s="2" t="str">
        <f t="shared" si="15"/>
        <v>https://www.facebook.com/1188505182</v>
      </c>
      <c r="K721">
        <v>542</v>
      </c>
      <c r="L721" t="s">
        <v>6063</v>
      </c>
      <c r="N721" t="s">
        <v>13</v>
      </c>
      <c r="O721" t="s">
        <v>1411</v>
      </c>
      <c r="P721" s="2" t="str">
        <f t="shared" si="16"/>
        <v>https://www.facebook.com/1188505182</v>
      </c>
      <c r="Q721">
        <v>542</v>
      </c>
      <c r="R721" t="s">
        <v>6067</v>
      </c>
      <c r="S721" t="s">
        <v>6073</v>
      </c>
    </row>
    <row r="722" spans="1:19" ht="14.25" customHeight="1" x14ac:dyDescent="0.3">
      <c r="A722" t="s">
        <v>2225</v>
      </c>
      <c r="B722" t="s">
        <v>19</v>
      </c>
      <c r="C722" t="s">
        <v>95</v>
      </c>
      <c r="D722" t="s">
        <v>1409</v>
      </c>
      <c r="E722" t="s">
        <v>3205</v>
      </c>
      <c r="F722" t="s">
        <v>6059</v>
      </c>
      <c r="G722" s="2" t="str">
        <f>HYPERLINK("https://www.facebook.com/1188505182/posts/10214974858303441?comment_id=10214974912024784")</f>
        <v>https://www.facebook.com/1188505182/posts/10214974858303441?comment_id=10214974912024784</v>
      </c>
      <c r="H722" t="s">
        <v>6062</v>
      </c>
      <c r="I722" t="s">
        <v>1411</v>
      </c>
      <c r="J722" s="2" t="str">
        <f t="shared" si="15"/>
        <v>https://www.facebook.com/1188505182</v>
      </c>
      <c r="K722">
        <v>542</v>
      </c>
      <c r="L722" t="s">
        <v>6063</v>
      </c>
      <c r="N722" t="s">
        <v>13</v>
      </c>
      <c r="O722" t="s">
        <v>1411</v>
      </c>
      <c r="P722" s="2" t="str">
        <f t="shared" si="16"/>
        <v>https://www.facebook.com/1188505182</v>
      </c>
      <c r="Q722">
        <v>542</v>
      </c>
      <c r="R722" t="s">
        <v>6067</v>
      </c>
      <c r="S722" t="s">
        <v>6073</v>
      </c>
    </row>
    <row r="723" spans="1:19" ht="14.25" customHeight="1" x14ac:dyDescent="0.3">
      <c r="A723" t="s">
        <v>2225</v>
      </c>
      <c r="B723" t="s">
        <v>1264</v>
      </c>
      <c r="C723" t="s">
        <v>95</v>
      </c>
      <c r="D723" t="s">
        <v>1409</v>
      </c>
      <c r="E723" t="s">
        <v>3199</v>
      </c>
      <c r="F723" t="s">
        <v>6059</v>
      </c>
      <c r="G723" s="2" t="str">
        <f>HYPERLINK("https://www.facebook.com/1188505182/posts/10214974858303441?comment_id=10214974953545822")</f>
        <v>https://www.facebook.com/1188505182/posts/10214974858303441?comment_id=10214974953545822</v>
      </c>
      <c r="H723" t="s">
        <v>6062</v>
      </c>
      <c r="I723" t="s">
        <v>1411</v>
      </c>
      <c r="J723" s="2" t="str">
        <f t="shared" si="15"/>
        <v>https://www.facebook.com/1188505182</v>
      </c>
      <c r="K723">
        <v>542</v>
      </c>
      <c r="L723" t="s">
        <v>6063</v>
      </c>
      <c r="N723" t="s">
        <v>13</v>
      </c>
      <c r="O723" t="s">
        <v>1411</v>
      </c>
      <c r="P723" s="2" t="str">
        <f t="shared" si="16"/>
        <v>https://www.facebook.com/1188505182</v>
      </c>
      <c r="Q723">
        <v>542</v>
      </c>
      <c r="R723" t="s">
        <v>6067</v>
      </c>
      <c r="S723" t="s">
        <v>6073</v>
      </c>
    </row>
    <row r="724" spans="1:19" ht="14.25" customHeight="1" x14ac:dyDescent="0.3">
      <c r="A724" t="s">
        <v>2225</v>
      </c>
      <c r="B724" t="s">
        <v>1307</v>
      </c>
      <c r="C724" t="s">
        <v>95</v>
      </c>
      <c r="D724" t="s">
        <v>1409</v>
      </c>
      <c r="E724" t="s">
        <v>3216</v>
      </c>
      <c r="F724" t="s">
        <v>6056</v>
      </c>
      <c r="G724" s="2" t="str">
        <f>HYPERLINK("https://www.facebook.com/1188505182/posts/10214974858303441")</f>
        <v>https://www.facebook.com/1188505182/posts/10214974858303441</v>
      </c>
      <c r="H724" t="s">
        <v>6062</v>
      </c>
      <c r="I724" t="s">
        <v>1411</v>
      </c>
      <c r="J724" s="2" t="str">
        <f t="shared" si="15"/>
        <v>https://www.facebook.com/1188505182</v>
      </c>
      <c r="K724">
        <v>542</v>
      </c>
      <c r="L724" t="s">
        <v>6063</v>
      </c>
      <c r="N724" t="s">
        <v>13</v>
      </c>
      <c r="O724" t="s">
        <v>1411</v>
      </c>
      <c r="P724" s="2" t="str">
        <f t="shared" si="16"/>
        <v>https://www.facebook.com/1188505182</v>
      </c>
      <c r="Q724">
        <v>542</v>
      </c>
      <c r="R724" t="s">
        <v>6067</v>
      </c>
      <c r="S724" t="s">
        <v>6073</v>
      </c>
    </row>
    <row r="725" spans="1:19" ht="14.25" customHeight="1" x14ac:dyDescent="0.3">
      <c r="A725" t="s">
        <v>3527</v>
      </c>
      <c r="B725" t="s">
        <v>921</v>
      </c>
      <c r="C725" t="s">
        <v>95</v>
      </c>
      <c r="D725" t="s">
        <v>3941</v>
      </c>
      <c r="E725" t="s">
        <v>3942</v>
      </c>
      <c r="F725" t="s">
        <v>6059</v>
      </c>
      <c r="G725" s="2" t="str">
        <f>HYPERLINK("https://www.facebook.com/100000170423294/posts/2129883800360613?comment_id=2129976183684708")</f>
        <v>https://www.facebook.com/100000170423294/posts/2129883800360613?comment_id=2129976183684708</v>
      </c>
      <c r="H725" t="s">
        <v>6062</v>
      </c>
      <c r="I725" t="s">
        <v>3943</v>
      </c>
      <c r="J725" s="2" t="str">
        <f>HYPERLINK("https://www.facebook.com/100000170423294")</f>
        <v>https://www.facebook.com/100000170423294</v>
      </c>
      <c r="K725">
        <v>7779</v>
      </c>
      <c r="N725" t="s">
        <v>13</v>
      </c>
      <c r="O725" t="s">
        <v>3943</v>
      </c>
      <c r="P725" s="2" t="str">
        <f>HYPERLINK("https://www.facebook.com/100000170423294")</f>
        <v>https://www.facebook.com/100000170423294</v>
      </c>
      <c r="Q725">
        <v>7779</v>
      </c>
      <c r="R725" t="s">
        <v>6067</v>
      </c>
      <c r="S725" t="s">
        <v>6073</v>
      </c>
    </row>
    <row r="726" spans="1:19" ht="14.25" customHeight="1" x14ac:dyDescent="0.3">
      <c r="A726" t="s">
        <v>3527</v>
      </c>
      <c r="B726" t="s">
        <v>3580</v>
      </c>
      <c r="C726" t="s">
        <v>95</v>
      </c>
      <c r="D726" t="s">
        <v>2419</v>
      </c>
      <c r="E726" t="s">
        <v>2420</v>
      </c>
      <c r="F726" t="s">
        <v>6058</v>
      </c>
      <c r="G726" s="2" t="str">
        <f>HYPERLINK("https://www.facebook.com/100003529640145/posts/1433031403491167")</f>
        <v>https://www.facebook.com/100003529640145/posts/1433031403491167</v>
      </c>
      <c r="H726" t="s">
        <v>6062</v>
      </c>
      <c r="I726" t="s">
        <v>3581</v>
      </c>
      <c r="J726" s="2" t="str">
        <f>HYPERLINK("https://www.facebook.com/100003529640145")</f>
        <v>https://www.facebook.com/100003529640145</v>
      </c>
      <c r="K726">
        <v>235</v>
      </c>
      <c r="L726" t="s">
        <v>6063</v>
      </c>
      <c r="N726" t="s">
        <v>13</v>
      </c>
      <c r="O726" t="s">
        <v>3581</v>
      </c>
      <c r="P726" s="2" t="str">
        <f>HYPERLINK("https://www.facebook.com/100003529640145")</f>
        <v>https://www.facebook.com/100003529640145</v>
      </c>
      <c r="Q726">
        <v>235</v>
      </c>
      <c r="R726" t="s">
        <v>6067</v>
      </c>
      <c r="S726" t="s">
        <v>6073</v>
      </c>
    </row>
    <row r="727" spans="1:19" ht="14.25" customHeight="1" x14ac:dyDescent="0.3">
      <c r="A727" t="s">
        <v>2225</v>
      </c>
      <c r="B727" t="s">
        <v>2696</v>
      </c>
      <c r="C727" t="s">
        <v>95</v>
      </c>
      <c r="D727" t="s">
        <v>544</v>
      </c>
      <c r="E727" t="s">
        <v>545</v>
      </c>
      <c r="F727" t="s">
        <v>6058</v>
      </c>
      <c r="G727" s="2" t="str">
        <f>HYPERLINK("https://www.facebook.com/100001812501513/posts/1872505576153174")</f>
        <v>https://www.facebook.com/100001812501513/posts/1872505576153174</v>
      </c>
      <c r="H727" t="s">
        <v>6062</v>
      </c>
      <c r="I727" t="s">
        <v>2698</v>
      </c>
      <c r="J727" s="2" t="str">
        <f>HYPERLINK("https://www.facebook.com/100001812501513")</f>
        <v>https://www.facebook.com/100001812501513</v>
      </c>
      <c r="K727">
        <v>0</v>
      </c>
      <c r="L727" t="s">
        <v>6063</v>
      </c>
      <c r="N727" t="s">
        <v>13</v>
      </c>
      <c r="O727" t="s">
        <v>2698</v>
      </c>
      <c r="P727" s="2" t="str">
        <f>HYPERLINK("https://www.facebook.com/100001812501513")</f>
        <v>https://www.facebook.com/100001812501513</v>
      </c>
      <c r="Q727">
        <v>0</v>
      </c>
      <c r="R727" t="s">
        <v>6067</v>
      </c>
      <c r="S727" t="s">
        <v>6073</v>
      </c>
    </row>
    <row r="728" spans="1:19" ht="14.25" customHeight="1" x14ac:dyDescent="0.3">
      <c r="A728" t="s">
        <v>5409</v>
      </c>
      <c r="B728" t="s">
        <v>1010</v>
      </c>
      <c r="C728" t="s">
        <v>3538</v>
      </c>
      <c r="D728" t="s">
        <v>5442</v>
      </c>
      <c r="E728" t="s">
        <v>5630</v>
      </c>
      <c r="F728" t="s">
        <v>6059</v>
      </c>
      <c r="G728" s="2" t="str">
        <f>HYPERLINK("https://www.facebook.com/100000480086400/posts/2357605387598774?comment_id=2358791937480119")</f>
        <v>https://www.facebook.com/100000480086400/posts/2357605387598774?comment_id=2358791937480119</v>
      </c>
      <c r="H728" t="s">
        <v>6062</v>
      </c>
      <c r="I728" t="s">
        <v>5631</v>
      </c>
      <c r="J728" s="2" t="str">
        <f>HYPERLINK("https://www.facebook.com/100002240911690")</f>
        <v>https://www.facebook.com/100002240911690</v>
      </c>
      <c r="K728">
        <v>79</v>
      </c>
      <c r="L728" t="s">
        <v>6063</v>
      </c>
      <c r="N728" t="s">
        <v>13</v>
      </c>
      <c r="O728" t="s">
        <v>5244</v>
      </c>
      <c r="P728" s="2" t="str">
        <f>HYPERLINK("https://www.facebook.com/100000480086400")</f>
        <v>https://www.facebook.com/100000480086400</v>
      </c>
      <c r="Q728">
        <v>6778</v>
      </c>
      <c r="R728" t="s">
        <v>6067</v>
      </c>
      <c r="S728" t="s">
        <v>6073</v>
      </c>
    </row>
    <row r="729" spans="1:19" ht="14.25" customHeight="1" x14ac:dyDescent="0.3">
      <c r="A729" t="s">
        <v>629</v>
      </c>
      <c r="B729" t="s">
        <v>1813</v>
      </c>
      <c r="C729" t="s">
        <v>95</v>
      </c>
      <c r="D729" t="s">
        <v>370</v>
      </c>
      <c r="E729" t="s">
        <v>371</v>
      </c>
      <c r="F729" t="s">
        <v>6058</v>
      </c>
      <c r="G729" s="2" t="str">
        <f>HYPERLINK("https://www.facebook.com/100004027464655/posts/1324789477665288")</f>
        <v>https://www.facebook.com/100004027464655/posts/1324789477665288</v>
      </c>
      <c r="H729" t="s">
        <v>6062</v>
      </c>
      <c r="I729" t="s">
        <v>1814</v>
      </c>
      <c r="J729" s="2" t="str">
        <f>HYPERLINK("https://www.facebook.com/100004027464655")</f>
        <v>https://www.facebook.com/100004027464655</v>
      </c>
      <c r="K729">
        <v>209</v>
      </c>
      <c r="L729" t="s">
        <v>6063</v>
      </c>
      <c r="N729" t="s">
        <v>13</v>
      </c>
      <c r="O729" t="s">
        <v>1814</v>
      </c>
      <c r="P729" s="2" t="str">
        <f>HYPERLINK("https://www.facebook.com/100004027464655")</f>
        <v>https://www.facebook.com/100004027464655</v>
      </c>
      <c r="Q729">
        <v>209</v>
      </c>
      <c r="R729" t="s">
        <v>6067</v>
      </c>
      <c r="S729" t="s">
        <v>6073</v>
      </c>
    </row>
    <row r="730" spans="1:19" ht="14.25" customHeight="1" x14ac:dyDescent="0.3">
      <c r="A730" t="s">
        <v>629</v>
      </c>
      <c r="B730" t="s">
        <v>1963</v>
      </c>
      <c r="C730" t="s">
        <v>95</v>
      </c>
      <c r="D730" t="s">
        <v>370</v>
      </c>
      <c r="E730" t="s">
        <v>371</v>
      </c>
      <c r="F730" t="s">
        <v>6058</v>
      </c>
      <c r="G730" s="2" t="str">
        <f>HYPERLINK("https://www.facebook.com/1749567981978542/posts/962525117238998")</f>
        <v>https://www.facebook.com/1749567981978542/posts/962525117238998</v>
      </c>
      <c r="H730" t="s">
        <v>6062</v>
      </c>
      <c r="I730" t="s">
        <v>1964</v>
      </c>
      <c r="J730" s="2" t="str">
        <f>HYPERLINK("https://www.facebook.com/100004445555426")</f>
        <v>https://www.facebook.com/100004445555426</v>
      </c>
      <c r="K730">
        <v>178</v>
      </c>
      <c r="L730" t="s">
        <v>6063</v>
      </c>
      <c r="N730" t="s">
        <v>13</v>
      </c>
      <c r="O730" t="s">
        <v>1965</v>
      </c>
      <c r="P730" s="2" t="str">
        <f>HYPERLINK("https://www.facebook.com/1749567981978542")</f>
        <v>https://www.facebook.com/1749567981978542</v>
      </c>
      <c r="R730" t="s">
        <v>6067</v>
      </c>
      <c r="S730" t="s">
        <v>6073</v>
      </c>
    </row>
    <row r="731" spans="1:19" ht="14.25" customHeight="1" x14ac:dyDescent="0.3">
      <c r="A731" t="s">
        <v>629</v>
      </c>
      <c r="B731" t="s">
        <v>1963</v>
      </c>
      <c r="C731" t="s">
        <v>95</v>
      </c>
      <c r="D731" t="s">
        <v>370</v>
      </c>
      <c r="E731" t="s">
        <v>371</v>
      </c>
      <c r="F731" t="s">
        <v>6058</v>
      </c>
      <c r="G731" s="2" t="str">
        <f>HYPERLINK("https://www.facebook.com/1992668177639609/posts/962525110572332")</f>
        <v>https://www.facebook.com/1992668177639609/posts/962525110572332</v>
      </c>
      <c r="H731" t="s">
        <v>6062</v>
      </c>
      <c r="I731" t="s">
        <v>1964</v>
      </c>
      <c r="J731" s="2" t="str">
        <f>HYPERLINK("https://www.facebook.com/100004445555426")</f>
        <v>https://www.facebook.com/100004445555426</v>
      </c>
      <c r="K731">
        <v>178</v>
      </c>
      <c r="L731" t="s">
        <v>6063</v>
      </c>
      <c r="N731" t="s">
        <v>13</v>
      </c>
      <c r="O731" t="s">
        <v>1727</v>
      </c>
      <c r="P731" s="2" t="str">
        <f>HYPERLINK("https://www.facebook.com/1992668177639609")</f>
        <v>https://www.facebook.com/1992668177639609</v>
      </c>
      <c r="R731" t="s">
        <v>6067</v>
      </c>
      <c r="S731" t="s">
        <v>6073</v>
      </c>
    </row>
    <row r="732" spans="1:19" ht="14.25" customHeight="1" x14ac:dyDescent="0.3">
      <c r="A732" t="s">
        <v>629</v>
      </c>
      <c r="B732" t="s">
        <v>1966</v>
      </c>
      <c r="C732" t="s">
        <v>95</v>
      </c>
      <c r="D732" t="s">
        <v>370</v>
      </c>
      <c r="E732" t="s">
        <v>371</v>
      </c>
      <c r="F732" t="s">
        <v>6058</v>
      </c>
      <c r="G732" s="2" t="str">
        <f>HYPERLINK("https://www.facebook.com/210659792349838/posts/962525093905667")</f>
        <v>https://www.facebook.com/210659792349838/posts/962525093905667</v>
      </c>
      <c r="H732" t="s">
        <v>6062</v>
      </c>
      <c r="I732" t="s">
        <v>1964</v>
      </c>
      <c r="J732" s="2" t="str">
        <f>HYPERLINK("https://www.facebook.com/100004445555426")</f>
        <v>https://www.facebook.com/100004445555426</v>
      </c>
      <c r="K732">
        <v>178</v>
      </c>
      <c r="L732" t="s">
        <v>6063</v>
      </c>
      <c r="N732" t="s">
        <v>13</v>
      </c>
      <c r="O732" t="s">
        <v>1967</v>
      </c>
      <c r="P732" s="2" t="str">
        <f>HYPERLINK("https://www.facebook.com/210659792349838")</f>
        <v>https://www.facebook.com/210659792349838</v>
      </c>
      <c r="Q732">
        <v>85</v>
      </c>
      <c r="R732" t="s">
        <v>6067</v>
      </c>
      <c r="S732" t="s">
        <v>6073</v>
      </c>
    </row>
    <row r="733" spans="1:19" ht="14.25" customHeight="1" x14ac:dyDescent="0.3">
      <c r="A733" t="s">
        <v>629</v>
      </c>
      <c r="B733" t="s">
        <v>1966</v>
      </c>
      <c r="C733" t="s">
        <v>95</v>
      </c>
      <c r="D733" t="s">
        <v>370</v>
      </c>
      <c r="E733" t="s">
        <v>371</v>
      </c>
      <c r="F733" t="s">
        <v>6058</v>
      </c>
      <c r="G733" s="2" t="str">
        <f>HYPERLINK("https://www.facebook.com/210659792349838/posts/1695963163819486")</f>
        <v>https://www.facebook.com/210659792349838/posts/1695963163819486</v>
      </c>
      <c r="H733" t="s">
        <v>6062</v>
      </c>
      <c r="I733" t="s">
        <v>1964</v>
      </c>
      <c r="J733" s="2" t="str">
        <f>HYPERLINK("https://www.facebook.com/100004445555426")</f>
        <v>https://www.facebook.com/100004445555426</v>
      </c>
      <c r="K733">
        <v>178</v>
      </c>
      <c r="L733" t="s">
        <v>6063</v>
      </c>
      <c r="N733" t="s">
        <v>13</v>
      </c>
      <c r="O733" t="s">
        <v>1967</v>
      </c>
      <c r="P733" s="2" t="str">
        <f>HYPERLINK("https://www.facebook.com/210659792349838")</f>
        <v>https://www.facebook.com/210659792349838</v>
      </c>
      <c r="Q733">
        <v>85</v>
      </c>
      <c r="R733" t="s">
        <v>6067</v>
      </c>
      <c r="S733" t="s">
        <v>6073</v>
      </c>
    </row>
    <row r="734" spans="1:19" ht="14.25" customHeight="1" x14ac:dyDescent="0.3">
      <c r="A734" t="s">
        <v>629</v>
      </c>
      <c r="B734" t="s">
        <v>845</v>
      </c>
      <c r="C734" t="s">
        <v>95</v>
      </c>
      <c r="D734" t="s">
        <v>10</v>
      </c>
      <c r="E734" t="s">
        <v>846</v>
      </c>
      <c r="F734" t="s">
        <v>6059</v>
      </c>
      <c r="G734" s="2" t="str">
        <f>HYPERLINK("https://www.facebook.com/762053551/posts/10156366210158552?comment_id=10156366750883552")</f>
        <v>https://www.facebook.com/762053551/posts/10156366210158552?comment_id=10156366750883552</v>
      </c>
      <c r="H734" t="s">
        <v>6062</v>
      </c>
      <c r="I734" t="s">
        <v>847</v>
      </c>
      <c r="J734" s="2" t="str">
        <f>HYPERLINK("https://www.facebook.com/100003666464880")</f>
        <v>https://www.facebook.com/100003666464880</v>
      </c>
      <c r="K734">
        <v>23</v>
      </c>
      <c r="L734" t="s">
        <v>6063</v>
      </c>
      <c r="N734" t="s">
        <v>13</v>
      </c>
      <c r="O734" t="s">
        <v>14</v>
      </c>
      <c r="P734" s="2" t="str">
        <f>HYPERLINK("https://www.facebook.com/762053551")</f>
        <v>https://www.facebook.com/762053551</v>
      </c>
      <c r="Q734">
        <v>102347</v>
      </c>
      <c r="R734" t="s">
        <v>6067</v>
      </c>
      <c r="S734" t="s">
        <v>6073</v>
      </c>
    </row>
    <row r="735" spans="1:19" ht="14.25" customHeight="1" x14ac:dyDescent="0.3">
      <c r="A735" t="s">
        <v>4439</v>
      </c>
      <c r="B735" t="s">
        <v>459</v>
      </c>
      <c r="C735" t="s">
        <v>3538</v>
      </c>
      <c r="D735" t="s">
        <v>522</v>
      </c>
      <c r="E735" t="s">
        <v>3994</v>
      </c>
      <c r="F735" t="s">
        <v>6058</v>
      </c>
      <c r="G735" s="2" t="str">
        <f>HYPERLINK("https://www.facebook.com/100004650032616/posts/992798177551841")</f>
        <v>https://www.facebook.com/100004650032616/posts/992798177551841</v>
      </c>
      <c r="H735" t="s">
        <v>6062</v>
      </c>
      <c r="I735" t="s">
        <v>4848</v>
      </c>
      <c r="J735" s="2" t="str">
        <f>HYPERLINK("https://www.facebook.com/100004650032616")</f>
        <v>https://www.facebook.com/100004650032616</v>
      </c>
      <c r="K735">
        <v>538</v>
      </c>
      <c r="L735" t="s">
        <v>6063</v>
      </c>
      <c r="N735" t="s">
        <v>13</v>
      </c>
      <c r="O735" t="s">
        <v>4848</v>
      </c>
      <c r="P735" s="2" t="str">
        <f>HYPERLINK("https://www.facebook.com/100004650032616")</f>
        <v>https://www.facebook.com/100004650032616</v>
      </c>
      <c r="Q735">
        <v>538</v>
      </c>
      <c r="R735" t="s">
        <v>6067</v>
      </c>
      <c r="S735" t="s">
        <v>6073</v>
      </c>
    </row>
    <row r="736" spans="1:19" ht="14.25" customHeight="1" x14ac:dyDescent="0.3">
      <c r="A736" t="s">
        <v>629</v>
      </c>
      <c r="B736" t="s">
        <v>377</v>
      </c>
      <c r="C736" t="s">
        <v>95</v>
      </c>
      <c r="D736" t="s">
        <v>370</v>
      </c>
      <c r="E736" t="s">
        <v>371</v>
      </c>
      <c r="F736" t="s">
        <v>6058</v>
      </c>
      <c r="G736" s="2" t="str">
        <f>HYPERLINK("https://www.facebook.com/100003898016472/posts/1130923173714272")</f>
        <v>https://www.facebook.com/100003898016472/posts/1130923173714272</v>
      </c>
      <c r="H736" t="s">
        <v>6062</v>
      </c>
      <c r="I736" t="s">
        <v>1671</v>
      </c>
      <c r="J736" s="2" t="str">
        <f>HYPERLINK("https://www.facebook.com/100003898016472")</f>
        <v>https://www.facebook.com/100003898016472</v>
      </c>
      <c r="K736">
        <v>394</v>
      </c>
      <c r="L736" t="s">
        <v>6063</v>
      </c>
      <c r="N736" t="s">
        <v>13</v>
      </c>
      <c r="O736" t="s">
        <v>1671</v>
      </c>
      <c r="P736" s="2" t="str">
        <f>HYPERLINK("https://www.facebook.com/100003898016472")</f>
        <v>https://www.facebook.com/100003898016472</v>
      </c>
      <c r="Q736">
        <v>394</v>
      </c>
      <c r="R736" t="s">
        <v>6067</v>
      </c>
      <c r="S736" t="s">
        <v>6073</v>
      </c>
    </row>
    <row r="737" spans="1:19" ht="14.25" customHeight="1" x14ac:dyDescent="0.3">
      <c r="A737" t="s">
        <v>629</v>
      </c>
      <c r="B737" t="s">
        <v>417</v>
      </c>
      <c r="C737" t="s">
        <v>95</v>
      </c>
      <c r="D737" t="s">
        <v>370</v>
      </c>
      <c r="E737" t="s">
        <v>371</v>
      </c>
      <c r="F737" t="s">
        <v>6058</v>
      </c>
      <c r="G737" s="2" t="str">
        <f>HYPERLINK("https://www.facebook.com/100007631437128/posts/2010811562516539")</f>
        <v>https://www.facebook.com/100007631437128/posts/2010811562516539</v>
      </c>
      <c r="H737" t="s">
        <v>6062</v>
      </c>
      <c r="I737" t="s">
        <v>1794</v>
      </c>
      <c r="J737" s="2" t="str">
        <f>HYPERLINK("https://www.facebook.com/100007631437128")</f>
        <v>https://www.facebook.com/100007631437128</v>
      </c>
      <c r="K737">
        <v>261</v>
      </c>
      <c r="L737" t="s">
        <v>6063</v>
      </c>
      <c r="N737" t="s">
        <v>13</v>
      </c>
      <c r="O737" t="s">
        <v>1794</v>
      </c>
      <c r="P737" s="2" t="str">
        <f>HYPERLINK("https://www.facebook.com/100007631437128")</f>
        <v>https://www.facebook.com/100007631437128</v>
      </c>
      <c r="Q737">
        <v>261</v>
      </c>
      <c r="R737" t="s">
        <v>6067</v>
      </c>
      <c r="S737" t="s">
        <v>6073</v>
      </c>
    </row>
    <row r="738" spans="1:19" ht="14.25" customHeight="1" x14ac:dyDescent="0.3">
      <c r="A738" t="s">
        <v>629</v>
      </c>
      <c r="B738" t="s">
        <v>1801</v>
      </c>
      <c r="C738" t="s">
        <v>95</v>
      </c>
      <c r="D738" t="s">
        <v>370</v>
      </c>
      <c r="E738" t="s">
        <v>371</v>
      </c>
      <c r="F738" t="s">
        <v>6058</v>
      </c>
      <c r="G738" s="2" t="str">
        <f>HYPERLINK("https://www.facebook.com/100007631437128/posts/2010810949183267")</f>
        <v>https://www.facebook.com/100007631437128/posts/2010810949183267</v>
      </c>
      <c r="H738" t="s">
        <v>6062</v>
      </c>
      <c r="I738" t="s">
        <v>1794</v>
      </c>
      <c r="J738" s="2" t="str">
        <f>HYPERLINK("https://www.facebook.com/100007631437128")</f>
        <v>https://www.facebook.com/100007631437128</v>
      </c>
      <c r="K738">
        <v>261</v>
      </c>
      <c r="L738" t="s">
        <v>6063</v>
      </c>
      <c r="N738" t="s">
        <v>13</v>
      </c>
      <c r="O738" t="s">
        <v>1794</v>
      </c>
      <c r="P738" s="2" t="str">
        <f>HYPERLINK("https://www.facebook.com/100007631437128")</f>
        <v>https://www.facebook.com/100007631437128</v>
      </c>
      <c r="Q738">
        <v>261</v>
      </c>
      <c r="R738" t="s">
        <v>6067</v>
      </c>
      <c r="S738" t="s">
        <v>6073</v>
      </c>
    </row>
    <row r="739" spans="1:19" ht="14.25" customHeight="1" x14ac:dyDescent="0.3">
      <c r="A739" t="s">
        <v>2225</v>
      </c>
      <c r="B739" t="s">
        <v>2287</v>
      </c>
      <c r="C739" t="s">
        <v>95</v>
      </c>
      <c r="D739" t="s">
        <v>853</v>
      </c>
      <c r="E739" t="s">
        <v>2288</v>
      </c>
      <c r="F739" t="s">
        <v>6059</v>
      </c>
      <c r="G739" s="2" t="str">
        <f>HYPERLINK("https://www.facebook.com/100008934274771/posts/1810262525948206?comment_id=1810310422610083")</f>
        <v>https://www.facebook.com/100008934274771/posts/1810262525948206?comment_id=1810310422610083</v>
      </c>
      <c r="H739" t="s">
        <v>6062</v>
      </c>
      <c r="I739" t="s">
        <v>2286</v>
      </c>
      <c r="J739" s="2" t="str">
        <f>HYPERLINK("https://www.facebook.com/100001735744347")</f>
        <v>https://www.facebook.com/100001735744347</v>
      </c>
      <c r="K739">
        <v>5710</v>
      </c>
      <c r="L739" t="s">
        <v>6063</v>
      </c>
      <c r="N739" t="s">
        <v>13</v>
      </c>
      <c r="O739" t="s">
        <v>856</v>
      </c>
      <c r="P739" s="2" t="str">
        <f>HYPERLINK("https://www.facebook.com/100008934274771")</f>
        <v>https://www.facebook.com/100008934274771</v>
      </c>
      <c r="Q739">
        <v>10395</v>
      </c>
      <c r="R739" t="s">
        <v>6067</v>
      </c>
      <c r="S739" t="s">
        <v>6073</v>
      </c>
    </row>
    <row r="740" spans="1:19" ht="14.25" customHeight="1" x14ac:dyDescent="0.3">
      <c r="A740" t="s">
        <v>2225</v>
      </c>
      <c r="B740" t="s">
        <v>2284</v>
      </c>
      <c r="C740" t="s">
        <v>95</v>
      </c>
      <c r="D740" t="s">
        <v>853</v>
      </c>
      <c r="E740" t="s">
        <v>2285</v>
      </c>
      <c r="F740" t="s">
        <v>6059</v>
      </c>
      <c r="G740" s="2" t="str">
        <f>HYPERLINK("https://www.facebook.com/100008934274771/posts/1810262525948206?comment_id=1810310892610036")</f>
        <v>https://www.facebook.com/100008934274771/posts/1810262525948206?comment_id=1810310892610036</v>
      </c>
      <c r="H740" t="s">
        <v>6062</v>
      </c>
      <c r="I740" t="s">
        <v>2286</v>
      </c>
      <c r="J740" s="2" t="str">
        <f>HYPERLINK("https://www.facebook.com/100001735744347")</f>
        <v>https://www.facebook.com/100001735744347</v>
      </c>
      <c r="K740">
        <v>5710</v>
      </c>
      <c r="L740" t="s">
        <v>6063</v>
      </c>
      <c r="N740" t="s">
        <v>13</v>
      </c>
      <c r="O740" t="s">
        <v>856</v>
      </c>
      <c r="P740" s="2" t="str">
        <f>HYPERLINK("https://www.facebook.com/100008934274771")</f>
        <v>https://www.facebook.com/100008934274771</v>
      </c>
      <c r="Q740">
        <v>10395</v>
      </c>
      <c r="R740" t="s">
        <v>6067</v>
      </c>
      <c r="S740" t="s">
        <v>6073</v>
      </c>
    </row>
    <row r="741" spans="1:19" ht="14.25" customHeight="1" x14ac:dyDescent="0.3">
      <c r="A741" t="s">
        <v>2225</v>
      </c>
      <c r="B741" t="s">
        <v>756</v>
      </c>
      <c r="C741" t="s">
        <v>95</v>
      </c>
      <c r="D741" t="s">
        <v>544</v>
      </c>
      <c r="E741" t="s">
        <v>545</v>
      </c>
      <c r="F741" t="s">
        <v>6058</v>
      </c>
      <c r="G741" s="2" t="str">
        <f>HYPERLINK("https://www.facebook.com/100005726769180/posts/898028483731369")</f>
        <v>https://www.facebook.com/100005726769180/posts/898028483731369</v>
      </c>
      <c r="H741" t="s">
        <v>6062</v>
      </c>
      <c r="I741" t="s">
        <v>2732</v>
      </c>
      <c r="J741" s="2" t="str">
        <f>HYPERLINK("https://www.facebook.com/100005726769180")</f>
        <v>https://www.facebook.com/100005726769180</v>
      </c>
      <c r="K741">
        <v>4235</v>
      </c>
      <c r="L741" t="s">
        <v>6064</v>
      </c>
      <c r="N741" t="s">
        <v>13</v>
      </c>
      <c r="O741" t="s">
        <v>2732</v>
      </c>
      <c r="P741" s="2" t="str">
        <f>HYPERLINK("https://www.facebook.com/100005726769180")</f>
        <v>https://www.facebook.com/100005726769180</v>
      </c>
      <c r="Q741">
        <v>4235</v>
      </c>
      <c r="R741" t="s">
        <v>6067</v>
      </c>
    </row>
    <row r="742" spans="1:19" ht="14.25" customHeight="1" x14ac:dyDescent="0.3">
      <c r="A742" t="s">
        <v>2225</v>
      </c>
      <c r="B742" t="s">
        <v>2836</v>
      </c>
      <c r="C742" t="s">
        <v>95</v>
      </c>
      <c r="D742" t="s">
        <v>544</v>
      </c>
      <c r="E742" t="s">
        <v>545</v>
      </c>
      <c r="F742" t="s">
        <v>6058</v>
      </c>
      <c r="G742" s="2" t="str">
        <f>HYPERLINK("https://www.facebook.com/100001948903113/posts/2026945947380349")</f>
        <v>https://www.facebook.com/100001948903113/posts/2026945947380349</v>
      </c>
      <c r="H742" t="s">
        <v>6062</v>
      </c>
      <c r="I742" t="s">
        <v>2844</v>
      </c>
      <c r="J742" s="2" t="str">
        <f>HYPERLINK("https://www.facebook.com/100001948903113")</f>
        <v>https://www.facebook.com/100001948903113</v>
      </c>
      <c r="K742">
        <v>0</v>
      </c>
      <c r="L742" t="s">
        <v>6064</v>
      </c>
      <c r="N742" t="s">
        <v>13</v>
      </c>
      <c r="O742" t="s">
        <v>2844</v>
      </c>
      <c r="P742" s="2" t="str">
        <f>HYPERLINK("https://www.facebook.com/100001948903113")</f>
        <v>https://www.facebook.com/100001948903113</v>
      </c>
      <c r="Q742">
        <v>0</v>
      </c>
      <c r="R742" t="s">
        <v>6067</v>
      </c>
    </row>
    <row r="743" spans="1:19" ht="14.25" customHeight="1" x14ac:dyDescent="0.3">
      <c r="A743" t="s">
        <v>4995</v>
      </c>
      <c r="B743" t="s">
        <v>21</v>
      </c>
      <c r="C743" t="s">
        <v>3538</v>
      </c>
      <c r="D743" t="s">
        <v>5194</v>
      </c>
      <c r="E743" t="s">
        <v>5199</v>
      </c>
      <c r="F743" t="s">
        <v>6059</v>
      </c>
      <c r="G743" s="2" t="str">
        <f>HYPERLINK("https://www.facebook.com/1821931048038638/posts/2132070070358066?comment_id=2132160907015649")</f>
        <v>https://www.facebook.com/1821931048038638/posts/2132070070358066?comment_id=2132160907015649</v>
      </c>
      <c r="H743" t="s">
        <v>6062</v>
      </c>
      <c r="I743" t="s">
        <v>5196</v>
      </c>
      <c r="J743" s="2" t="str">
        <f t="shared" ref="J743:J748" si="17">HYPERLINK("https://www.facebook.com/100002354704692")</f>
        <v>https://www.facebook.com/100002354704692</v>
      </c>
      <c r="K743">
        <v>0</v>
      </c>
      <c r="L743" t="s">
        <v>6064</v>
      </c>
      <c r="N743" t="s">
        <v>13</v>
      </c>
      <c r="O743" t="s">
        <v>5197</v>
      </c>
      <c r="P743" s="2" t="str">
        <f t="shared" ref="P743:P748" si="18">HYPERLINK("https://www.facebook.com/1821931048038638")</f>
        <v>https://www.facebook.com/1821931048038638</v>
      </c>
      <c r="Q743">
        <v>722</v>
      </c>
      <c r="R743" t="s">
        <v>6067</v>
      </c>
      <c r="S743" t="s">
        <v>6073</v>
      </c>
    </row>
    <row r="744" spans="1:19" ht="14.25" customHeight="1" x14ac:dyDescent="0.3">
      <c r="A744" t="s">
        <v>4995</v>
      </c>
      <c r="B744" t="s">
        <v>4746</v>
      </c>
      <c r="C744" t="s">
        <v>3538</v>
      </c>
      <c r="D744" t="s">
        <v>5194</v>
      </c>
      <c r="E744" t="s">
        <v>5262</v>
      </c>
      <c r="F744" t="s">
        <v>6059</v>
      </c>
      <c r="G744" s="2" t="str">
        <f>HYPERLINK("https://www.facebook.com/1821931048038638/posts/2132070070358066?comment_id=2132097613688645")</f>
        <v>https://www.facebook.com/1821931048038638/posts/2132070070358066?comment_id=2132097613688645</v>
      </c>
      <c r="H744" t="s">
        <v>6062</v>
      </c>
      <c r="I744" t="s">
        <v>5196</v>
      </c>
      <c r="J744" s="2" t="str">
        <f t="shared" si="17"/>
        <v>https://www.facebook.com/100002354704692</v>
      </c>
      <c r="K744">
        <v>0</v>
      </c>
      <c r="L744" t="s">
        <v>6064</v>
      </c>
      <c r="N744" t="s">
        <v>13</v>
      </c>
      <c r="O744" t="s">
        <v>5197</v>
      </c>
      <c r="P744" s="2" t="str">
        <f t="shared" si="18"/>
        <v>https://www.facebook.com/1821931048038638</v>
      </c>
      <c r="Q744">
        <v>722</v>
      </c>
      <c r="R744" t="s">
        <v>6067</v>
      </c>
      <c r="S744" t="s">
        <v>6073</v>
      </c>
    </row>
    <row r="745" spans="1:19" ht="14.25" customHeight="1" x14ac:dyDescent="0.3">
      <c r="A745" t="s">
        <v>4995</v>
      </c>
      <c r="B745" t="s">
        <v>1213</v>
      </c>
      <c r="C745" t="s">
        <v>3538</v>
      </c>
      <c r="D745" t="s">
        <v>5194</v>
      </c>
      <c r="E745" t="s">
        <v>5195</v>
      </c>
      <c r="F745" t="s">
        <v>6059</v>
      </c>
      <c r="G745" s="2" t="str">
        <f>HYPERLINK("https://www.facebook.com/1821931048038638/posts/2132070070358066?comment_id=2132168450348228")</f>
        <v>https://www.facebook.com/1821931048038638/posts/2132070070358066?comment_id=2132168450348228</v>
      </c>
      <c r="H745" t="s">
        <v>6062</v>
      </c>
      <c r="I745" t="s">
        <v>5196</v>
      </c>
      <c r="J745" s="2" t="str">
        <f t="shared" si="17"/>
        <v>https://www.facebook.com/100002354704692</v>
      </c>
      <c r="K745">
        <v>0</v>
      </c>
      <c r="L745" t="s">
        <v>6064</v>
      </c>
      <c r="N745" t="s">
        <v>13</v>
      </c>
      <c r="O745" t="s">
        <v>5197</v>
      </c>
      <c r="P745" s="2" t="str">
        <f t="shared" si="18"/>
        <v>https://www.facebook.com/1821931048038638</v>
      </c>
      <c r="Q745">
        <v>722</v>
      </c>
      <c r="R745" t="s">
        <v>6067</v>
      </c>
      <c r="S745" t="s">
        <v>6073</v>
      </c>
    </row>
    <row r="746" spans="1:19" ht="14.25" customHeight="1" x14ac:dyDescent="0.3">
      <c r="A746" t="s">
        <v>4995</v>
      </c>
      <c r="B746" t="s">
        <v>1618</v>
      </c>
      <c r="C746" t="s">
        <v>3538</v>
      </c>
      <c r="D746" t="s">
        <v>5194</v>
      </c>
      <c r="E746" t="s">
        <v>5303</v>
      </c>
      <c r="F746" t="s">
        <v>6059</v>
      </c>
      <c r="G746" s="2" t="str">
        <f>HYPERLINK("https://www.facebook.com/1821931048038638/posts/2132070070358066?comment_id=2132075247024215")</f>
        <v>https://www.facebook.com/1821931048038638/posts/2132070070358066?comment_id=2132075247024215</v>
      </c>
      <c r="H746" t="s">
        <v>6062</v>
      </c>
      <c r="I746" t="s">
        <v>5196</v>
      </c>
      <c r="J746" s="2" t="str">
        <f t="shared" si="17"/>
        <v>https://www.facebook.com/100002354704692</v>
      </c>
      <c r="K746">
        <v>0</v>
      </c>
      <c r="L746" t="s">
        <v>6064</v>
      </c>
      <c r="N746" t="s">
        <v>13</v>
      </c>
      <c r="O746" t="s">
        <v>5197</v>
      </c>
      <c r="P746" s="2" t="str">
        <f t="shared" si="18"/>
        <v>https://www.facebook.com/1821931048038638</v>
      </c>
      <c r="Q746">
        <v>722</v>
      </c>
      <c r="R746" t="s">
        <v>6067</v>
      </c>
      <c r="S746" t="s">
        <v>6073</v>
      </c>
    </row>
    <row r="747" spans="1:19" ht="14.25" customHeight="1" x14ac:dyDescent="0.3">
      <c r="A747" t="s">
        <v>4995</v>
      </c>
      <c r="B747" t="s">
        <v>286</v>
      </c>
      <c r="C747" t="s">
        <v>3538</v>
      </c>
      <c r="D747" t="s">
        <v>5194</v>
      </c>
      <c r="E747" t="s">
        <v>5277</v>
      </c>
      <c r="F747" t="s">
        <v>6059</v>
      </c>
      <c r="G747" s="2" t="str">
        <f>HYPERLINK("https://www.facebook.com/1821931048038638/posts/2132070070358066?comment_id=2132088053689601")</f>
        <v>https://www.facebook.com/1821931048038638/posts/2132070070358066?comment_id=2132088053689601</v>
      </c>
      <c r="H747" t="s">
        <v>6062</v>
      </c>
      <c r="I747" t="s">
        <v>5196</v>
      </c>
      <c r="J747" s="2" t="str">
        <f t="shared" si="17"/>
        <v>https://www.facebook.com/100002354704692</v>
      </c>
      <c r="K747">
        <v>0</v>
      </c>
      <c r="L747" t="s">
        <v>6064</v>
      </c>
      <c r="N747" t="s">
        <v>13</v>
      </c>
      <c r="O747" t="s">
        <v>5197</v>
      </c>
      <c r="P747" s="2" t="str">
        <f t="shared" si="18"/>
        <v>https://www.facebook.com/1821931048038638</v>
      </c>
      <c r="Q747">
        <v>722</v>
      </c>
      <c r="R747" t="s">
        <v>6067</v>
      </c>
      <c r="S747" t="s">
        <v>6073</v>
      </c>
    </row>
    <row r="748" spans="1:19" ht="14.25" customHeight="1" x14ac:dyDescent="0.3">
      <c r="A748" t="s">
        <v>4995</v>
      </c>
      <c r="B748" t="s">
        <v>1523</v>
      </c>
      <c r="C748" t="s">
        <v>3538</v>
      </c>
      <c r="D748" t="s">
        <v>5194</v>
      </c>
      <c r="E748" t="s">
        <v>5290</v>
      </c>
      <c r="F748" t="s">
        <v>6059</v>
      </c>
      <c r="G748" s="2" t="str">
        <f>HYPERLINK("https://www.facebook.com/1821931048038638/posts/2132070070358066?comment_id=2132086313689775")</f>
        <v>https://www.facebook.com/1821931048038638/posts/2132070070358066?comment_id=2132086313689775</v>
      </c>
      <c r="H748" t="s">
        <v>6062</v>
      </c>
      <c r="I748" t="s">
        <v>5196</v>
      </c>
      <c r="J748" s="2" t="str">
        <f t="shared" si="17"/>
        <v>https://www.facebook.com/100002354704692</v>
      </c>
      <c r="K748">
        <v>0</v>
      </c>
      <c r="L748" t="s">
        <v>6064</v>
      </c>
      <c r="N748" t="s">
        <v>13</v>
      </c>
      <c r="O748" t="s">
        <v>5197</v>
      </c>
      <c r="P748" s="2" t="str">
        <f t="shared" si="18"/>
        <v>https://www.facebook.com/1821931048038638</v>
      </c>
      <c r="Q748">
        <v>722</v>
      </c>
      <c r="R748" t="s">
        <v>6067</v>
      </c>
      <c r="S748" t="s">
        <v>6073</v>
      </c>
    </row>
    <row r="749" spans="1:19" ht="14.25" customHeight="1" x14ac:dyDescent="0.3">
      <c r="A749" t="s">
        <v>2225</v>
      </c>
      <c r="B749" t="s">
        <v>2792</v>
      </c>
      <c r="C749" t="s">
        <v>95</v>
      </c>
      <c r="D749" t="s">
        <v>1056</v>
      </c>
      <c r="E749" t="s">
        <v>2054</v>
      </c>
      <c r="F749" t="s">
        <v>6058</v>
      </c>
      <c r="G749" s="2" t="str">
        <f>HYPERLINK("https://www.facebook.com/100001947037599/posts/1893596540715229")</f>
        <v>https://www.facebook.com/100001947037599/posts/1893596540715229</v>
      </c>
      <c r="H749" t="s">
        <v>6062</v>
      </c>
      <c r="I749" t="s">
        <v>2793</v>
      </c>
      <c r="J749" s="2" t="str">
        <f>HYPERLINK("https://www.facebook.com/100001947037599")</f>
        <v>https://www.facebook.com/100001947037599</v>
      </c>
      <c r="K749">
        <v>79</v>
      </c>
      <c r="L749" t="s">
        <v>6064</v>
      </c>
      <c r="M749">
        <v>47</v>
      </c>
      <c r="N749" t="s">
        <v>13</v>
      </c>
      <c r="O749" t="s">
        <v>2793</v>
      </c>
      <c r="P749" s="2" t="str">
        <f>HYPERLINK("https://www.facebook.com/100001947037599")</f>
        <v>https://www.facebook.com/100001947037599</v>
      </c>
      <c r="Q749">
        <v>79</v>
      </c>
      <c r="R749" t="s">
        <v>6067</v>
      </c>
      <c r="S749" t="s">
        <v>6073</v>
      </c>
    </row>
    <row r="750" spans="1:19" ht="14.25" customHeight="1" x14ac:dyDescent="0.3">
      <c r="A750" t="s">
        <v>629</v>
      </c>
      <c r="B750" t="s">
        <v>32</v>
      </c>
      <c r="C750" t="s">
        <v>95</v>
      </c>
      <c r="D750" t="s">
        <v>10</v>
      </c>
      <c r="E750" t="s">
        <v>1283</v>
      </c>
      <c r="F750" t="s">
        <v>6059</v>
      </c>
      <c r="G750" s="2" t="str">
        <f>HYPERLINK("https://www.facebook.com/762053551/posts/10156366210158552?comment_id=10156366219498552")</f>
        <v>https://www.facebook.com/762053551/posts/10156366210158552?comment_id=10156366219498552</v>
      </c>
      <c r="H750" t="s">
        <v>6062</v>
      </c>
      <c r="I750" t="s">
        <v>1284</v>
      </c>
      <c r="J750" s="2" t="str">
        <f>HYPERLINK("https://www.facebook.com/100001322867205")</f>
        <v>https://www.facebook.com/100001322867205</v>
      </c>
      <c r="K750">
        <v>0</v>
      </c>
      <c r="L750" t="s">
        <v>6064</v>
      </c>
      <c r="N750" t="s">
        <v>13</v>
      </c>
      <c r="O750" t="s">
        <v>14</v>
      </c>
      <c r="P750" s="2" t="str">
        <f>HYPERLINK("https://www.facebook.com/762053551")</f>
        <v>https://www.facebook.com/762053551</v>
      </c>
      <c r="Q750">
        <v>102347</v>
      </c>
      <c r="R750" t="s">
        <v>6067</v>
      </c>
      <c r="S750" t="s">
        <v>6073</v>
      </c>
    </row>
    <row r="751" spans="1:19" ht="14.25" customHeight="1" x14ac:dyDescent="0.3">
      <c r="A751" t="s">
        <v>3527</v>
      </c>
      <c r="B751" t="s">
        <v>2221</v>
      </c>
      <c r="C751" t="s">
        <v>3538</v>
      </c>
      <c r="D751" t="s">
        <v>2419</v>
      </c>
      <c r="E751" t="s">
        <v>2420</v>
      </c>
      <c r="F751" t="s">
        <v>6058</v>
      </c>
      <c r="G751" s="2" t="str">
        <f>HYPERLINK("https://www.facebook.com/1594274704/posts/10213682464567931")</f>
        <v>https://www.facebook.com/1594274704/posts/10213682464567931</v>
      </c>
      <c r="H751" t="s">
        <v>6062</v>
      </c>
      <c r="I751" t="s">
        <v>4438</v>
      </c>
      <c r="J751" s="2" t="str">
        <f>HYPERLINK("https://www.facebook.com/1594274704")</f>
        <v>https://www.facebook.com/1594274704</v>
      </c>
      <c r="K751">
        <v>273</v>
      </c>
      <c r="L751" t="s">
        <v>6064</v>
      </c>
      <c r="N751" t="s">
        <v>13</v>
      </c>
      <c r="O751" t="s">
        <v>4438</v>
      </c>
      <c r="P751" s="2" t="str">
        <f>HYPERLINK("https://www.facebook.com/1594274704")</f>
        <v>https://www.facebook.com/1594274704</v>
      </c>
      <c r="Q751">
        <v>273</v>
      </c>
      <c r="R751" t="s">
        <v>6067</v>
      </c>
      <c r="S751" t="s">
        <v>6073</v>
      </c>
    </row>
    <row r="752" spans="1:19" ht="14.25" customHeight="1" x14ac:dyDescent="0.3">
      <c r="A752" t="s">
        <v>629</v>
      </c>
      <c r="B752" t="s">
        <v>468</v>
      </c>
      <c r="C752" t="s">
        <v>95</v>
      </c>
      <c r="D752" t="s">
        <v>370</v>
      </c>
      <c r="E752" t="s">
        <v>371</v>
      </c>
      <c r="F752" t="s">
        <v>6058</v>
      </c>
      <c r="G752" s="2" t="str">
        <f>HYPERLINK("https://www.facebook.com/100007947813401/posts/2060110307597210")</f>
        <v>https://www.facebook.com/100007947813401/posts/2060110307597210</v>
      </c>
      <c r="H752" t="s">
        <v>6062</v>
      </c>
      <c r="I752" t="s">
        <v>1984</v>
      </c>
      <c r="J752" s="2" t="str">
        <f>HYPERLINK("https://www.facebook.com/100007947813401")</f>
        <v>https://www.facebook.com/100007947813401</v>
      </c>
      <c r="K752">
        <v>0</v>
      </c>
      <c r="L752" t="s">
        <v>6063</v>
      </c>
      <c r="N752" t="s">
        <v>13</v>
      </c>
      <c r="O752" t="s">
        <v>1984</v>
      </c>
      <c r="P752" s="2" t="str">
        <f>HYPERLINK("https://www.facebook.com/100007947813401")</f>
        <v>https://www.facebook.com/100007947813401</v>
      </c>
      <c r="Q752">
        <v>0</v>
      </c>
      <c r="R752" t="s">
        <v>6067</v>
      </c>
      <c r="S752" t="s">
        <v>6073</v>
      </c>
    </row>
    <row r="753" spans="1:19" ht="14.25" customHeight="1" x14ac:dyDescent="0.3">
      <c r="A753" t="s">
        <v>2225</v>
      </c>
      <c r="B753" t="s">
        <v>3345</v>
      </c>
      <c r="C753" t="s">
        <v>95</v>
      </c>
      <c r="D753" t="s">
        <v>1099</v>
      </c>
      <c r="E753" t="s">
        <v>3346</v>
      </c>
      <c r="F753" t="s">
        <v>6059</v>
      </c>
      <c r="G753" s="2" t="str">
        <f>HYPERLINK("https://www.facebook.com/100002489064006/posts/1666923993400553?comment_id=1667324726693813")</f>
        <v>https://www.facebook.com/100002489064006/posts/1666923993400553?comment_id=1667324726693813</v>
      </c>
      <c r="H753" t="s">
        <v>6062</v>
      </c>
      <c r="I753" t="s">
        <v>1101</v>
      </c>
      <c r="J753" s="2" t="str">
        <f>HYPERLINK("https://www.facebook.com/100002489064006")</f>
        <v>https://www.facebook.com/100002489064006</v>
      </c>
      <c r="K753">
        <v>2089</v>
      </c>
      <c r="L753" t="s">
        <v>6063</v>
      </c>
      <c r="N753" t="s">
        <v>13</v>
      </c>
      <c r="O753" t="s">
        <v>1101</v>
      </c>
      <c r="P753" s="2" t="str">
        <f>HYPERLINK("https://www.facebook.com/100002489064006")</f>
        <v>https://www.facebook.com/100002489064006</v>
      </c>
      <c r="Q753">
        <v>2089</v>
      </c>
      <c r="R753" t="s">
        <v>6067</v>
      </c>
      <c r="S753" t="s">
        <v>6073</v>
      </c>
    </row>
    <row r="754" spans="1:19" ht="14.25" customHeight="1" x14ac:dyDescent="0.3">
      <c r="A754" t="s">
        <v>2225</v>
      </c>
      <c r="B754" t="s">
        <v>3265</v>
      </c>
      <c r="C754" t="s">
        <v>95</v>
      </c>
      <c r="D754" t="s">
        <v>1099</v>
      </c>
      <c r="E754" t="s">
        <v>3266</v>
      </c>
      <c r="F754" t="s">
        <v>6059</v>
      </c>
      <c r="G754" s="2" t="str">
        <f>HYPERLINK("https://www.facebook.com/100002489064006/posts/1666923993400553?comment_id=1667879336638352")</f>
        <v>https://www.facebook.com/100002489064006/posts/1666923993400553?comment_id=1667879336638352</v>
      </c>
      <c r="H754" t="s">
        <v>6062</v>
      </c>
      <c r="I754" t="s">
        <v>1101</v>
      </c>
      <c r="J754" s="2" t="str">
        <f>HYPERLINK("https://www.facebook.com/100002489064006")</f>
        <v>https://www.facebook.com/100002489064006</v>
      </c>
      <c r="K754">
        <v>2089</v>
      </c>
      <c r="L754" t="s">
        <v>6063</v>
      </c>
      <c r="N754" t="s">
        <v>13</v>
      </c>
      <c r="O754" t="s">
        <v>1101</v>
      </c>
      <c r="P754" s="2" t="str">
        <f>HYPERLINK("https://www.facebook.com/100002489064006")</f>
        <v>https://www.facebook.com/100002489064006</v>
      </c>
      <c r="Q754">
        <v>2089</v>
      </c>
      <c r="R754" t="s">
        <v>6067</v>
      </c>
      <c r="S754" t="s">
        <v>6073</v>
      </c>
    </row>
    <row r="755" spans="1:19" ht="14.25" customHeight="1" x14ac:dyDescent="0.3">
      <c r="A755" t="s">
        <v>2225</v>
      </c>
      <c r="B755" t="s">
        <v>302</v>
      </c>
      <c r="C755" t="s">
        <v>95</v>
      </c>
      <c r="D755" t="s">
        <v>1099</v>
      </c>
      <c r="E755" t="s">
        <v>3377</v>
      </c>
      <c r="F755" t="s">
        <v>6059</v>
      </c>
      <c r="G755" s="2" t="str">
        <f>HYPERLINK("https://www.facebook.com/100002489064006/posts/1666923993400553?comment_id=1666950210064598")</f>
        <v>https://www.facebook.com/100002489064006/posts/1666923993400553?comment_id=1666950210064598</v>
      </c>
      <c r="H755" t="s">
        <v>6062</v>
      </c>
      <c r="I755" t="s">
        <v>1101</v>
      </c>
      <c r="J755" s="2" t="str">
        <f>HYPERLINK("https://www.facebook.com/100002489064006")</f>
        <v>https://www.facebook.com/100002489064006</v>
      </c>
      <c r="K755">
        <v>2089</v>
      </c>
      <c r="L755" t="s">
        <v>6063</v>
      </c>
      <c r="N755" t="s">
        <v>13</v>
      </c>
      <c r="O755" t="s">
        <v>1101</v>
      </c>
      <c r="P755" s="2" t="str">
        <f>HYPERLINK("https://www.facebook.com/100002489064006")</f>
        <v>https://www.facebook.com/100002489064006</v>
      </c>
      <c r="Q755">
        <v>2089</v>
      </c>
      <c r="R755" t="s">
        <v>6067</v>
      </c>
      <c r="S755" t="s">
        <v>6073</v>
      </c>
    </row>
    <row r="756" spans="1:19" ht="14.25" customHeight="1" x14ac:dyDescent="0.3">
      <c r="A756" t="s">
        <v>2225</v>
      </c>
      <c r="B756" t="s">
        <v>1527</v>
      </c>
      <c r="C756" t="s">
        <v>95</v>
      </c>
      <c r="D756" t="s">
        <v>1099</v>
      </c>
      <c r="E756" t="s">
        <v>3372</v>
      </c>
      <c r="F756" t="s">
        <v>6059</v>
      </c>
      <c r="G756" s="2" t="str">
        <f>HYPERLINK("https://www.facebook.com/100002489064006/posts/1666923993400553?comment_id=1666993410060278")</f>
        <v>https://www.facebook.com/100002489064006/posts/1666923993400553?comment_id=1666993410060278</v>
      </c>
      <c r="H756" t="s">
        <v>6062</v>
      </c>
      <c r="I756" t="s">
        <v>1101</v>
      </c>
      <c r="J756" s="2" t="str">
        <f>HYPERLINK("https://www.facebook.com/100002489064006")</f>
        <v>https://www.facebook.com/100002489064006</v>
      </c>
      <c r="K756">
        <v>2089</v>
      </c>
      <c r="L756" t="s">
        <v>6063</v>
      </c>
      <c r="N756" t="s">
        <v>13</v>
      </c>
      <c r="O756" t="s">
        <v>1101</v>
      </c>
      <c r="P756" s="2" t="str">
        <f>HYPERLINK("https://www.facebook.com/100002489064006")</f>
        <v>https://www.facebook.com/100002489064006</v>
      </c>
      <c r="Q756">
        <v>2089</v>
      </c>
      <c r="R756" t="s">
        <v>6067</v>
      </c>
      <c r="S756" t="s">
        <v>6073</v>
      </c>
    </row>
    <row r="757" spans="1:19" ht="14.25" customHeight="1" x14ac:dyDescent="0.3">
      <c r="A757" t="s">
        <v>629</v>
      </c>
      <c r="B757" t="s">
        <v>1684</v>
      </c>
      <c r="C757" t="s">
        <v>95</v>
      </c>
      <c r="D757" t="s">
        <v>370</v>
      </c>
      <c r="E757" t="s">
        <v>371</v>
      </c>
      <c r="F757" t="s">
        <v>6058</v>
      </c>
      <c r="G757" s="2" t="str">
        <f>HYPERLINK("https://www.facebook.com/100003251494912/posts/1882820161836349")</f>
        <v>https://www.facebook.com/100003251494912/posts/1882820161836349</v>
      </c>
      <c r="H757" t="s">
        <v>6062</v>
      </c>
      <c r="I757" t="s">
        <v>1686</v>
      </c>
      <c r="J757" s="2" t="str">
        <f>HYPERLINK("https://www.facebook.com/100003251494912")</f>
        <v>https://www.facebook.com/100003251494912</v>
      </c>
      <c r="K757">
        <v>277</v>
      </c>
      <c r="L757" t="s">
        <v>6063</v>
      </c>
      <c r="N757" t="s">
        <v>13</v>
      </c>
      <c r="O757" t="s">
        <v>1686</v>
      </c>
      <c r="P757" s="2" t="str">
        <f>HYPERLINK("https://www.facebook.com/100003251494912")</f>
        <v>https://www.facebook.com/100003251494912</v>
      </c>
      <c r="Q757">
        <v>277</v>
      </c>
      <c r="R757" t="s">
        <v>6067</v>
      </c>
      <c r="S757" t="s">
        <v>6073</v>
      </c>
    </row>
    <row r="758" spans="1:19" ht="14.25" customHeight="1" x14ac:dyDescent="0.3">
      <c r="A758" t="s">
        <v>629</v>
      </c>
      <c r="B758" t="s">
        <v>2039</v>
      </c>
      <c r="C758" t="s">
        <v>95</v>
      </c>
      <c r="D758" t="s">
        <v>987</v>
      </c>
      <c r="E758" t="s">
        <v>2040</v>
      </c>
      <c r="F758" t="s">
        <v>6059</v>
      </c>
      <c r="G758" s="2" t="str">
        <f>HYPERLINK("https://www.facebook.com/100002938219448/posts/1587245274716731?comment_id=1587414661366459")</f>
        <v>https://www.facebook.com/100002938219448/posts/1587245274716731?comment_id=1587414661366459</v>
      </c>
      <c r="H758" t="s">
        <v>6062</v>
      </c>
      <c r="I758" t="s">
        <v>2041</v>
      </c>
      <c r="J758" s="2" t="str">
        <f>HYPERLINK("https://www.facebook.com/100000311560046")</f>
        <v>https://www.facebook.com/100000311560046</v>
      </c>
      <c r="K758">
        <v>0</v>
      </c>
      <c r="L758" t="s">
        <v>6063</v>
      </c>
      <c r="N758" t="s">
        <v>13</v>
      </c>
      <c r="O758" t="s">
        <v>990</v>
      </c>
      <c r="P758" s="2" t="str">
        <f>HYPERLINK("https://www.facebook.com/100002938219448")</f>
        <v>https://www.facebook.com/100002938219448</v>
      </c>
      <c r="Q758">
        <v>1445</v>
      </c>
      <c r="R758" t="s">
        <v>6067</v>
      </c>
      <c r="S758" t="s">
        <v>6073</v>
      </c>
    </row>
    <row r="759" spans="1:19" ht="14.25" customHeight="1" x14ac:dyDescent="0.3">
      <c r="A759" t="s">
        <v>2225</v>
      </c>
      <c r="B759" t="s">
        <v>2824</v>
      </c>
      <c r="C759" t="s">
        <v>95</v>
      </c>
      <c r="D759" t="s">
        <v>853</v>
      </c>
      <c r="E759" t="s">
        <v>2828</v>
      </c>
      <c r="F759" t="s">
        <v>6059</v>
      </c>
      <c r="G759" s="2" t="str">
        <f>HYPERLINK("https://www.facebook.com/100008934274771/posts/1810262525948206?comment_id=1810267455947713")</f>
        <v>https://www.facebook.com/100008934274771/posts/1810262525948206?comment_id=1810267455947713</v>
      </c>
      <c r="H759" t="s">
        <v>6062</v>
      </c>
      <c r="I759" t="s">
        <v>2829</v>
      </c>
      <c r="J759" s="2" t="str">
        <f>HYPERLINK("https://www.facebook.com/100003258233391")</f>
        <v>https://www.facebook.com/100003258233391</v>
      </c>
      <c r="K759">
        <v>52</v>
      </c>
      <c r="L759" t="s">
        <v>6063</v>
      </c>
      <c r="N759" t="s">
        <v>13</v>
      </c>
      <c r="O759" t="s">
        <v>856</v>
      </c>
      <c r="P759" s="2" t="str">
        <f>HYPERLINK("https://www.facebook.com/100008934274771")</f>
        <v>https://www.facebook.com/100008934274771</v>
      </c>
      <c r="Q759">
        <v>10395</v>
      </c>
      <c r="R759" t="s">
        <v>6067</v>
      </c>
      <c r="S759" t="s">
        <v>6073</v>
      </c>
    </row>
    <row r="760" spans="1:19" ht="14.25" customHeight="1" x14ac:dyDescent="0.3">
      <c r="A760" t="s">
        <v>2225</v>
      </c>
      <c r="B760" t="s">
        <v>2482</v>
      </c>
      <c r="C760" t="s">
        <v>95</v>
      </c>
      <c r="D760" t="s">
        <v>464</v>
      </c>
      <c r="E760" t="s">
        <v>2484</v>
      </c>
      <c r="F760" t="s">
        <v>6059</v>
      </c>
      <c r="G760" s="2" t="str">
        <f>HYPERLINK("https://www.facebook.com/1362386453/posts/10216460219362335?comment_id=10216462493819195")</f>
        <v>https://www.facebook.com/1362386453/posts/10216460219362335?comment_id=10216462493819195</v>
      </c>
      <c r="H760" t="s">
        <v>6062</v>
      </c>
      <c r="I760" t="s">
        <v>2485</v>
      </c>
      <c r="J760" s="2" t="str">
        <f>HYPERLINK("https://www.facebook.com/100001704721003")</f>
        <v>https://www.facebook.com/100001704721003</v>
      </c>
      <c r="K760">
        <v>135</v>
      </c>
      <c r="L760" t="s">
        <v>6063</v>
      </c>
      <c r="N760" t="s">
        <v>13</v>
      </c>
      <c r="O760" t="s">
        <v>467</v>
      </c>
      <c r="P760" s="2" t="str">
        <f>HYPERLINK("https://www.facebook.com/1362386453")</f>
        <v>https://www.facebook.com/1362386453</v>
      </c>
      <c r="Q760">
        <v>3896</v>
      </c>
      <c r="R760" t="s">
        <v>6067</v>
      </c>
      <c r="S760" t="s">
        <v>6073</v>
      </c>
    </row>
    <row r="761" spans="1:19" ht="14.25" customHeight="1" x14ac:dyDescent="0.3">
      <c r="A761" t="s">
        <v>2225</v>
      </c>
      <c r="B761" t="s">
        <v>2620</v>
      </c>
      <c r="C761" t="s">
        <v>95</v>
      </c>
      <c r="D761" t="s">
        <v>544</v>
      </c>
      <c r="E761" t="s">
        <v>545</v>
      </c>
      <c r="F761" t="s">
        <v>6058</v>
      </c>
      <c r="G761" s="2" t="str">
        <f>HYPERLINK("https://www.facebook.com/100001176494481/posts/1775032705879262")</f>
        <v>https://www.facebook.com/100001176494481/posts/1775032705879262</v>
      </c>
      <c r="H761" t="s">
        <v>6062</v>
      </c>
      <c r="I761" t="s">
        <v>1821</v>
      </c>
      <c r="J761" s="2" t="str">
        <f>HYPERLINK("https://www.facebook.com/100001176494481")</f>
        <v>https://www.facebook.com/100001176494481</v>
      </c>
      <c r="K761">
        <v>507</v>
      </c>
      <c r="L761" t="s">
        <v>6063</v>
      </c>
      <c r="N761" t="s">
        <v>13</v>
      </c>
      <c r="O761" t="s">
        <v>1821</v>
      </c>
      <c r="P761" s="2" t="str">
        <f>HYPERLINK("https://www.facebook.com/100001176494481")</f>
        <v>https://www.facebook.com/100001176494481</v>
      </c>
      <c r="Q761">
        <v>507</v>
      </c>
      <c r="R761" t="s">
        <v>6067</v>
      </c>
      <c r="S761" t="s">
        <v>6073</v>
      </c>
    </row>
    <row r="762" spans="1:19" ht="14.25" customHeight="1" x14ac:dyDescent="0.3">
      <c r="A762" t="s">
        <v>629</v>
      </c>
      <c r="B762" t="s">
        <v>422</v>
      </c>
      <c r="C762" t="s">
        <v>95</v>
      </c>
      <c r="D762" t="s">
        <v>370</v>
      </c>
      <c r="E762" t="s">
        <v>371</v>
      </c>
      <c r="F762" t="s">
        <v>6058</v>
      </c>
      <c r="G762" s="2" t="str">
        <f>HYPERLINK("https://www.facebook.com/100001176494481/posts/1775549995827533")</f>
        <v>https://www.facebook.com/100001176494481/posts/1775549995827533</v>
      </c>
      <c r="H762" t="s">
        <v>6062</v>
      </c>
      <c r="I762" t="s">
        <v>1821</v>
      </c>
      <c r="J762" s="2" t="str">
        <f>HYPERLINK("https://www.facebook.com/100001176494481")</f>
        <v>https://www.facebook.com/100001176494481</v>
      </c>
      <c r="K762">
        <v>507</v>
      </c>
      <c r="L762" t="s">
        <v>6063</v>
      </c>
      <c r="N762" t="s">
        <v>13</v>
      </c>
      <c r="O762" t="s">
        <v>1821</v>
      </c>
      <c r="P762" s="2" t="str">
        <f>HYPERLINK("https://www.facebook.com/100001176494481")</f>
        <v>https://www.facebook.com/100001176494481</v>
      </c>
      <c r="Q762">
        <v>507</v>
      </c>
      <c r="R762" t="s">
        <v>6067</v>
      </c>
      <c r="S762" t="s">
        <v>6073</v>
      </c>
    </row>
    <row r="763" spans="1:19" ht="14.25" customHeight="1" x14ac:dyDescent="0.3">
      <c r="A763" t="s">
        <v>3527</v>
      </c>
      <c r="B763" t="s">
        <v>1170</v>
      </c>
      <c r="C763" t="s">
        <v>95</v>
      </c>
      <c r="D763" t="s">
        <v>4119</v>
      </c>
      <c r="E763" t="s">
        <v>4120</v>
      </c>
      <c r="F763" t="s">
        <v>6059</v>
      </c>
      <c r="G763" s="2" t="str">
        <f>HYPERLINK("https://www.facebook.com/100001217286503/posts/1897472426969982?comment_id=1897486920301866")</f>
        <v>https://www.facebook.com/100001217286503/posts/1897472426969982?comment_id=1897486920301866</v>
      </c>
      <c r="H763" t="s">
        <v>6062</v>
      </c>
      <c r="I763" t="s">
        <v>4121</v>
      </c>
      <c r="J763" s="2" t="str">
        <f>HYPERLINK("https://www.facebook.com/100000555497802")</f>
        <v>https://www.facebook.com/100000555497802</v>
      </c>
      <c r="K763">
        <v>1124</v>
      </c>
      <c r="L763" t="s">
        <v>6063</v>
      </c>
      <c r="N763" t="s">
        <v>13</v>
      </c>
      <c r="O763" t="s">
        <v>4122</v>
      </c>
      <c r="P763" s="2" t="str">
        <f>HYPERLINK("https://www.facebook.com/100001217286503")</f>
        <v>https://www.facebook.com/100001217286503</v>
      </c>
      <c r="Q763">
        <v>0</v>
      </c>
      <c r="R763" t="s">
        <v>6067</v>
      </c>
      <c r="S763" t="s">
        <v>6073</v>
      </c>
    </row>
    <row r="764" spans="1:19" ht="14.25" customHeight="1" x14ac:dyDescent="0.3">
      <c r="A764" t="s">
        <v>629</v>
      </c>
      <c r="B764" t="s">
        <v>1219</v>
      </c>
      <c r="C764" t="s">
        <v>95</v>
      </c>
      <c r="D764" t="s">
        <v>10</v>
      </c>
      <c r="E764" t="s">
        <v>1223</v>
      </c>
      <c r="F764" t="s">
        <v>6059</v>
      </c>
      <c r="G764" s="2" t="str">
        <f>HYPERLINK("https://www.facebook.com/762053551/posts/10156366210158552?comment_id=10156366248558552")</f>
        <v>https://www.facebook.com/762053551/posts/10156366210158552?comment_id=10156366248558552</v>
      </c>
      <c r="H764" t="s">
        <v>6062</v>
      </c>
      <c r="I764" t="s">
        <v>1218</v>
      </c>
      <c r="J764" s="2" t="str">
        <f>HYPERLINK("https://www.facebook.com/100019405564266")</f>
        <v>https://www.facebook.com/100019405564266</v>
      </c>
      <c r="K764">
        <v>336</v>
      </c>
      <c r="L764" t="s">
        <v>6063</v>
      </c>
      <c r="N764" t="s">
        <v>13</v>
      </c>
      <c r="O764" t="s">
        <v>14</v>
      </c>
      <c r="P764" s="2" t="str">
        <f>HYPERLINK("https://www.facebook.com/762053551")</f>
        <v>https://www.facebook.com/762053551</v>
      </c>
      <c r="Q764">
        <v>102347</v>
      </c>
      <c r="R764" t="s">
        <v>6067</v>
      </c>
      <c r="S764" t="s">
        <v>6073</v>
      </c>
    </row>
    <row r="765" spans="1:19" ht="14.25" customHeight="1" x14ac:dyDescent="0.3">
      <c r="A765" t="s">
        <v>629</v>
      </c>
      <c r="B765" t="s">
        <v>1213</v>
      </c>
      <c r="C765" t="s">
        <v>95</v>
      </c>
      <c r="D765" t="s">
        <v>10</v>
      </c>
      <c r="E765" t="s">
        <v>1217</v>
      </c>
      <c r="F765" t="s">
        <v>6059</v>
      </c>
      <c r="G765" s="2" t="str">
        <f>HYPERLINK("https://www.facebook.com/762053551/posts/10156366210158552?comment_id=10156366249818552")</f>
        <v>https://www.facebook.com/762053551/posts/10156366210158552?comment_id=10156366249818552</v>
      </c>
      <c r="H765" t="s">
        <v>6062</v>
      </c>
      <c r="I765" t="s">
        <v>1218</v>
      </c>
      <c r="J765" s="2" t="str">
        <f>HYPERLINK("https://www.facebook.com/100019405564266")</f>
        <v>https://www.facebook.com/100019405564266</v>
      </c>
      <c r="K765">
        <v>336</v>
      </c>
      <c r="L765" t="s">
        <v>6063</v>
      </c>
      <c r="N765" t="s">
        <v>13</v>
      </c>
      <c r="O765" t="s">
        <v>14</v>
      </c>
      <c r="P765" s="2" t="str">
        <f>HYPERLINK("https://www.facebook.com/762053551")</f>
        <v>https://www.facebook.com/762053551</v>
      </c>
      <c r="Q765">
        <v>102347</v>
      </c>
      <c r="R765" t="s">
        <v>6067</v>
      </c>
      <c r="S765" t="s">
        <v>6073</v>
      </c>
    </row>
    <row r="766" spans="1:19" ht="14.25" customHeight="1" x14ac:dyDescent="0.3">
      <c r="A766" t="s">
        <v>629</v>
      </c>
      <c r="B766" t="s">
        <v>1238</v>
      </c>
      <c r="C766" t="s">
        <v>95</v>
      </c>
      <c r="D766" t="s">
        <v>10</v>
      </c>
      <c r="E766" t="s">
        <v>1245</v>
      </c>
      <c r="F766" t="s">
        <v>6059</v>
      </c>
      <c r="G766" s="2" t="str">
        <f>HYPERLINK("https://www.facebook.com/762053551/posts/10156366210158552?comment_id=10156366235853552")</f>
        <v>https://www.facebook.com/762053551/posts/10156366210158552?comment_id=10156366235853552</v>
      </c>
      <c r="H766" t="s">
        <v>6062</v>
      </c>
      <c r="I766" t="s">
        <v>1218</v>
      </c>
      <c r="J766" s="2" t="str">
        <f>HYPERLINK("https://www.facebook.com/100019405564266")</f>
        <v>https://www.facebook.com/100019405564266</v>
      </c>
      <c r="K766">
        <v>336</v>
      </c>
      <c r="L766" t="s">
        <v>6063</v>
      </c>
      <c r="N766" t="s">
        <v>13</v>
      </c>
      <c r="O766" t="s">
        <v>14</v>
      </c>
      <c r="P766" s="2" t="str">
        <f>HYPERLINK("https://www.facebook.com/762053551")</f>
        <v>https://www.facebook.com/762053551</v>
      </c>
      <c r="Q766">
        <v>102347</v>
      </c>
      <c r="R766" t="s">
        <v>6067</v>
      </c>
      <c r="S766" t="s">
        <v>6073</v>
      </c>
    </row>
    <row r="767" spans="1:19" ht="14.25" customHeight="1" x14ac:dyDescent="0.3">
      <c r="A767" t="s">
        <v>629</v>
      </c>
      <c r="B767" t="s">
        <v>8</v>
      </c>
      <c r="C767" t="s">
        <v>95</v>
      </c>
      <c r="D767" t="s">
        <v>10</v>
      </c>
      <c r="E767" t="s">
        <v>1234</v>
      </c>
      <c r="F767" t="s">
        <v>6059</v>
      </c>
      <c r="G767" s="2" t="str">
        <f>HYPERLINK("https://www.facebook.com/762053551/posts/10156366210158552?comment_id=10156366239388552")</f>
        <v>https://www.facebook.com/762053551/posts/10156366210158552?comment_id=10156366239388552</v>
      </c>
      <c r="H767" t="s">
        <v>6062</v>
      </c>
      <c r="I767" t="s">
        <v>1218</v>
      </c>
      <c r="J767" s="2" t="str">
        <f>HYPERLINK("https://www.facebook.com/100019405564266")</f>
        <v>https://www.facebook.com/100019405564266</v>
      </c>
      <c r="K767">
        <v>336</v>
      </c>
      <c r="L767" t="s">
        <v>6063</v>
      </c>
      <c r="N767" t="s">
        <v>13</v>
      </c>
      <c r="O767" t="s">
        <v>14</v>
      </c>
      <c r="P767" s="2" t="str">
        <f>HYPERLINK("https://www.facebook.com/762053551")</f>
        <v>https://www.facebook.com/762053551</v>
      </c>
      <c r="Q767">
        <v>102347</v>
      </c>
      <c r="R767" t="s">
        <v>6067</v>
      </c>
      <c r="S767" t="s">
        <v>6073</v>
      </c>
    </row>
    <row r="768" spans="1:19" ht="14.25" customHeight="1" x14ac:dyDescent="0.3">
      <c r="A768" t="s">
        <v>2225</v>
      </c>
      <c r="B768" t="s">
        <v>2264</v>
      </c>
      <c r="C768" t="s">
        <v>95</v>
      </c>
      <c r="D768" t="s">
        <v>2265</v>
      </c>
      <c r="E768" t="s">
        <v>2266</v>
      </c>
      <c r="F768" t="s">
        <v>6059</v>
      </c>
      <c r="G768" s="2" t="str">
        <f>HYPERLINK("https://www.facebook.com/100000102616450/posts/2007587419254659?comment_id=2007667252580009")</f>
        <v>https://www.facebook.com/100000102616450/posts/2007587419254659?comment_id=2007667252580009</v>
      </c>
      <c r="H768" t="s">
        <v>6062</v>
      </c>
      <c r="I768" t="s">
        <v>2267</v>
      </c>
      <c r="J768" s="2" t="str">
        <f>HYPERLINK("https://www.facebook.com/1315478903")</f>
        <v>https://www.facebook.com/1315478903</v>
      </c>
      <c r="K768">
        <v>305</v>
      </c>
      <c r="L768" t="s">
        <v>6063</v>
      </c>
      <c r="N768" t="s">
        <v>13</v>
      </c>
      <c r="O768" t="s">
        <v>2268</v>
      </c>
      <c r="P768" s="2" t="str">
        <f>HYPERLINK("https://www.facebook.com/100000102616450")</f>
        <v>https://www.facebook.com/100000102616450</v>
      </c>
      <c r="Q768">
        <v>2391</v>
      </c>
      <c r="R768" t="s">
        <v>6067</v>
      </c>
      <c r="S768" t="s">
        <v>6073</v>
      </c>
    </row>
    <row r="769" spans="1:19" ht="14.25" customHeight="1" x14ac:dyDescent="0.3">
      <c r="A769" t="s">
        <v>2225</v>
      </c>
      <c r="B769" t="s">
        <v>2803</v>
      </c>
      <c r="C769" t="s">
        <v>95</v>
      </c>
      <c r="D769" t="s">
        <v>544</v>
      </c>
      <c r="E769" t="s">
        <v>545</v>
      </c>
      <c r="F769" t="s">
        <v>6058</v>
      </c>
      <c r="G769" s="2" t="str">
        <f>HYPERLINK("https://www.facebook.com/100001702434190/posts/1687182378015160")</f>
        <v>https://www.facebook.com/100001702434190/posts/1687182378015160</v>
      </c>
      <c r="H769" t="s">
        <v>6062</v>
      </c>
      <c r="I769" t="s">
        <v>2807</v>
      </c>
      <c r="J769" s="2" t="str">
        <f>HYPERLINK("https://www.facebook.com/100001702434190")</f>
        <v>https://www.facebook.com/100001702434190</v>
      </c>
      <c r="K769">
        <v>119</v>
      </c>
      <c r="L769" t="s">
        <v>6063</v>
      </c>
      <c r="N769" t="s">
        <v>13</v>
      </c>
      <c r="O769" t="s">
        <v>2807</v>
      </c>
      <c r="P769" s="2" t="str">
        <f>HYPERLINK("https://www.facebook.com/100001702434190")</f>
        <v>https://www.facebook.com/100001702434190</v>
      </c>
      <c r="Q769">
        <v>119</v>
      </c>
      <c r="R769" t="s">
        <v>6067</v>
      </c>
      <c r="S769" t="s">
        <v>6073</v>
      </c>
    </row>
    <row r="770" spans="1:19" ht="14.25" customHeight="1" x14ac:dyDescent="0.3">
      <c r="A770" t="s">
        <v>629</v>
      </c>
      <c r="B770" t="s">
        <v>329</v>
      </c>
      <c r="C770" t="s">
        <v>95</v>
      </c>
      <c r="D770" t="s">
        <v>370</v>
      </c>
      <c r="E770" t="s">
        <v>371</v>
      </c>
      <c r="F770" t="s">
        <v>6058</v>
      </c>
      <c r="G770" s="2" t="str">
        <f>HYPERLINK("https://www.facebook.com/100011901947403/posts/352434495163279")</f>
        <v>https://www.facebook.com/100011901947403/posts/352434495163279</v>
      </c>
      <c r="H770" t="s">
        <v>6062</v>
      </c>
      <c r="I770" t="s">
        <v>1539</v>
      </c>
      <c r="J770" s="2" t="str">
        <f>HYPERLINK("https://www.facebook.com/100011901947403")</f>
        <v>https://www.facebook.com/100011901947403</v>
      </c>
      <c r="K770">
        <v>3495</v>
      </c>
      <c r="L770" t="s">
        <v>6063</v>
      </c>
      <c r="N770" t="s">
        <v>13</v>
      </c>
      <c r="O770" t="s">
        <v>1539</v>
      </c>
      <c r="P770" s="2" t="str">
        <f>HYPERLINK("https://www.facebook.com/100011901947403")</f>
        <v>https://www.facebook.com/100011901947403</v>
      </c>
      <c r="Q770">
        <v>3495</v>
      </c>
      <c r="R770" t="s">
        <v>6067</v>
      </c>
    </row>
    <row r="771" spans="1:19" ht="14.25" customHeight="1" x14ac:dyDescent="0.3">
      <c r="A771" t="s">
        <v>629</v>
      </c>
      <c r="B771" t="s">
        <v>1582</v>
      </c>
      <c r="C771" t="s">
        <v>95</v>
      </c>
      <c r="D771" t="s">
        <v>370</v>
      </c>
      <c r="E771" t="s">
        <v>371</v>
      </c>
      <c r="F771" t="s">
        <v>6058</v>
      </c>
      <c r="G771" s="2" t="str">
        <f>HYPERLINK("https://www.facebook.com/100011901947403/posts/352432018496860")</f>
        <v>https://www.facebook.com/100011901947403/posts/352432018496860</v>
      </c>
      <c r="H771" t="s">
        <v>6062</v>
      </c>
      <c r="I771" t="s">
        <v>1539</v>
      </c>
      <c r="J771" s="2" t="str">
        <f>HYPERLINK("https://www.facebook.com/100011901947403")</f>
        <v>https://www.facebook.com/100011901947403</v>
      </c>
      <c r="K771">
        <v>3495</v>
      </c>
      <c r="L771" t="s">
        <v>6063</v>
      </c>
      <c r="N771" t="s">
        <v>13</v>
      </c>
      <c r="O771" t="s">
        <v>1539</v>
      </c>
      <c r="P771" s="2" t="str">
        <f>HYPERLINK("https://www.facebook.com/100011901947403")</f>
        <v>https://www.facebook.com/100011901947403</v>
      </c>
      <c r="Q771">
        <v>3495</v>
      </c>
      <c r="R771" t="s">
        <v>6067</v>
      </c>
    </row>
    <row r="772" spans="1:19" ht="14.25" customHeight="1" x14ac:dyDescent="0.3">
      <c r="A772" t="s">
        <v>629</v>
      </c>
      <c r="B772" t="s">
        <v>1608</v>
      </c>
      <c r="C772" t="s">
        <v>95</v>
      </c>
      <c r="D772" t="s">
        <v>370</v>
      </c>
      <c r="E772" t="s">
        <v>371</v>
      </c>
      <c r="F772" t="s">
        <v>6058</v>
      </c>
      <c r="G772" s="2" t="str">
        <f>HYPERLINK("https://www.facebook.com/100011901947403/posts/352430611830334")</f>
        <v>https://www.facebook.com/100011901947403/posts/352430611830334</v>
      </c>
      <c r="H772" t="s">
        <v>6062</v>
      </c>
      <c r="I772" t="s">
        <v>1539</v>
      </c>
      <c r="J772" s="2" t="str">
        <f>HYPERLINK("https://www.facebook.com/100011901947403")</f>
        <v>https://www.facebook.com/100011901947403</v>
      </c>
      <c r="K772">
        <v>3495</v>
      </c>
      <c r="L772" t="s">
        <v>6063</v>
      </c>
      <c r="N772" t="s">
        <v>13</v>
      </c>
      <c r="O772" t="s">
        <v>1539</v>
      </c>
      <c r="P772" s="2" t="str">
        <f>HYPERLINK("https://www.facebook.com/100011901947403")</f>
        <v>https://www.facebook.com/100011901947403</v>
      </c>
      <c r="Q772">
        <v>3495</v>
      </c>
      <c r="R772" t="s">
        <v>6067</v>
      </c>
    </row>
    <row r="773" spans="1:19" ht="14.25" customHeight="1" x14ac:dyDescent="0.3">
      <c r="A773" t="s">
        <v>2225</v>
      </c>
      <c r="B773" t="s">
        <v>37</v>
      </c>
      <c r="C773" t="s">
        <v>95</v>
      </c>
      <c r="D773" t="s">
        <v>1409</v>
      </c>
      <c r="E773" t="s">
        <v>3209</v>
      </c>
      <c r="F773" t="s">
        <v>6059</v>
      </c>
      <c r="G773" s="2" t="str">
        <f>HYPERLINK("https://www.facebook.com/1188505182/posts/10214974858303441?comment_id=10214974874103836")</f>
        <v>https://www.facebook.com/1188505182/posts/10214974858303441?comment_id=10214974874103836</v>
      </c>
      <c r="H773" t="s">
        <v>6062</v>
      </c>
      <c r="I773" t="s">
        <v>3201</v>
      </c>
      <c r="J773" s="2" t="str">
        <f>HYPERLINK("https://www.facebook.com/100000109706642")</f>
        <v>https://www.facebook.com/100000109706642</v>
      </c>
      <c r="K773">
        <v>1644</v>
      </c>
      <c r="L773" t="s">
        <v>6063</v>
      </c>
      <c r="N773" t="s">
        <v>13</v>
      </c>
      <c r="O773" t="s">
        <v>1411</v>
      </c>
      <c r="P773" s="2" t="str">
        <f>HYPERLINK("https://www.facebook.com/1188505182")</f>
        <v>https://www.facebook.com/1188505182</v>
      </c>
      <c r="Q773">
        <v>542</v>
      </c>
      <c r="R773" t="s">
        <v>6067</v>
      </c>
      <c r="S773" t="s">
        <v>6073</v>
      </c>
    </row>
    <row r="774" spans="1:19" ht="14.25" customHeight="1" x14ac:dyDescent="0.3">
      <c r="A774" t="s">
        <v>629</v>
      </c>
      <c r="B774" t="s">
        <v>720</v>
      </c>
      <c r="C774" t="s">
        <v>95</v>
      </c>
      <c r="D774" t="s">
        <v>10</v>
      </c>
      <c r="E774" t="s">
        <v>721</v>
      </c>
      <c r="F774" t="s">
        <v>6059</v>
      </c>
      <c r="G774" s="2" t="str">
        <f>HYPERLINK("https://www.facebook.com/762053551/posts/10156366210158552?comment_id=10156367054388552")</f>
        <v>https://www.facebook.com/762053551/posts/10156366210158552?comment_id=10156367054388552</v>
      </c>
      <c r="H774" t="s">
        <v>6062</v>
      </c>
      <c r="I774" t="s">
        <v>722</v>
      </c>
      <c r="J774" s="2" t="str">
        <f>HYPERLINK("https://www.facebook.com/100001968729614")</f>
        <v>https://www.facebook.com/100001968729614</v>
      </c>
      <c r="K774">
        <v>185</v>
      </c>
      <c r="L774" t="s">
        <v>6063</v>
      </c>
      <c r="N774" t="s">
        <v>13</v>
      </c>
      <c r="O774" t="s">
        <v>14</v>
      </c>
      <c r="P774" s="2" t="str">
        <f>HYPERLINK("https://www.facebook.com/762053551")</f>
        <v>https://www.facebook.com/762053551</v>
      </c>
      <c r="Q774">
        <v>102347</v>
      </c>
      <c r="R774" t="s">
        <v>6067</v>
      </c>
      <c r="S774" t="s">
        <v>6073</v>
      </c>
    </row>
    <row r="775" spans="1:19" ht="14.25" customHeight="1" x14ac:dyDescent="0.3">
      <c r="A775" t="s">
        <v>2225</v>
      </c>
      <c r="B775" t="s">
        <v>2581</v>
      </c>
      <c r="C775" t="s">
        <v>95</v>
      </c>
      <c r="D775" t="s">
        <v>853</v>
      </c>
      <c r="E775" t="s">
        <v>2583</v>
      </c>
      <c r="F775" t="s">
        <v>6059</v>
      </c>
      <c r="G775" s="2" t="str">
        <f>HYPERLINK("https://www.facebook.com/100008934274771/posts/1810262525948206?comment_id=1810288165945642")</f>
        <v>https://www.facebook.com/100008934274771/posts/1810262525948206?comment_id=1810288165945642</v>
      </c>
      <c r="H775" t="s">
        <v>6062</v>
      </c>
      <c r="I775" t="s">
        <v>2584</v>
      </c>
      <c r="J775" s="2" t="str">
        <f>HYPERLINK("https://www.facebook.com/100002328720598")</f>
        <v>https://www.facebook.com/100002328720598</v>
      </c>
      <c r="K775">
        <v>113</v>
      </c>
      <c r="L775" t="s">
        <v>6063</v>
      </c>
      <c r="N775" t="s">
        <v>13</v>
      </c>
      <c r="O775" t="s">
        <v>856</v>
      </c>
      <c r="P775" s="2" t="str">
        <f>HYPERLINK("https://www.facebook.com/100008934274771")</f>
        <v>https://www.facebook.com/100008934274771</v>
      </c>
      <c r="Q775">
        <v>10395</v>
      </c>
      <c r="R775" t="s">
        <v>6067</v>
      </c>
      <c r="S775" t="s">
        <v>6073</v>
      </c>
    </row>
    <row r="776" spans="1:19" ht="14.25" customHeight="1" x14ac:dyDescent="0.3">
      <c r="A776" t="s">
        <v>2225</v>
      </c>
      <c r="B776" t="s">
        <v>2803</v>
      </c>
      <c r="C776" t="s">
        <v>95</v>
      </c>
      <c r="D776" t="s">
        <v>544</v>
      </c>
      <c r="E776" t="s">
        <v>545</v>
      </c>
      <c r="F776" t="s">
        <v>6058</v>
      </c>
      <c r="G776" s="2" t="str">
        <f>HYPERLINK("https://www.facebook.com/100005040850170/posts/911483049029715")</f>
        <v>https://www.facebook.com/100005040850170/posts/911483049029715</v>
      </c>
      <c r="H776" t="s">
        <v>6062</v>
      </c>
      <c r="I776" t="s">
        <v>2817</v>
      </c>
      <c r="J776" s="2" t="str">
        <f>HYPERLINK("https://www.facebook.com/100005040850170")</f>
        <v>https://www.facebook.com/100005040850170</v>
      </c>
      <c r="K776">
        <v>3377</v>
      </c>
      <c r="L776" t="s">
        <v>6063</v>
      </c>
      <c r="N776" t="s">
        <v>13</v>
      </c>
      <c r="O776" t="s">
        <v>2817</v>
      </c>
      <c r="P776" s="2" t="str">
        <f>HYPERLINK("https://www.facebook.com/100005040850170")</f>
        <v>https://www.facebook.com/100005040850170</v>
      </c>
      <c r="Q776">
        <v>3377</v>
      </c>
      <c r="R776" t="s">
        <v>6067</v>
      </c>
      <c r="S776" t="s">
        <v>6073</v>
      </c>
    </row>
    <row r="777" spans="1:19" ht="14.25" customHeight="1" x14ac:dyDescent="0.3">
      <c r="A777" t="s">
        <v>629</v>
      </c>
      <c r="B777" t="s">
        <v>579</v>
      </c>
      <c r="C777" t="s">
        <v>95</v>
      </c>
      <c r="D777" t="s">
        <v>2158</v>
      </c>
      <c r="E777" t="s">
        <v>2159</v>
      </c>
      <c r="F777" t="s">
        <v>6057</v>
      </c>
      <c r="G777" s="2" t="str">
        <f>HYPERLINK("https://www.facebook.com/100001535411993/posts/1781146955279801")</f>
        <v>https://www.facebook.com/100001535411993/posts/1781146955279801</v>
      </c>
      <c r="H777" t="s">
        <v>6062</v>
      </c>
      <c r="I777" t="s">
        <v>2160</v>
      </c>
      <c r="J777" s="2" t="str">
        <f>HYPERLINK("https://www.facebook.com/100001535411993")</f>
        <v>https://www.facebook.com/100001535411993</v>
      </c>
      <c r="K777">
        <v>372</v>
      </c>
      <c r="L777" t="s">
        <v>6063</v>
      </c>
      <c r="N777" t="s">
        <v>13</v>
      </c>
      <c r="O777" t="s">
        <v>2160</v>
      </c>
      <c r="P777" s="2" t="str">
        <f>HYPERLINK("https://www.facebook.com/100001535411993")</f>
        <v>https://www.facebook.com/100001535411993</v>
      </c>
      <c r="Q777">
        <v>372</v>
      </c>
      <c r="R777" t="s">
        <v>6067</v>
      </c>
      <c r="S777" t="s">
        <v>6073</v>
      </c>
    </row>
    <row r="778" spans="1:19" ht="14.25" customHeight="1" x14ac:dyDescent="0.3">
      <c r="A778" t="s">
        <v>4995</v>
      </c>
      <c r="B778" t="s">
        <v>2994</v>
      </c>
      <c r="C778" t="s">
        <v>3538</v>
      </c>
      <c r="D778" t="s">
        <v>4675</v>
      </c>
      <c r="E778" t="s">
        <v>5090</v>
      </c>
      <c r="F778" t="s">
        <v>6059</v>
      </c>
      <c r="G778" s="2" t="str">
        <f>HYPERLINK("https://www.facebook.com/1439247584/posts/10217349741762401?comment_id=10217366130732115")</f>
        <v>https://www.facebook.com/1439247584/posts/10217349741762401?comment_id=10217366130732115</v>
      </c>
      <c r="H778" t="s">
        <v>6062</v>
      </c>
      <c r="I778" t="s">
        <v>5091</v>
      </c>
      <c r="J778" s="2" t="str">
        <f>HYPERLINK("https://www.facebook.com/100001417190779")</f>
        <v>https://www.facebook.com/100001417190779</v>
      </c>
      <c r="K778">
        <v>68</v>
      </c>
      <c r="L778" t="s">
        <v>6063</v>
      </c>
      <c r="N778" t="s">
        <v>13</v>
      </c>
      <c r="O778" t="s">
        <v>4678</v>
      </c>
      <c r="P778" s="2" t="str">
        <f>HYPERLINK("https://www.facebook.com/1439247584")</f>
        <v>https://www.facebook.com/1439247584</v>
      </c>
      <c r="Q778">
        <v>54</v>
      </c>
      <c r="R778" t="s">
        <v>6067</v>
      </c>
      <c r="S778" t="s">
        <v>6073</v>
      </c>
    </row>
    <row r="779" spans="1:19" ht="14.25" customHeight="1" x14ac:dyDescent="0.3">
      <c r="A779" t="s">
        <v>4995</v>
      </c>
      <c r="B779" t="s">
        <v>2922</v>
      </c>
      <c r="C779" t="s">
        <v>3538</v>
      </c>
      <c r="D779" t="s">
        <v>5071</v>
      </c>
      <c r="E779" t="s">
        <v>5072</v>
      </c>
      <c r="F779" t="s">
        <v>6056</v>
      </c>
      <c r="G779" s="2" t="str">
        <f>HYPERLINK("https://www.facebook.com/100000825396520/posts/1629779267059571")</f>
        <v>https://www.facebook.com/100000825396520/posts/1629779267059571</v>
      </c>
      <c r="H779" t="s">
        <v>6062</v>
      </c>
      <c r="I779" t="s">
        <v>5073</v>
      </c>
      <c r="J779" s="2" t="str">
        <f>HYPERLINK("https://www.facebook.com/100000825396520")</f>
        <v>https://www.facebook.com/100000825396520</v>
      </c>
      <c r="K779">
        <v>38</v>
      </c>
      <c r="L779" t="s">
        <v>6063</v>
      </c>
      <c r="N779" t="s">
        <v>13</v>
      </c>
      <c r="O779" t="s">
        <v>5073</v>
      </c>
      <c r="P779" s="2" t="str">
        <f>HYPERLINK("https://www.facebook.com/100000825396520")</f>
        <v>https://www.facebook.com/100000825396520</v>
      </c>
      <c r="Q779">
        <v>38</v>
      </c>
      <c r="R779" t="s">
        <v>6067</v>
      </c>
      <c r="S779" t="s">
        <v>6073</v>
      </c>
    </row>
    <row r="780" spans="1:19" ht="14.25" customHeight="1" x14ac:dyDescent="0.3">
      <c r="A780" t="s">
        <v>629</v>
      </c>
      <c r="B780" t="s">
        <v>1755</v>
      </c>
      <c r="C780" t="s">
        <v>95</v>
      </c>
      <c r="D780" t="s">
        <v>370</v>
      </c>
      <c r="E780" t="s">
        <v>371</v>
      </c>
      <c r="F780" t="s">
        <v>6058</v>
      </c>
      <c r="G780" s="2" t="str">
        <f>HYPERLINK("https://www.facebook.com/100001217333297/posts/1827573123959914")</f>
        <v>https://www.facebook.com/100001217333297/posts/1827573123959914</v>
      </c>
      <c r="H780" t="s">
        <v>6062</v>
      </c>
      <c r="I780" t="s">
        <v>1761</v>
      </c>
      <c r="J780" s="2" t="str">
        <f>HYPERLINK("https://www.facebook.com/100001217333297")</f>
        <v>https://www.facebook.com/100001217333297</v>
      </c>
      <c r="K780">
        <v>561</v>
      </c>
      <c r="L780" t="s">
        <v>6063</v>
      </c>
      <c r="N780" t="s">
        <v>13</v>
      </c>
      <c r="O780" t="s">
        <v>1761</v>
      </c>
      <c r="P780" s="2" t="str">
        <f>HYPERLINK("https://www.facebook.com/100001217333297")</f>
        <v>https://www.facebook.com/100001217333297</v>
      </c>
      <c r="Q780">
        <v>561</v>
      </c>
      <c r="R780" t="s">
        <v>6067</v>
      </c>
      <c r="S780" t="s">
        <v>6073</v>
      </c>
    </row>
    <row r="781" spans="1:19" ht="14.25" customHeight="1" x14ac:dyDescent="0.3">
      <c r="A781" t="s">
        <v>2225</v>
      </c>
      <c r="B781" t="s">
        <v>2547</v>
      </c>
      <c r="C781" t="s">
        <v>95</v>
      </c>
      <c r="D781" t="s">
        <v>853</v>
      </c>
      <c r="E781" t="s">
        <v>2548</v>
      </c>
      <c r="F781" t="s">
        <v>6059</v>
      </c>
      <c r="G781" s="2" t="str">
        <f>HYPERLINK("https://www.facebook.com/100008934274771/posts/1810262525948206?comment_id=1810290132612112")</f>
        <v>https://www.facebook.com/100008934274771/posts/1810262525948206?comment_id=1810290132612112</v>
      </c>
      <c r="H781" t="s">
        <v>6062</v>
      </c>
      <c r="I781" t="s">
        <v>2549</v>
      </c>
      <c r="J781" s="2" t="str">
        <f>HYPERLINK("https://www.facebook.com/100003931785293")</f>
        <v>https://www.facebook.com/100003931785293</v>
      </c>
      <c r="K781">
        <v>0</v>
      </c>
      <c r="L781" t="s">
        <v>6063</v>
      </c>
      <c r="N781" t="s">
        <v>13</v>
      </c>
      <c r="O781" t="s">
        <v>856</v>
      </c>
      <c r="P781" s="2" t="str">
        <f>HYPERLINK("https://www.facebook.com/100008934274771")</f>
        <v>https://www.facebook.com/100008934274771</v>
      </c>
      <c r="Q781">
        <v>10395</v>
      </c>
      <c r="R781" t="s">
        <v>6067</v>
      </c>
      <c r="S781" t="s">
        <v>6073</v>
      </c>
    </row>
    <row r="782" spans="1:19" ht="14.25" customHeight="1" x14ac:dyDescent="0.3">
      <c r="A782" t="s">
        <v>2225</v>
      </c>
      <c r="B782" t="s">
        <v>3077</v>
      </c>
      <c r="C782" t="s">
        <v>95</v>
      </c>
      <c r="D782" t="s">
        <v>464</v>
      </c>
      <c r="E782" t="s">
        <v>3078</v>
      </c>
      <c r="F782" t="s">
        <v>6059</v>
      </c>
      <c r="G782" s="2" t="str">
        <f>HYPERLINK("https://www.facebook.com/1362386453/posts/10216460219362335?comment_id=10216460586411511")</f>
        <v>https://www.facebook.com/1362386453/posts/10216460219362335?comment_id=10216460586411511</v>
      </c>
      <c r="H782" t="s">
        <v>6062</v>
      </c>
      <c r="I782" t="s">
        <v>2902</v>
      </c>
      <c r="J782" s="2" t="str">
        <f t="shared" ref="J782:J788" si="19">HYPERLINK("https://www.facebook.com/1092092386")</f>
        <v>https://www.facebook.com/1092092386</v>
      </c>
      <c r="K782">
        <v>13148</v>
      </c>
      <c r="L782" t="s">
        <v>6063</v>
      </c>
      <c r="N782" t="s">
        <v>13</v>
      </c>
      <c r="O782" t="s">
        <v>467</v>
      </c>
      <c r="P782" s="2" t="str">
        <f t="shared" ref="P782:P788" si="20">HYPERLINK("https://www.facebook.com/1362386453")</f>
        <v>https://www.facebook.com/1362386453</v>
      </c>
      <c r="Q782">
        <v>3896</v>
      </c>
      <c r="R782" t="s">
        <v>6067</v>
      </c>
      <c r="S782" t="s">
        <v>6073</v>
      </c>
    </row>
    <row r="783" spans="1:19" ht="14.25" customHeight="1" x14ac:dyDescent="0.3">
      <c r="A783" t="s">
        <v>2225</v>
      </c>
      <c r="B783" t="s">
        <v>3067</v>
      </c>
      <c r="C783" t="s">
        <v>95</v>
      </c>
      <c r="D783" t="s">
        <v>464</v>
      </c>
      <c r="E783" t="s">
        <v>3069</v>
      </c>
      <c r="F783" t="s">
        <v>6059</v>
      </c>
      <c r="G783" s="2" t="str">
        <f>HYPERLINK("https://www.facebook.com/1362386453/posts/10216460219362335?comment_id=10216460656573265")</f>
        <v>https://www.facebook.com/1362386453/posts/10216460219362335?comment_id=10216460656573265</v>
      </c>
      <c r="H783" t="s">
        <v>6062</v>
      </c>
      <c r="I783" t="s">
        <v>2902</v>
      </c>
      <c r="J783" s="2" t="str">
        <f t="shared" si="19"/>
        <v>https://www.facebook.com/1092092386</v>
      </c>
      <c r="K783">
        <v>13148</v>
      </c>
      <c r="L783" t="s">
        <v>6063</v>
      </c>
      <c r="N783" t="s">
        <v>13</v>
      </c>
      <c r="O783" t="s">
        <v>467</v>
      </c>
      <c r="P783" s="2" t="str">
        <f t="shared" si="20"/>
        <v>https://www.facebook.com/1362386453</v>
      </c>
      <c r="Q783">
        <v>3896</v>
      </c>
      <c r="R783" t="s">
        <v>6067</v>
      </c>
      <c r="S783" t="s">
        <v>6073</v>
      </c>
    </row>
    <row r="784" spans="1:19" ht="14.25" customHeight="1" x14ac:dyDescent="0.3">
      <c r="A784" t="s">
        <v>2225</v>
      </c>
      <c r="B784" t="s">
        <v>2958</v>
      </c>
      <c r="C784" t="s">
        <v>95</v>
      </c>
      <c r="D784" t="s">
        <v>464</v>
      </c>
      <c r="E784" t="s">
        <v>2959</v>
      </c>
      <c r="F784" t="s">
        <v>6059</v>
      </c>
      <c r="G784" s="2" t="str">
        <f>HYPERLINK("https://www.facebook.com/1362386453/posts/10216460219362335?comment_id=10216461716519763")</f>
        <v>https://www.facebook.com/1362386453/posts/10216460219362335?comment_id=10216461716519763</v>
      </c>
      <c r="H784" t="s">
        <v>6062</v>
      </c>
      <c r="I784" t="s">
        <v>2902</v>
      </c>
      <c r="J784" s="2" t="str">
        <f t="shared" si="19"/>
        <v>https://www.facebook.com/1092092386</v>
      </c>
      <c r="K784">
        <v>13148</v>
      </c>
      <c r="L784" t="s">
        <v>6063</v>
      </c>
      <c r="N784" t="s">
        <v>13</v>
      </c>
      <c r="O784" t="s">
        <v>467</v>
      </c>
      <c r="P784" s="2" t="str">
        <f t="shared" si="20"/>
        <v>https://www.facebook.com/1362386453</v>
      </c>
      <c r="Q784">
        <v>3896</v>
      </c>
      <c r="R784" t="s">
        <v>6067</v>
      </c>
      <c r="S784" t="s">
        <v>6073</v>
      </c>
    </row>
    <row r="785" spans="1:19" ht="14.25" customHeight="1" x14ac:dyDescent="0.3">
      <c r="A785" t="s">
        <v>2225</v>
      </c>
      <c r="B785" t="s">
        <v>770</v>
      </c>
      <c r="C785" t="s">
        <v>95</v>
      </c>
      <c r="D785" t="s">
        <v>464</v>
      </c>
      <c r="E785" t="s">
        <v>2901</v>
      </c>
      <c r="F785" t="s">
        <v>6059</v>
      </c>
      <c r="G785" s="2" t="str">
        <f>HYPERLINK("https://www.facebook.com/1362386453/posts/10216460219362335?comment_id=10216462110169604")</f>
        <v>https://www.facebook.com/1362386453/posts/10216460219362335?comment_id=10216462110169604</v>
      </c>
      <c r="H785" t="s">
        <v>6062</v>
      </c>
      <c r="I785" t="s">
        <v>2902</v>
      </c>
      <c r="J785" s="2" t="str">
        <f t="shared" si="19"/>
        <v>https://www.facebook.com/1092092386</v>
      </c>
      <c r="K785">
        <v>13148</v>
      </c>
      <c r="L785" t="s">
        <v>6063</v>
      </c>
      <c r="N785" t="s">
        <v>13</v>
      </c>
      <c r="O785" t="s">
        <v>467</v>
      </c>
      <c r="P785" s="2" t="str">
        <f t="shared" si="20"/>
        <v>https://www.facebook.com/1362386453</v>
      </c>
      <c r="Q785">
        <v>3896</v>
      </c>
      <c r="R785" t="s">
        <v>6067</v>
      </c>
      <c r="S785" t="s">
        <v>6073</v>
      </c>
    </row>
    <row r="786" spans="1:19" ht="14.25" customHeight="1" x14ac:dyDescent="0.3">
      <c r="A786" t="s">
        <v>2225</v>
      </c>
      <c r="B786" t="s">
        <v>3067</v>
      </c>
      <c r="C786" t="s">
        <v>95</v>
      </c>
      <c r="D786" t="s">
        <v>464</v>
      </c>
      <c r="E786" t="s">
        <v>3068</v>
      </c>
      <c r="F786" t="s">
        <v>6059</v>
      </c>
      <c r="G786" s="2" t="str">
        <f>HYPERLINK("https://www.facebook.com/1362386453/posts/10216460219362335?comment_id=10216460658373310")</f>
        <v>https://www.facebook.com/1362386453/posts/10216460219362335?comment_id=10216460658373310</v>
      </c>
      <c r="H786" t="s">
        <v>6062</v>
      </c>
      <c r="I786" t="s">
        <v>2902</v>
      </c>
      <c r="J786" s="2" t="str">
        <f t="shared" si="19"/>
        <v>https://www.facebook.com/1092092386</v>
      </c>
      <c r="K786">
        <v>13148</v>
      </c>
      <c r="L786" t="s">
        <v>6063</v>
      </c>
      <c r="N786" t="s">
        <v>13</v>
      </c>
      <c r="O786" t="s">
        <v>467</v>
      </c>
      <c r="P786" s="2" t="str">
        <f t="shared" si="20"/>
        <v>https://www.facebook.com/1362386453</v>
      </c>
      <c r="Q786">
        <v>3896</v>
      </c>
      <c r="R786" t="s">
        <v>6067</v>
      </c>
      <c r="S786" t="s">
        <v>6073</v>
      </c>
    </row>
    <row r="787" spans="1:19" ht="14.25" customHeight="1" x14ac:dyDescent="0.3">
      <c r="A787" t="s">
        <v>2225</v>
      </c>
      <c r="B787" t="s">
        <v>3095</v>
      </c>
      <c r="C787" t="s">
        <v>95</v>
      </c>
      <c r="D787" t="s">
        <v>464</v>
      </c>
      <c r="E787" t="s">
        <v>3096</v>
      </c>
      <c r="F787" t="s">
        <v>6059</v>
      </c>
      <c r="G787" s="2" t="str">
        <f>HYPERLINK("https://www.facebook.com/1362386453/posts/10216460219362335?comment_id=10216460483808946")</f>
        <v>https://www.facebook.com/1362386453/posts/10216460219362335?comment_id=10216460483808946</v>
      </c>
      <c r="H787" t="s">
        <v>6062</v>
      </c>
      <c r="I787" t="s">
        <v>2902</v>
      </c>
      <c r="J787" s="2" t="str">
        <f t="shared" si="19"/>
        <v>https://www.facebook.com/1092092386</v>
      </c>
      <c r="K787">
        <v>13148</v>
      </c>
      <c r="L787" t="s">
        <v>6063</v>
      </c>
      <c r="N787" t="s">
        <v>13</v>
      </c>
      <c r="O787" t="s">
        <v>467</v>
      </c>
      <c r="P787" s="2" t="str">
        <f t="shared" si="20"/>
        <v>https://www.facebook.com/1362386453</v>
      </c>
      <c r="Q787">
        <v>3896</v>
      </c>
      <c r="R787" t="s">
        <v>6067</v>
      </c>
      <c r="S787" t="s">
        <v>6073</v>
      </c>
    </row>
    <row r="788" spans="1:19" ht="14.25" customHeight="1" x14ac:dyDescent="0.3">
      <c r="A788" t="s">
        <v>2225</v>
      </c>
      <c r="B788" t="s">
        <v>3081</v>
      </c>
      <c r="C788" t="s">
        <v>95</v>
      </c>
      <c r="D788" t="s">
        <v>464</v>
      </c>
      <c r="E788" t="s">
        <v>3082</v>
      </c>
      <c r="F788" t="s">
        <v>6059</v>
      </c>
      <c r="G788" s="2" t="str">
        <f>HYPERLINK("https://www.facebook.com/1362386453/posts/10216460219362335?comment_id=10216460564890973")</f>
        <v>https://www.facebook.com/1362386453/posts/10216460219362335?comment_id=10216460564890973</v>
      </c>
      <c r="H788" t="s">
        <v>6062</v>
      </c>
      <c r="I788" t="s">
        <v>2902</v>
      </c>
      <c r="J788" s="2" t="str">
        <f t="shared" si="19"/>
        <v>https://www.facebook.com/1092092386</v>
      </c>
      <c r="K788">
        <v>13148</v>
      </c>
      <c r="L788" t="s">
        <v>6063</v>
      </c>
      <c r="N788" t="s">
        <v>13</v>
      </c>
      <c r="O788" t="s">
        <v>467</v>
      </c>
      <c r="P788" s="2" t="str">
        <f t="shared" si="20"/>
        <v>https://www.facebook.com/1362386453</v>
      </c>
      <c r="Q788">
        <v>3896</v>
      </c>
      <c r="R788" t="s">
        <v>6067</v>
      </c>
      <c r="S788" t="s">
        <v>6073</v>
      </c>
    </row>
    <row r="789" spans="1:19" ht="14.25" customHeight="1" x14ac:dyDescent="0.3">
      <c r="A789" t="s">
        <v>629</v>
      </c>
      <c r="B789" t="s">
        <v>2045</v>
      </c>
      <c r="C789" t="s">
        <v>95</v>
      </c>
      <c r="D789" t="s">
        <v>568</v>
      </c>
      <c r="E789" t="s">
        <v>2046</v>
      </c>
      <c r="F789" t="s">
        <v>6059</v>
      </c>
      <c r="G789" s="2" t="str">
        <f>HYPERLINK("https://www.facebook.com/100010421106042/posts/579987695691929?comment_id=580079079016124")</f>
        <v>https://www.facebook.com/100010421106042/posts/579987695691929?comment_id=580079079016124</v>
      </c>
      <c r="H789" t="s">
        <v>6062</v>
      </c>
      <c r="I789" t="s">
        <v>575</v>
      </c>
      <c r="J789" s="2" t="str">
        <f>HYPERLINK("https://www.facebook.com/100014703151585")</f>
        <v>https://www.facebook.com/100014703151585</v>
      </c>
      <c r="K789">
        <v>215</v>
      </c>
      <c r="L789" t="s">
        <v>6063</v>
      </c>
      <c r="N789" t="s">
        <v>13</v>
      </c>
      <c r="O789" t="s">
        <v>571</v>
      </c>
      <c r="P789" s="2" t="str">
        <f>HYPERLINK("https://www.facebook.com/100010421106042")</f>
        <v>https://www.facebook.com/100010421106042</v>
      </c>
      <c r="Q789">
        <v>2614</v>
      </c>
      <c r="R789" t="s">
        <v>6067</v>
      </c>
      <c r="S789" t="s">
        <v>6101</v>
      </c>
    </row>
    <row r="790" spans="1:19" ht="14.25" customHeight="1" x14ac:dyDescent="0.3">
      <c r="A790" t="s">
        <v>1</v>
      </c>
      <c r="B790" t="s">
        <v>595</v>
      </c>
      <c r="C790" t="s">
        <v>95</v>
      </c>
      <c r="D790" t="s">
        <v>10</v>
      </c>
      <c r="E790" t="s">
        <v>596</v>
      </c>
      <c r="F790" t="s">
        <v>6059</v>
      </c>
      <c r="G790" s="2" t="str">
        <f>HYPERLINK("https://www.facebook.com/1070092426/posts/10213398046920195?comment_id=10213399368073223")</f>
        <v>https://www.facebook.com/1070092426/posts/10213398046920195?comment_id=10213399368073223</v>
      </c>
      <c r="H790" t="s">
        <v>6062</v>
      </c>
      <c r="I790" t="s">
        <v>314</v>
      </c>
      <c r="J790" s="2" t="str">
        <f t="shared" ref="J790:J797" si="21">HYPERLINK("https://www.facebook.com/1070092426")</f>
        <v>https://www.facebook.com/1070092426</v>
      </c>
      <c r="K790">
        <v>5892</v>
      </c>
      <c r="L790" t="s">
        <v>6063</v>
      </c>
      <c r="N790" t="s">
        <v>13</v>
      </c>
      <c r="O790" t="s">
        <v>314</v>
      </c>
      <c r="P790" s="2" t="str">
        <f t="shared" ref="P790:P797" si="22">HYPERLINK("https://www.facebook.com/1070092426")</f>
        <v>https://www.facebook.com/1070092426</v>
      </c>
      <c r="Q790">
        <v>5892</v>
      </c>
      <c r="R790" t="s">
        <v>6067</v>
      </c>
      <c r="S790" t="s">
        <v>6073</v>
      </c>
    </row>
    <row r="791" spans="1:19" ht="14.25" customHeight="1" x14ac:dyDescent="0.3">
      <c r="A791" t="s">
        <v>1</v>
      </c>
      <c r="B791" t="s">
        <v>609</v>
      </c>
      <c r="C791" t="s">
        <v>95</v>
      </c>
      <c r="D791" t="s">
        <v>10</v>
      </c>
      <c r="E791" t="s">
        <v>610</v>
      </c>
      <c r="F791" t="s">
        <v>6059</v>
      </c>
      <c r="G791" s="2" t="str">
        <f>HYPERLINK("https://www.facebook.com/1070092426/posts/10213398046920195?comment_id=10213399278150975")</f>
        <v>https://www.facebook.com/1070092426/posts/10213398046920195?comment_id=10213399278150975</v>
      </c>
      <c r="H791" t="s">
        <v>6062</v>
      </c>
      <c r="I791" t="s">
        <v>314</v>
      </c>
      <c r="J791" s="2" t="str">
        <f t="shared" si="21"/>
        <v>https://www.facebook.com/1070092426</v>
      </c>
      <c r="K791">
        <v>5892</v>
      </c>
      <c r="L791" t="s">
        <v>6063</v>
      </c>
      <c r="N791" t="s">
        <v>13</v>
      </c>
      <c r="O791" t="s">
        <v>314</v>
      </c>
      <c r="P791" s="2" t="str">
        <f t="shared" si="22"/>
        <v>https://www.facebook.com/1070092426</v>
      </c>
      <c r="Q791">
        <v>5892</v>
      </c>
      <c r="R791" t="s">
        <v>6067</v>
      </c>
      <c r="S791" t="s">
        <v>6073</v>
      </c>
    </row>
    <row r="792" spans="1:19" ht="14.25" customHeight="1" x14ac:dyDescent="0.3">
      <c r="A792" t="s">
        <v>1</v>
      </c>
      <c r="B792" t="s">
        <v>599</v>
      </c>
      <c r="C792" t="s">
        <v>95</v>
      </c>
      <c r="D792" t="s">
        <v>10</v>
      </c>
      <c r="E792" t="s">
        <v>600</v>
      </c>
      <c r="F792" t="s">
        <v>6059</v>
      </c>
      <c r="G792" s="2" t="str">
        <f>HYPERLINK("https://www.facebook.com/1070092426/posts/10213398046920195?comment_id=10213399356872943")</f>
        <v>https://www.facebook.com/1070092426/posts/10213398046920195?comment_id=10213399356872943</v>
      </c>
      <c r="H792" t="s">
        <v>6062</v>
      </c>
      <c r="I792" t="s">
        <v>314</v>
      </c>
      <c r="J792" s="2" t="str">
        <f t="shared" si="21"/>
        <v>https://www.facebook.com/1070092426</v>
      </c>
      <c r="K792">
        <v>5892</v>
      </c>
      <c r="L792" t="s">
        <v>6063</v>
      </c>
      <c r="N792" t="s">
        <v>13</v>
      </c>
      <c r="O792" t="s">
        <v>314</v>
      </c>
      <c r="P792" s="2" t="str">
        <f t="shared" si="22"/>
        <v>https://www.facebook.com/1070092426</v>
      </c>
      <c r="Q792">
        <v>5892</v>
      </c>
      <c r="R792" t="s">
        <v>6067</v>
      </c>
      <c r="S792" t="s">
        <v>6073</v>
      </c>
    </row>
    <row r="793" spans="1:19" ht="14.25" customHeight="1" x14ac:dyDescent="0.3">
      <c r="A793" t="s">
        <v>1</v>
      </c>
      <c r="B793" t="s">
        <v>605</v>
      </c>
      <c r="C793" t="s">
        <v>95</v>
      </c>
      <c r="D793" t="s">
        <v>10</v>
      </c>
      <c r="E793" t="s">
        <v>606</v>
      </c>
      <c r="F793" t="s">
        <v>6059</v>
      </c>
      <c r="G793" s="2" t="str">
        <f>HYPERLINK("https://www.facebook.com/1070092426/posts/10213398046920195?comment_id=10213399299551510")</f>
        <v>https://www.facebook.com/1070092426/posts/10213398046920195?comment_id=10213399299551510</v>
      </c>
      <c r="H793" t="s">
        <v>6062</v>
      </c>
      <c r="I793" t="s">
        <v>314</v>
      </c>
      <c r="J793" s="2" t="str">
        <f t="shared" si="21"/>
        <v>https://www.facebook.com/1070092426</v>
      </c>
      <c r="K793">
        <v>5892</v>
      </c>
      <c r="L793" t="s">
        <v>6063</v>
      </c>
      <c r="N793" t="s">
        <v>13</v>
      </c>
      <c r="O793" t="s">
        <v>314</v>
      </c>
      <c r="P793" s="2" t="str">
        <f t="shared" si="22"/>
        <v>https://www.facebook.com/1070092426</v>
      </c>
      <c r="Q793">
        <v>5892</v>
      </c>
      <c r="R793" t="s">
        <v>6067</v>
      </c>
      <c r="S793" t="s">
        <v>6073</v>
      </c>
    </row>
    <row r="794" spans="1:19" ht="14.25" customHeight="1" x14ac:dyDescent="0.3">
      <c r="A794" t="s">
        <v>1</v>
      </c>
      <c r="B794" t="s">
        <v>572</v>
      </c>
      <c r="C794" t="s">
        <v>95</v>
      </c>
      <c r="D794" t="s">
        <v>10</v>
      </c>
      <c r="E794" t="s">
        <v>578</v>
      </c>
      <c r="F794" t="s">
        <v>6059</v>
      </c>
      <c r="G794" s="2" t="str">
        <f>HYPERLINK("https://www.facebook.com/1070092426/posts/10213398046920195?comment_id=10213399439315004")</f>
        <v>https://www.facebook.com/1070092426/posts/10213398046920195?comment_id=10213399439315004</v>
      </c>
      <c r="H794" t="s">
        <v>6062</v>
      </c>
      <c r="I794" t="s">
        <v>314</v>
      </c>
      <c r="J794" s="2" t="str">
        <f t="shared" si="21"/>
        <v>https://www.facebook.com/1070092426</v>
      </c>
      <c r="K794">
        <v>5892</v>
      </c>
      <c r="L794" t="s">
        <v>6063</v>
      </c>
      <c r="N794" t="s">
        <v>13</v>
      </c>
      <c r="O794" t="s">
        <v>314</v>
      </c>
      <c r="P794" s="2" t="str">
        <f t="shared" si="22"/>
        <v>https://www.facebook.com/1070092426</v>
      </c>
      <c r="Q794">
        <v>5892</v>
      </c>
      <c r="R794" t="s">
        <v>6067</v>
      </c>
      <c r="S794" t="s">
        <v>6073</v>
      </c>
    </row>
    <row r="795" spans="1:19" ht="14.25" customHeight="1" x14ac:dyDescent="0.3">
      <c r="A795" t="s">
        <v>1</v>
      </c>
      <c r="B795" t="s">
        <v>432</v>
      </c>
      <c r="C795" t="s">
        <v>95</v>
      </c>
      <c r="D795" t="s">
        <v>10</v>
      </c>
      <c r="E795" t="s">
        <v>433</v>
      </c>
      <c r="F795" t="s">
        <v>6059</v>
      </c>
      <c r="G795" s="2" t="str">
        <f>HYPERLINK("https://www.facebook.com/1070092426/posts/10213398046920195?comment_id=10213402078700987")</f>
        <v>https://www.facebook.com/1070092426/posts/10213398046920195?comment_id=10213402078700987</v>
      </c>
      <c r="H795" t="s">
        <v>6062</v>
      </c>
      <c r="I795" t="s">
        <v>314</v>
      </c>
      <c r="J795" s="2" t="str">
        <f t="shared" si="21"/>
        <v>https://www.facebook.com/1070092426</v>
      </c>
      <c r="K795">
        <v>5892</v>
      </c>
      <c r="L795" t="s">
        <v>6063</v>
      </c>
      <c r="N795" t="s">
        <v>13</v>
      </c>
      <c r="O795" t="s">
        <v>314</v>
      </c>
      <c r="P795" s="2" t="str">
        <f t="shared" si="22"/>
        <v>https://www.facebook.com/1070092426</v>
      </c>
      <c r="Q795">
        <v>5892</v>
      </c>
      <c r="R795" t="s">
        <v>6067</v>
      </c>
      <c r="S795" t="s">
        <v>6073</v>
      </c>
    </row>
    <row r="796" spans="1:19" ht="14.25" customHeight="1" x14ac:dyDescent="0.3">
      <c r="A796" t="s">
        <v>1</v>
      </c>
      <c r="B796" t="s">
        <v>617</v>
      </c>
      <c r="C796" t="s">
        <v>95</v>
      </c>
      <c r="D796" t="s">
        <v>10</v>
      </c>
      <c r="E796" t="s">
        <v>618</v>
      </c>
      <c r="F796" t="s">
        <v>6059</v>
      </c>
      <c r="G796" s="2" t="str">
        <f>HYPERLINK("https://www.facebook.com/1070092426/posts/10213398046920195?comment_id=10213399264470633")</f>
        <v>https://www.facebook.com/1070092426/posts/10213398046920195?comment_id=10213399264470633</v>
      </c>
      <c r="H796" t="s">
        <v>6062</v>
      </c>
      <c r="I796" t="s">
        <v>314</v>
      </c>
      <c r="J796" s="2" t="str">
        <f t="shared" si="21"/>
        <v>https://www.facebook.com/1070092426</v>
      </c>
      <c r="K796">
        <v>5892</v>
      </c>
      <c r="L796" t="s">
        <v>6063</v>
      </c>
      <c r="N796" t="s">
        <v>13</v>
      </c>
      <c r="O796" t="s">
        <v>314</v>
      </c>
      <c r="P796" s="2" t="str">
        <f t="shared" si="22"/>
        <v>https://www.facebook.com/1070092426</v>
      </c>
      <c r="Q796">
        <v>5892</v>
      </c>
      <c r="R796" t="s">
        <v>6067</v>
      </c>
      <c r="S796" t="s">
        <v>6073</v>
      </c>
    </row>
    <row r="797" spans="1:19" ht="14.25" customHeight="1" x14ac:dyDescent="0.3">
      <c r="A797" t="s">
        <v>1</v>
      </c>
      <c r="B797" t="s">
        <v>559</v>
      </c>
      <c r="C797" t="s">
        <v>95</v>
      </c>
      <c r="D797" t="s">
        <v>10</v>
      </c>
      <c r="E797" t="s">
        <v>560</v>
      </c>
      <c r="F797" t="s">
        <v>6059</v>
      </c>
      <c r="G797" s="2" t="str">
        <f>HYPERLINK("https://www.facebook.com/1070092426/posts/10213398046920195?comment_id=10213399574678388")</f>
        <v>https://www.facebook.com/1070092426/posts/10213398046920195?comment_id=10213399574678388</v>
      </c>
      <c r="H797" t="s">
        <v>6062</v>
      </c>
      <c r="I797" t="s">
        <v>314</v>
      </c>
      <c r="J797" s="2" t="str">
        <f t="shared" si="21"/>
        <v>https://www.facebook.com/1070092426</v>
      </c>
      <c r="K797">
        <v>5892</v>
      </c>
      <c r="L797" t="s">
        <v>6063</v>
      </c>
      <c r="N797" t="s">
        <v>13</v>
      </c>
      <c r="O797" t="s">
        <v>314</v>
      </c>
      <c r="P797" s="2" t="str">
        <f t="shared" si="22"/>
        <v>https://www.facebook.com/1070092426</v>
      </c>
      <c r="Q797">
        <v>5892</v>
      </c>
      <c r="R797" t="s">
        <v>6067</v>
      </c>
      <c r="S797" t="s">
        <v>6073</v>
      </c>
    </row>
    <row r="798" spans="1:19" ht="14.25" customHeight="1" x14ac:dyDescent="0.3">
      <c r="A798" t="s">
        <v>2225</v>
      </c>
      <c r="B798" t="s">
        <v>296</v>
      </c>
      <c r="C798" t="s">
        <v>95</v>
      </c>
      <c r="D798" t="s">
        <v>3356</v>
      </c>
      <c r="E798" t="s">
        <v>3370</v>
      </c>
      <c r="F798" t="s">
        <v>6059</v>
      </c>
      <c r="G798" s="2" t="str">
        <f>HYPERLINK("https://www.facebook.com/1581787837/posts/10210621564966938?comment_id=10210627640598825")</f>
        <v>https://www.facebook.com/1581787837/posts/10210621564966938?comment_id=10210627640598825</v>
      </c>
      <c r="H798" t="s">
        <v>6062</v>
      </c>
      <c r="I798" t="s">
        <v>3371</v>
      </c>
      <c r="J798" s="2" t="str">
        <f>HYPERLINK("https://www.facebook.com/1682227661")</f>
        <v>https://www.facebook.com/1682227661</v>
      </c>
      <c r="K798">
        <v>66</v>
      </c>
      <c r="L798" t="s">
        <v>6063</v>
      </c>
      <c r="N798" t="s">
        <v>13</v>
      </c>
      <c r="O798" t="s">
        <v>3358</v>
      </c>
      <c r="P798" s="2" t="str">
        <f>HYPERLINK("https://www.facebook.com/1581787837")</f>
        <v>https://www.facebook.com/1581787837</v>
      </c>
      <c r="Q798">
        <v>678</v>
      </c>
      <c r="R798" t="s">
        <v>6067</v>
      </c>
      <c r="S798" t="s">
        <v>6073</v>
      </c>
    </row>
    <row r="799" spans="1:19" ht="14.25" customHeight="1" x14ac:dyDescent="0.3">
      <c r="A799" t="s">
        <v>2225</v>
      </c>
      <c r="B799" t="s">
        <v>2482</v>
      </c>
      <c r="C799" t="s">
        <v>95</v>
      </c>
      <c r="D799" t="s">
        <v>853</v>
      </c>
      <c r="E799" t="s">
        <v>2483</v>
      </c>
      <c r="F799" t="s">
        <v>6059</v>
      </c>
      <c r="G799" s="2" t="str">
        <f>HYPERLINK("https://www.facebook.com/100008934274771/posts/1810262525948206?comment_id=1810292725945186")</f>
        <v>https://www.facebook.com/100008934274771/posts/1810262525948206?comment_id=1810292725945186</v>
      </c>
      <c r="H799" t="s">
        <v>6062</v>
      </c>
      <c r="I799" t="s">
        <v>2415</v>
      </c>
      <c r="J799" s="2" t="str">
        <f>HYPERLINK("https://www.facebook.com/100004079973019")</f>
        <v>https://www.facebook.com/100004079973019</v>
      </c>
      <c r="K799">
        <v>61</v>
      </c>
      <c r="L799" t="s">
        <v>6063</v>
      </c>
      <c r="N799" t="s">
        <v>13</v>
      </c>
      <c r="O799" t="s">
        <v>856</v>
      </c>
      <c r="P799" s="2" t="str">
        <f>HYPERLINK("https://www.facebook.com/100008934274771")</f>
        <v>https://www.facebook.com/100008934274771</v>
      </c>
      <c r="Q799">
        <v>10395</v>
      </c>
      <c r="R799" t="s">
        <v>6067</v>
      </c>
      <c r="S799" t="s">
        <v>6073</v>
      </c>
    </row>
    <row r="800" spans="1:19" ht="14.25" customHeight="1" x14ac:dyDescent="0.3">
      <c r="A800" t="s">
        <v>2225</v>
      </c>
      <c r="B800" t="s">
        <v>2428</v>
      </c>
      <c r="C800" t="s">
        <v>95</v>
      </c>
      <c r="D800" t="s">
        <v>853</v>
      </c>
      <c r="E800" t="s">
        <v>2429</v>
      </c>
      <c r="F800" t="s">
        <v>6059</v>
      </c>
      <c r="G800" s="2" t="str">
        <f>HYPERLINK("https://www.facebook.com/100008934274771/posts/1810262525948206?comment_id=1810295572611568")</f>
        <v>https://www.facebook.com/100008934274771/posts/1810262525948206?comment_id=1810295572611568</v>
      </c>
      <c r="H800" t="s">
        <v>6062</v>
      </c>
      <c r="I800" t="s">
        <v>2415</v>
      </c>
      <c r="J800" s="2" t="str">
        <f>HYPERLINK("https://www.facebook.com/100004079973019")</f>
        <v>https://www.facebook.com/100004079973019</v>
      </c>
      <c r="K800">
        <v>61</v>
      </c>
      <c r="L800" t="s">
        <v>6063</v>
      </c>
      <c r="N800" t="s">
        <v>13</v>
      </c>
      <c r="O800" t="s">
        <v>856</v>
      </c>
      <c r="P800" s="2" t="str">
        <f>HYPERLINK("https://www.facebook.com/100008934274771")</f>
        <v>https://www.facebook.com/100008934274771</v>
      </c>
      <c r="Q800">
        <v>10395</v>
      </c>
      <c r="R800" t="s">
        <v>6067</v>
      </c>
      <c r="S800" t="s">
        <v>6073</v>
      </c>
    </row>
    <row r="801" spans="1:19" ht="14.25" customHeight="1" x14ac:dyDescent="0.3">
      <c r="A801" t="s">
        <v>2225</v>
      </c>
      <c r="B801" t="s">
        <v>2547</v>
      </c>
      <c r="C801" t="s">
        <v>95</v>
      </c>
      <c r="D801" t="s">
        <v>853</v>
      </c>
      <c r="E801" t="s">
        <v>2552</v>
      </c>
      <c r="F801" t="s">
        <v>6059</v>
      </c>
      <c r="G801" s="2" t="str">
        <f>HYPERLINK("https://www.facebook.com/100008934274771/posts/1810262525948206?comment_id=1810289865945472")</f>
        <v>https://www.facebook.com/100008934274771/posts/1810262525948206?comment_id=1810289865945472</v>
      </c>
      <c r="H801" t="s">
        <v>6062</v>
      </c>
      <c r="I801" t="s">
        <v>2415</v>
      </c>
      <c r="J801" s="2" t="str">
        <f>HYPERLINK("https://www.facebook.com/100004079973019")</f>
        <v>https://www.facebook.com/100004079973019</v>
      </c>
      <c r="K801">
        <v>61</v>
      </c>
      <c r="L801" t="s">
        <v>6063</v>
      </c>
      <c r="N801" t="s">
        <v>13</v>
      </c>
      <c r="O801" t="s">
        <v>856</v>
      </c>
      <c r="P801" s="2" t="str">
        <f>HYPERLINK("https://www.facebook.com/100008934274771")</f>
        <v>https://www.facebook.com/100008934274771</v>
      </c>
      <c r="Q801">
        <v>10395</v>
      </c>
      <c r="R801" t="s">
        <v>6067</v>
      </c>
      <c r="S801" t="s">
        <v>6073</v>
      </c>
    </row>
    <row r="802" spans="1:19" ht="14.25" customHeight="1" x14ac:dyDescent="0.3">
      <c r="A802" t="s">
        <v>2225</v>
      </c>
      <c r="B802" t="s">
        <v>723</v>
      </c>
      <c r="C802" t="s">
        <v>95</v>
      </c>
      <c r="D802" t="s">
        <v>853</v>
      </c>
      <c r="E802" t="s">
        <v>2444</v>
      </c>
      <c r="F802" t="s">
        <v>6059</v>
      </c>
      <c r="G802" s="2" t="str">
        <f>HYPERLINK("https://www.facebook.com/100008934274771/posts/1810262525948206?comment_id=1810294702611655")</f>
        <v>https://www.facebook.com/100008934274771/posts/1810262525948206?comment_id=1810294702611655</v>
      </c>
      <c r="H802" t="s">
        <v>6062</v>
      </c>
      <c r="I802" t="s">
        <v>2415</v>
      </c>
      <c r="J802" s="2" t="str">
        <f>HYPERLINK("https://www.facebook.com/100004079973019")</f>
        <v>https://www.facebook.com/100004079973019</v>
      </c>
      <c r="K802">
        <v>61</v>
      </c>
      <c r="L802" t="s">
        <v>6063</v>
      </c>
      <c r="N802" t="s">
        <v>13</v>
      </c>
      <c r="O802" t="s">
        <v>856</v>
      </c>
      <c r="P802" s="2" t="str">
        <f>HYPERLINK("https://www.facebook.com/100008934274771")</f>
        <v>https://www.facebook.com/100008934274771</v>
      </c>
      <c r="Q802">
        <v>10395</v>
      </c>
      <c r="R802" t="s">
        <v>6067</v>
      </c>
      <c r="S802" t="s">
        <v>6073</v>
      </c>
    </row>
    <row r="803" spans="1:19" ht="14.25" customHeight="1" x14ac:dyDescent="0.3">
      <c r="A803" t="s">
        <v>2225</v>
      </c>
      <c r="B803" t="s">
        <v>2547</v>
      </c>
      <c r="C803" t="s">
        <v>95</v>
      </c>
      <c r="D803" t="s">
        <v>853</v>
      </c>
      <c r="E803" t="s">
        <v>2550</v>
      </c>
      <c r="F803" t="s">
        <v>6059</v>
      </c>
      <c r="G803" s="2" t="str">
        <f>HYPERLINK("https://www.facebook.com/100008934274771/posts/1810262525948206?comment_id=1810289982612127")</f>
        <v>https://www.facebook.com/100008934274771/posts/1810262525948206?comment_id=1810289982612127</v>
      </c>
      <c r="H803" t="s">
        <v>6062</v>
      </c>
      <c r="I803" t="s">
        <v>2415</v>
      </c>
      <c r="J803" s="2" t="str">
        <f>HYPERLINK("https://www.facebook.com/100004079973019")</f>
        <v>https://www.facebook.com/100004079973019</v>
      </c>
      <c r="K803">
        <v>61</v>
      </c>
      <c r="L803" t="s">
        <v>6063</v>
      </c>
      <c r="N803" t="s">
        <v>13</v>
      </c>
      <c r="O803" t="s">
        <v>856</v>
      </c>
      <c r="P803" s="2" t="str">
        <f>HYPERLINK("https://www.facebook.com/100008934274771")</f>
        <v>https://www.facebook.com/100008934274771</v>
      </c>
      <c r="Q803">
        <v>10395</v>
      </c>
      <c r="R803" t="s">
        <v>6067</v>
      </c>
      <c r="S803" t="s">
        <v>6073</v>
      </c>
    </row>
    <row r="804" spans="1:19" ht="14.25" customHeight="1" x14ac:dyDescent="0.3">
      <c r="A804" t="s">
        <v>629</v>
      </c>
      <c r="B804" t="s">
        <v>1238</v>
      </c>
      <c r="C804" t="s">
        <v>95</v>
      </c>
      <c r="D804" t="s">
        <v>10</v>
      </c>
      <c r="E804" t="s">
        <v>1240</v>
      </c>
      <c r="F804" t="s">
        <v>6059</v>
      </c>
      <c r="G804" s="2" t="str">
        <f>HYPERLINK("https://www.facebook.com/762053551/posts/10156366210158552?comment_id=10156366236168552")</f>
        <v>https://www.facebook.com/762053551/posts/10156366210158552?comment_id=10156366236168552</v>
      </c>
      <c r="H804" t="s">
        <v>6062</v>
      </c>
      <c r="I804" t="s">
        <v>1241</v>
      </c>
      <c r="J804" s="2" t="str">
        <f>HYPERLINK("https://www.facebook.com/100000180810752")</f>
        <v>https://www.facebook.com/100000180810752</v>
      </c>
      <c r="K804">
        <v>3709</v>
      </c>
      <c r="L804" t="s">
        <v>6063</v>
      </c>
      <c r="N804" t="s">
        <v>13</v>
      </c>
      <c r="O804" t="s">
        <v>14</v>
      </c>
      <c r="P804" s="2" t="str">
        <f>HYPERLINK("https://www.facebook.com/762053551")</f>
        <v>https://www.facebook.com/762053551</v>
      </c>
      <c r="Q804">
        <v>102347</v>
      </c>
      <c r="R804" t="s">
        <v>6067</v>
      </c>
      <c r="S804" t="s">
        <v>6073</v>
      </c>
    </row>
    <row r="805" spans="1:19" ht="14.25" customHeight="1" x14ac:dyDescent="0.3">
      <c r="A805" t="s">
        <v>629</v>
      </c>
      <c r="B805" t="s">
        <v>1484</v>
      </c>
      <c r="C805" t="s">
        <v>95</v>
      </c>
      <c r="D805" t="s">
        <v>370</v>
      </c>
      <c r="E805" t="s">
        <v>371</v>
      </c>
      <c r="F805" t="s">
        <v>6058</v>
      </c>
      <c r="G805" s="2" t="str">
        <f>HYPERLINK("https://www.facebook.com/100007241531387/posts/1999998276918204")</f>
        <v>https://www.facebook.com/100007241531387/posts/1999998276918204</v>
      </c>
      <c r="H805" t="s">
        <v>6062</v>
      </c>
      <c r="I805" t="s">
        <v>1485</v>
      </c>
      <c r="J805" s="2" t="str">
        <f>HYPERLINK("https://www.facebook.com/100007241531387")</f>
        <v>https://www.facebook.com/100007241531387</v>
      </c>
      <c r="K805">
        <v>214</v>
      </c>
      <c r="L805" t="s">
        <v>6063</v>
      </c>
      <c r="N805" t="s">
        <v>13</v>
      </c>
      <c r="O805" t="s">
        <v>1485</v>
      </c>
      <c r="P805" s="2" t="str">
        <f>HYPERLINK("https://www.facebook.com/100007241531387")</f>
        <v>https://www.facebook.com/100007241531387</v>
      </c>
      <c r="Q805">
        <v>214</v>
      </c>
      <c r="R805" t="s">
        <v>6067</v>
      </c>
      <c r="S805" t="s">
        <v>6073</v>
      </c>
    </row>
    <row r="806" spans="1:19" ht="14.25" customHeight="1" x14ac:dyDescent="0.3">
      <c r="A806" t="s">
        <v>4995</v>
      </c>
      <c r="B806" t="s">
        <v>4030</v>
      </c>
      <c r="C806" t="s">
        <v>3538</v>
      </c>
      <c r="D806" t="s">
        <v>5017</v>
      </c>
      <c r="E806" t="s">
        <v>5018</v>
      </c>
      <c r="F806" t="s">
        <v>6058</v>
      </c>
      <c r="G806" s="2" t="str">
        <f>HYPERLINK("https://www.facebook.com/100005401114778/posts/779850528871644")</f>
        <v>https://www.facebook.com/100005401114778/posts/779850528871644</v>
      </c>
      <c r="H806" t="s">
        <v>6062</v>
      </c>
      <c r="I806" t="s">
        <v>5148</v>
      </c>
      <c r="J806" s="2" t="str">
        <f>HYPERLINK("https://www.facebook.com/100005401114778")</f>
        <v>https://www.facebook.com/100005401114778</v>
      </c>
      <c r="K806">
        <v>71</v>
      </c>
      <c r="L806" t="s">
        <v>6063</v>
      </c>
      <c r="N806" t="s">
        <v>13</v>
      </c>
      <c r="O806" t="s">
        <v>5148</v>
      </c>
      <c r="P806" s="2" t="str">
        <f>HYPERLINK("https://www.facebook.com/100005401114778")</f>
        <v>https://www.facebook.com/100005401114778</v>
      </c>
      <c r="Q806">
        <v>71</v>
      </c>
      <c r="R806" t="s">
        <v>6067</v>
      </c>
      <c r="S806" t="s">
        <v>6073</v>
      </c>
    </row>
    <row r="807" spans="1:19" ht="14.25" customHeight="1" x14ac:dyDescent="0.3">
      <c r="A807" t="s">
        <v>2225</v>
      </c>
      <c r="B807" t="s">
        <v>3347</v>
      </c>
      <c r="C807" t="s">
        <v>95</v>
      </c>
      <c r="D807" t="s">
        <v>1099</v>
      </c>
      <c r="E807" t="s">
        <v>3348</v>
      </c>
      <c r="F807" t="s">
        <v>6059</v>
      </c>
      <c r="G807" s="2" t="str">
        <f>HYPERLINK("https://www.facebook.com/100002489064006/posts/1666923993400553?comment_id=1667322776694008")</f>
        <v>https://www.facebook.com/100002489064006/posts/1666923993400553?comment_id=1667322776694008</v>
      </c>
      <c r="H807" t="s">
        <v>6062</v>
      </c>
      <c r="I807" t="s">
        <v>3349</v>
      </c>
      <c r="J807" s="2" t="str">
        <f>HYPERLINK("https://www.facebook.com/100002041368300")</f>
        <v>https://www.facebook.com/100002041368300</v>
      </c>
      <c r="K807">
        <v>64</v>
      </c>
      <c r="L807" t="s">
        <v>6063</v>
      </c>
      <c r="M807">
        <v>27</v>
      </c>
      <c r="N807" t="s">
        <v>13</v>
      </c>
      <c r="O807" t="s">
        <v>1101</v>
      </c>
      <c r="P807" s="2" t="str">
        <f>HYPERLINK("https://www.facebook.com/100002489064006")</f>
        <v>https://www.facebook.com/100002489064006</v>
      </c>
      <c r="Q807">
        <v>2089</v>
      </c>
      <c r="R807" t="s">
        <v>6067</v>
      </c>
      <c r="S807" t="s">
        <v>6073</v>
      </c>
    </row>
    <row r="808" spans="1:19" ht="14.25" customHeight="1" x14ac:dyDescent="0.3">
      <c r="A808" t="s">
        <v>2225</v>
      </c>
      <c r="B808" t="s">
        <v>2448</v>
      </c>
      <c r="C808" t="s">
        <v>95</v>
      </c>
      <c r="D808" t="s">
        <v>2265</v>
      </c>
      <c r="E808" t="s">
        <v>2449</v>
      </c>
      <c r="F808" t="s">
        <v>6059</v>
      </c>
      <c r="G808" s="2" t="str">
        <f>HYPERLINK("https://www.facebook.com/100000102616450/posts/2007587419254659?comment_id=2007594582587276")</f>
        <v>https://www.facebook.com/100000102616450/posts/2007587419254659?comment_id=2007594582587276</v>
      </c>
      <c r="H808" t="s">
        <v>6062</v>
      </c>
      <c r="I808" t="s">
        <v>2450</v>
      </c>
      <c r="J808" s="2" t="str">
        <f>HYPERLINK("https://www.facebook.com/735028363")</f>
        <v>https://www.facebook.com/735028363</v>
      </c>
      <c r="K808">
        <v>0</v>
      </c>
      <c r="L808" t="s">
        <v>6063</v>
      </c>
      <c r="N808" t="s">
        <v>13</v>
      </c>
      <c r="O808" t="s">
        <v>2268</v>
      </c>
      <c r="P808" s="2" t="str">
        <f>HYPERLINK("https://www.facebook.com/100000102616450")</f>
        <v>https://www.facebook.com/100000102616450</v>
      </c>
      <c r="Q808">
        <v>2391</v>
      </c>
      <c r="R808" t="s">
        <v>6067</v>
      </c>
      <c r="S808" t="s">
        <v>6073</v>
      </c>
    </row>
    <row r="809" spans="1:19" ht="14.25" customHeight="1" x14ac:dyDescent="0.3">
      <c r="A809" t="s">
        <v>629</v>
      </c>
      <c r="B809" t="s">
        <v>1523</v>
      </c>
      <c r="C809" t="s">
        <v>95</v>
      </c>
      <c r="D809" t="s">
        <v>667</v>
      </c>
      <c r="E809" t="s">
        <v>668</v>
      </c>
      <c r="F809" t="s">
        <v>6058</v>
      </c>
      <c r="G809" s="2" t="str">
        <f>HYPERLINK("https://www.facebook.com/100001432477419/posts/1832932913431107")</f>
        <v>https://www.facebook.com/100001432477419/posts/1832932913431107</v>
      </c>
      <c r="H809" t="s">
        <v>6062</v>
      </c>
      <c r="I809" t="s">
        <v>1524</v>
      </c>
      <c r="J809" s="2" t="str">
        <f>HYPERLINK("https://www.facebook.com/100001432477419")</f>
        <v>https://www.facebook.com/100001432477419</v>
      </c>
      <c r="K809">
        <v>762</v>
      </c>
      <c r="L809" t="s">
        <v>6063</v>
      </c>
      <c r="N809" t="s">
        <v>13</v>
      </c>
      <c r="O809" t="s">
        <v>1524</v>
      </c>
      <c r="P809" s="2" t="str">
        <f>HYPERLINK("https://www.facebook.com/100001432477419")</f>
        <v>https://www.facebook.com/100001432477419</v>
      </c>
      <c r="Q809">
        <v>762</v>
      </c>
      <c r="R809" t="s">
        <v>6067</v>
      </c>
      <c r="S809" t="s">
        <v>6073</v>
      </c>
    </row>
    <row r="810" spans="1:19" ht="14.25" customHeight="1" x14ac:dyDescent="0.3">
      <c r="A810" t="s">
        <v>5409</v>
      </c>
      <c r="B810" t="s">
        <v>764</v>
      </c>
      <c r="C810" t="s">
        <v>3538</v>
      </c>
      <c r="D810" t="s">
        <v>5490</v>
      </c>
      <c r="E810" t="s">
        <v>5494</v>
      </c>
      <c r="F810" t="s">
        <v>6059</v>
      </c>
      <c r="G810" s="2" t="str">
        <f>HYPERLINK("https://www.facebook.com/100000845756358/posts/1716575511713957?comment_id=1716613511710157")</f>
        <v>https://www.facebook.com/100000845756358/posts/1716575511713957?comment_id=1716613511710157</v>
      </c>
      <c r="H810" t="s">
        <v>6062</v>
      </c>
      <c r="I810" t="s">
        <v>5493</v>
      </c>
      <c r="J810" s="2" t="str">
        <f>HYPERLINK("https://www.facebook.com/100000845756358")</f>
        <v>https://www.facebook.com/100000845756358</v>
      </c>
      <c r="K810">
        <v>101</v>
      </c>
      <c r="L810" t="s">
        <v>6063</v>
      </c>
      <c r="M810">
        <v>38</v>
      </c>
      <c r="N810" t="s">
        <v>13</v>
      </c>
      <c r="O810" t="s">
        <v>5493</v>
      </c>
      <c r="P810" s="2" t="str">
        <f>HYPERLINK("https://www.facebook.com/100000845756358")</f>
        <v>https://www.facebook.com/100000845756358</v>
      </c>
      <c r="Q810">
        <v>101</v>
      </c>
      <c r="R810" t="s">
        <v>6067</v>
      </c>
      <c r="S810" t="s">
        <v>6073</v>
      </c>
    </row>
    <row r="811" spans="1:19" ht="14.25" customHeight="1" x14ac:dyDescent="0.3">
      <c r="A811" t="s">
        <v>5409</v>
      </c>
      <c r="B811" t="s">
        <v>2949</v>
      </c>
      <c r="C811" t="s">
        <v>3538</v>
      </c>
      <c r="D811" t="s">
        <v>5490</v>
      </c>
      <c r="E811" t="s">
        <v>5526</v>
      </c>
      <c r="F811" t="s">
        <v>6056</v>
      </c>
      <c r="G811" s="2" t="str">
        <f>HYPERLINK("https://www.facebook.com/100000845756358/posts/1716575511713957")</f>
        <v>https://www.facebook.com/100000845756358/posts/1716575511713957</v>
      </c>
      <c r="H811" t="s">
        <v>6062</v>
      </c>
      <c r="I811" t="s">
        <v>5493</v>
      </c>
      <c r="J811" s="2" t="str">
        <f>HYPERLINK("https://www.facebook.com/100000845756358")</f>
        <v>https://www.facebook.com/100000845756358</v>
      </c>
      <c r="K811">
        <v>101</v>
      </c>
      <c r="L811" t="s">
        <v>6063</v>
      </c>
      <c r="M811">
        <v>38</v>
      </c>
      <c r="N811" t="s">
        <v>13</v>
      </c>
      <c r="O811" t="s">
        <v>5493</v>
      </c>
      <c r="P811" s="2" t="str">
        <f>HYPERLINK("https://www.facebook.com/100000845756358")</f>
        <v>https://www.facebook.com/100000845756358</v>
      </c>
      <c r="Q811">
        <v>101</v>
      </c>
      <c r="R811" t="s">
        <v>6067</v>
      </c>
      <c r="S811" t="s">
        <v>6073</v>
      </c>
    </row>
    <row r="812" spans="1:19" ht="14.25" customHeight="1" x14ac:dyDescent="0.3">
      <c r="A812" t="s">
        <v>4439</v>
      </c>
      <c r="B812" t="s">
        <v>1107</v>
      </c>
      <c r="C812" t="s">
        <v>3538</v>
      </c>
      <c r="D812" t="s">
        <v>2419</v>
      </c>
      <c r="E812" t="s">
        <v>2420</v>
      </c>
      <c r="F812" t="s">
        <v>6058</v>
      </c>
      <c r="G812" s="2" t="str">
        <f>HYPERLINK("https://www.facebook.com/100008606923545/posts/1796133297350217")</f>
        <v>https://www.facebook.com/100008606923545/posts/1796133297350217</v>
      </c>
      <c r="H812" t="s">
        <v>6062</v>
      </c>
      <c r="I812" t="s">
        <v>4623</v>
      </c>
      <c r="J812" s="2" t="str">
        <f>HYPERLINK("https://www.facebook.com/100008606923545")</f>
        <v>https://www.facebook.com/100008606923545</v>
      </c>
      <c r="K812">
        <v>171</v>
      </c>
      <c r="L812" t="s">
        <v>6063</v>
      </c>
      <c r="N812" t="s">
        <v>13</v>
      </c>
      <c r="O812" t="s">
        <v>4623</v>
      </c>
      <c r="P812" s="2" t="str">
        <f>HYPERLINK("https://www.facebook.com/100008606923545")</f>
        <v>https://www.facebook.com/100008606923545</v>
      </c>
      <c r="Q812">
        <v>171</v>
      </c>
      <c r="R812" t="s">
        <v>6067</v>
      </c>
      <c r="S812" t="s">
        <v>6073</v>
      </c>
    </row>
    <row r="813" spans="1:19" ht="14.25" customHeight="1" x14ac:dyDescent="0.3">
      <c r="A813" t="s">
        <v>2225</v>
      </c>
      <c r="B813" t="s">
        <v>759</v>
      </c>
      <c r="C813" t="s">
        <v>95</v>
      </c>
      <c r="D813" t="s">
        <v>544</v>
      </c>
      <c r="E813" t="s">
        <v>545</v>
      </c>
      <c r="F813" t="s">
        <v>6058</v>
      </c>
      <c r="G813" s="2" t="str">
        <f>HYPERLINK("https://www.facebook.com/239038942922840/posts/937322283094499")</f>
        <v>https://www.facebook.com/239038942922840/posts/937322283094499</v>
      </c>
      <c r="H813" t="s">
        <v>6062</v>
      </c>
      <c r="I813" t="s">
        <v>2739</v>
      </c>
      <c r="J813" s="2" t="str">
        <f>HYPERLINK("https://www.facebook.com/100000906769596")</f>
        <v>https://www.facebook.com/100000906769596</v>
      </c>
      <c r="K813">
        <v>364</v>
      </c>
      <c r="L813" t="s">
        <v>6063</v>
      </c>
      <c r="N813" t="s">
        <v>13</v>
      </c>
      <c r="O813" t="s">
        <v>968</v>
      </c>
      <c r="P813" s="2" t="str">
        <f>HYPERLINK("https://www.facebook.com/239038942922840")</f>
        <v>https://www.facebook.com/239038942922840</v>
      </c>
      <c r="Q813">
        <v>4756</v>
      </c>
      <c r="R813" t="s">
        <v>6067</v>
      </c>
      <c r="S813" t="s">
        <v>6073</v>
      </c>
    </row>
    <row r="814" spans="1:19" ht="14.25" customHeight="1" x14ac:dyDescent="0.3">
      <c r="A814" t="s">
        <v>2225</v>
      </c>
      <c r="B814" t="s">
        <v>764</v>
      </c>
      <c r="C814" t="s">
        <v>95</v>
      </c>
      <c r="D814" t="s">
        <v>544</v>
      </c>
      <c r="E814" t="s">
        <v>545</v>
      </c>
      <c r="F814" t="s">
        <v>6058</v>
      </c>
      <c r="G814" s="2" t="str">
        <f>HYPERLINK("https://www.facebook.com/239038942922840/posts/2737027109670821")</f>
        <v>https://www.facebook.com/239038942922840/posts/2737027109670821</v>
      </c>
      <c r="H814" t="s">
        <v>6062</v>
      </c>
      <c r="I814" t="s">
        <v>2739</v>
      </c>
      <c r="J814" s="2" t="str">
        <f>HYPERLINK("https://www.facebook.com/100000906769596")</f>
        <v>https://www.facebook.com/100000906769596</v>
      </c>
      <c r="K814">
        <v>364</v>
      </c>
      <c r="L814" t="s">
        <v>6063</v>
      </c>
      <c r="N814" t="s">
        <v>13</v>
      </c>
      <c r="O814" t="s">
        <v>968</v>
      </c>
      <c r="P814" s="2" t="str">
        <f>HYPERLINK("https://www.facebook.com/239038942922840")</f>
        <v>https://www.facebook.com/239038942922840</v>
      </c>
      <c r="Q814">
        <v>4756</v>
      </c>
      <c r="R814" t="s">
        <v>6067</v>
      </c>
      <c r="S814" t="s">
        <v>6073</v>
      </c>
    </row>
    <row r="815" spans="1:19" ht="14.25" customHeight="1" x14ac:dyDescent="0.3">
      <c r="A815" t="s">
        <v>4995</v>
      </c>
      <c r="B815" t="s">
        <v>250</v>
      </c>
      <c r="C815" t="s">
        <v>3538</v>
      </c>
      <c r="D815" t="s">
        <v>5194</v>
      </c>
      <c r="E815" t="s">
        <v>5257</v>
      </c>
      <c r="F815" t="s">
        <v>6059</v>
      </c>
      <c r="G815" s="2" t="str">
        <f>HYPERLINK("https://www.facebook.com/1821931048038638/posts/2132070070358066?comment_id=2132100657021674")</f>
        <v>https://www.facebook.com/1821931048038638/posts/2132070070358066?comment_id=2132100657021674</v>
      </c>
      <c r="H815" t="s">
        <v>6062</v>
      </c>
      <c r="I815" t="s">
        <v>5258</v>
      </c>
      <c r="J815" s="2" t="str">
        <f>HYPERLINK("https://www.facebook.com/100001902578507")</f>
        <v>https://www.facebook.com/100001902578507</v>
      </c>
      <c r="K815">
        <v>385</v>
      </c>
      <c r="L815" t="s">
        <v>6064</v>
      </c>
      <c r="N815" t="s">
        <v>13</v>
      </c>
      <c r="O815" t="s">
        <v>5197</v>
      </c>
      <c r="P815" s="2" t="str">
        <f>HYPERLINK("https://www.facebook.com/1821931048038638")</f>
        <v>https://www.facebook.com/1821931048038638</v>
      </c>
      <c r="Q815">
        <v>722</v>
      </c>
      <c r="R815" t="s">
        <v>6067</v>
      </c>
      <c r="S815" t="s">
        <v>6073</v>
      </c>
    </row>
    <row r="816" spans="1:19" ht="14.25" customHeight="1" x14ac:dyDescent="0.3">
      <c r="A816" t="s">
        <v>4995</v>
      </c>
      <c r="B816" t="s">
        <v>311</v>
      </c>
      <c r="C816" t="s">
        <v>3538</v>
      </c>
      <c r="D816" t="s">
        <v>5194</v>
      </c>
      <c r="E816" t="s">
        <v>5292</v>
      </c>
      <c r="F816" t="s">
        <v>6059</v>
      </c>
      <c r="G816" s="2" t="str">
        <f>HYPERLINK("https://www.facebook.com/1821931048038638/posts/2132070070358066?comment_id=2132084073689999")</f>
        <v>https://www.facebook.com/1821931048038638/posts/2132070070358066?comment_id=2132084073689999</v>
      </c>
      <c r="H816" t="s">
        <v>6062</v>
      </c>
      <c r="I816" t="s">
        <v>5258</v>
      </c>
      <c r="J816" s="2" t="str">
        <f>HYPERLINK("https://www.facebook.com/100001902578507")</f>
        <v>https://www.facebook.com/100001902578507</v>
      </c>
      <c r="K816">
        <v>385</v>
      </c>
      <c r="L816" t="s">
        <v>6064</v>
      </c>
      <c r="N816" t="s">
        <v>13</v>
      </c>
      <c r="O816" t="s">
        <v>5197</v>
      </c>
      <c r="P816" s="2" t="str">
        <f>HYPERLINK("https://www.facebook.com/1821931048038638")</f>
        <v>https://www.facebook.com/1821931048038638</v>
      </c>
      <c r="Q816">
        <v>722</v>
      </c>
      <c r="R816" t="s">
        <v>6067</v>
      </c>
      <c r="S816" t="s">
        <v>6073</v>
      </c>
    </row>
    <row r="817" spans="1:19" ht="14.25" customHeight="1" x14ac:dyDescent="0.3">
      <c r="A817" t="s">
        <v>629</v>
      </c>
      <c r="B817" t="s">
        <v>1830</v>
      </c>
      <c r="C817" t="s">
        <v>95</v>
      </c>
      <c r="D817" t="s">
        <v>370</v>
      </c>
      <c r="E817" t="s">
        <v>371</v>
      </c>
      <c r="F817" t="s">
        <v>6058</v>
      </c>
      <c r="G817" s="2" t="str">
        <f>HYPERLINK("https://www.facebook.com/100008901070452/posts/1793557690950916")</f>
        <v>https://www.facebook.com/100008901070452/posts/1793557690950916</v>
      </c>
      <c r="H817" t="s">
        <v>6062</v>
      </c>
      <c r="I817" t="s">
        <v>1831</v>
      </c>
      <c r="J817" s="2" t="str">
        <f>HYPERLINK("https://www.facebook.com/100008901070452")</f>
        <v>https://www.facebook.com/100008901070452</v>
      </c>
      <c r="K817">
        <v>820</v>
      </c>
      <c r="L817" t="s">
        <v>6064</v>
      </c>
      <c r="N817" t="s">
        <v>13</v>
      </c>
      <c r="O817" t="s">
        <v>1831</v>
      </c>
      <c r="P817" s="2" t="str">
        <f>HYPERLINK("https://www.facebook.com/100008901070452")</f>
        <v>https://www.facebook.com/100008901070452</v>
      </c>
      <c r="Q817">
        <v>820</v>
      </c>
      <c r="R817" t="s">
        <v>6067</v>
      </c>
    </row>
    <row r="818" spans="1:19" ht="14.25" customHeight="1" x14ac:dyDescent="0.3">
      <c r="A818" t="s">
        <v>5409</v>
      </c>
      <c r="B818" t="s">
        <v>430</v>
      </c>
      <c r="C818" t="s">
        <v>3538</v>
      </c>
      <c r="D818" t="s">
        <v>5442</v>
      </c>
      <c r="E818" t="s">
        <v>5592</v>
      </c>
      <c r="F818" t="s">
        <v>6058</v>
      </c>
      <c r="G818" s="2" t="str">
        <f>HYPERLINK("https://www.facebook.com/100002919000785/posts/1633247986782486")</f>
        <v>https://www.facebook.com/100002919000785/posts/1633247986782486</v>
      </c>
      <c r="H818" t="s">
        <v>6062</v>
      </c>
      <c r="I818" t="s">
        <v>5907</v>
      </c>
      <c r="J818" s="2" t="str">
        <f>HYPERLINK("https://www.facebook.com/100002919000785")</f>
        <v>https://www.facebook.com/100002919000785</v>
      </c>
      <c r="K818">
        <v>296</v>
      </c>
      <c r="L818" t="s">
        <v>6063</v>
      </c>
      <c r="N818" t="s">
        <v>13</v>
      </c>
      <c r="O818" t="s">
        <v>5907</v>
      </c>
      <c r="P818" s="2" t="str">
        <f>HYPERLINK("https://www.facebook.com/100002919000785")</f>
        <v>https://www.facebook.com/100002919000785</v>
      </c>
      <c r="Q818">
        <v>296</v>
      </c>
      <c r="R818" t="s">
        <v>6067</v>
      </c>
      <c r="S818" t="s">
        <v>6073</v>
      </c>
    </row>
    <row r="819" spans="1:19" ht="14.25" customHeight="1" x14ac:dyDescent="0.3">
      <c r="A819" t="s">
        <v>629</v>
      </c>
      <c r="B819" t="s">
        <v>795</v>
      </c>
      <c r="C819" t="s">
        <v>95</v>
      </c>
      <c r="D819" t="s">
        <v>696</v>
      </c>
      <c r="E819" t="s">
        <v>797</v>
      </c>
      <c r="F819" t="s">
        <v>6059</v>
      </c>
      <c r="G819" s="2" t="str">
        <f>HYPERLINK("https://www.facebook.com/1317328045/posts/10215843806670901?comment_id=10215844297723177")</f>
        <v>https://www.facebook.com/1317328045/posts/10215843806670901?comment_id=10215844297723177</v>
      </c>
      <c r="H819" t="s">
        <v>6062</v>
      </c>
      <c r="I819" t="s">
        <v>747</v>
      </c>
      <c r="J819" s="2" t="str">
        <f>HYPERLINK("https://www.facebook.com/100000700705085")</f>
        <v>https://www.facebook.com/100000700705085</v>
      </c>
      <c r="K819">
        <v>506</v>
      </c>
      <c r="L819" t="s">
        <v>6063</v>
      </c>
      <c r="N819" t="s">
        <v>13</v>
      </c>
      <c r="O819" t="s">
        <v>699</v>
      </c>
      <c r="P819" s="2" t="str">
        <f>HYPERLINK("https://www.facebook.com/1317328045")</f>
        <v>https://www.facebook.com/1317328045</v>
      </c>
      <c r="Q819">
        <v>7075</v>
      </c>
      <c r="R819" t="s">
        <v>6067</v>
      </c>
      <c r="S819" t="s">
        <v>6073</v>
      </c>
    </row>
    <row r="820" spans="1:19" ht="14.25" customHeight="1" x14ac:dyDescent="0.3">
      <c r="A820" t="s">
        <v>2225</v>
      </c>
      <c r="B820" t="s">
        <v>2785</v>
      </c>
      <c r="C820" t="s">
        <v>95</v>
      </c>
      <c r="D820" t="s">
        <v>1056</v>
      </c>
      <c r="E820" t="s">
        <v>2054</v>
      </c>
      <c r="F820" t="s">
        <v>6058</v>
      </c>
      <c r="G820" s="2" t="str">
        <f>HYPERLINK("https://www.facebook.com/100007883281018/posts/2095519194054170")</f>
        <v>https://www.facebook.com/100007883281018/posts/2095519194054170</v>
      </c>
      <c r="H820" t="s">
        <v>6062</v>
      </c>
      <c r="I820" t="s">
        <v>2786</v>
      </c>
      <c r="J820" s="2" t="str">
        <f>HYPERLINK("https://www.facebook.com/100007883281018")</f>
        <v>https://www.facebook.com/100007883281018</v>
      </c>
      <c r="K820">
        <v>239</v>
      </c>
      <c r="L820" t="s">
        <v>6063</v>
      </c>
      <c r="N820" t="s">
        <v>13</v>
      </c>
      <c r="O820" t="s">
        <v>2786</v>
      </c>
      <c r="P820" s="2" t="str">
        <f>HYPERLINK("https://www.facebook.com/100007883281018")</f>
        <v>https://www.facebook.com/100007883281018</v>
      </c>
      <c r="Q820">
        <v>239</v>
      </c>
      <c r="R820" t="s">
        <v>6067</v>
      </c>
      <c r="S820" t="s">
        <v>6074</v>
      </c>
    </row>
    <row r="821" spans="1:19" ht="14.25" customHeight="1" x14ac:dyDescent="0.3">
      <c r="A821" t="s">
        <v>5409</v>
      </c>
      <c r="B821" t="s">
        <v>3623</v>
      </c>
      <c r="C821" t="s">
        <v>3538</v>
      </c>
      <c r="D821" t="s">
        <v>5461</v>
      </c>
      <c r="E821" t="s">
        <v>5462</v>
      </c>
      <c r="F821" t="s">
        <v>6059</v>
      </c>
      <c r="G821" s="2" t="str">
        <f>HYPERLINK("https://www.facebook.com/100001099400755/posts/1723763517670278?comment_id=1723942534319043")</f>
        <v>https://www.facebook.com/100001099400755/posts/1723763517670278?comment_id=1723942534319043</v>
      </c>
      <c r="H821" t="s">
        <v>6062</v>
      </c>
      <c r="I821" t="s">
        <v>149</v>
      </c>
      <c r="J821" s="2" t="str">
        <f>HYPERLINK("https://www.facebook.com/100009692287486")</f>
        <v>https://www.facebook.com/100009692287486</v>
      </c>
      <c r="K821">
        <v>776</v>
      </c>
      <c r="L821" t="s">
        <v>6063</v>
      </c>
      <c r="N821" t="s">
        <v>13</v>
      </c>
      <c r="O821" t="s">
        <v>5463</v>
      </c>
      <c r="P821" s="2" t="str">
        <f>HYPERLINK("https://www.facebook.com/100001099400755")</f>
        <v>https://www.facebook.com/100001099400755</v>
      </c>
      <c r="Q821">
        <v>0</v>
      </c>
      <c r="R821" t="s">
        <v>6067</v>
      </c>
      <c r="S821" t="s">
        <v>6073</v>
      </c>
    </row>
    <row r="822" spans="1:19" ht="14.25" customHeight="1" x14ac:dyDescent="0.3">
      <c r="A822" t="s">
        <v>629</v>
      </c>
      <c r="B822" t="s">
        <v>140</v>
      </c>
      <c r="C822" t="s">
        <v>95</v>
      </c>
      <c r="D822" t="s">
        <v>544</v>
      </c>
      <c r="E822" t="s">
        <v>545</v>
      </c>
      <c r="F822" t="s">
        <v>6058</v>
      </c>
      <c r="G822" s="2" t="str">
        <f>HYPERLINK("https://www.facebook.com/100003143838742/posts/1663750240406421")</f>
        <v>https://www.facebook.com/100003143838742/posts/1663750240406421</v>
      </c>
      <c r="H822" t="s">
        <v>6062</v>
      </c>
      <c r="I822" t="s">
        <v>1378</v>
      </c>
      <c r="J822" s="2" t="str">
        <f>HYPERLINK("https://www.facebook.com/100003143838742")</f>
        <v>https://www.facebook.com/100003143838742</v>
      </c>
      <c r="K822">
        <v>1986</v>
      </c>
      <c r="L822" t="s">
        <v>6064</v>
      </c>
      <c r="N822" t="s">
        <v>13</v>
      </c>
      <c r="O822" t="s">
        <v>1378</v>
      </c>
      <c r="P822" s="2" t="str">
        <f>HYPERLINK("https://www.facebook.com/100003143838742")</f>
        <v>https://www.facebook.com/100003143838742</v>
      </c>
      <c r="Q822">
        <v>1986</v>
      </c>
      <c r="R822" t="s">
        <v>6067</v>
      </c>
      <c r="S822" t="s">
        <v>6073</v>
      </c>
    </row>
    <row r="823" spans="1:19" ht="14.25" customHeight="1" x14ac:dyDescent="0.3">
      <c r="A823" t="s">
        <v>629</v>
      </c>
      <c r="B823" t="s">
        <v>1377</v>
      </c>
      <c r="C823" t="s">
        <v>95</v>
      </c>
      <c r="D823" t="s">
        <v>370</v>
      </c>
      <c r="E823" t="s">
        <v>371</v>
      </c>
      <c r="F823" t="s">
        <v>6058</v>
      </c>
      <c r="G823" s="2" t="str">
        <f>HYPERLINK("https://www.facebook.com/100003143838742/posts/1663783700403075")</f>
        <v>https://www.facebook.com/100003143838742/posts/1663783700403075</v>
      </c>
      <c r="H823" t="s">
        <v>6062</v>
      </c>
      <c r="I823" t="s">
        <v>1378</v>
      </c>
      <c r="J823" s="2" t="str">
        <f>HYPERLINK("https://www.facebook.com/100003143838742")</f>
        <v>https://www.facebook.com/100003143838742</v>
      </c>
      <c r="K823">
        <v>1986</v>
      </c>
      <c r="L823" t="s">
        <v>6064</v>
      </c>
      <c r="N823" t="s">
        <v>13</v>
      </c>
      <c r="O823" t="s">
        <v>1378</v>
      </c>
      <c r="P823" s="2" t="str">
        <f>HYPERLINK("https://www.facebook.com/100003143838742")</f>
        <v>https://www.facebook.com/100003143838742</v>
      </c>
      <c r="Q823">
        <v>1986</v>
      </c>
      <c r="R823" t="s">
        <v>6067</v>
      </c>
      <c r="S823" t="s">
        <v>6073</v>
      </c>
    </row>
    <row r="824" spans="1:19" ht="14.25" customHeight="1" x14ac:dyDescent="0.3">
      <c r="A824" t="s">
        <v>629</v>
      </c>
      <c r="B824" t="s">
        <v>143</v>
      </c>
      <c r="C824" t="s">
        <v>95</v>
      </c>
      <c r="D824" t="s">
        <v>370</v>
      </c>
      <c r="E824" t="s">
        <v>371</v>
      </c>
      <c r="F824" t="s">
        <v>6058</v>
      </c>
      <c r="G824" s="2" t="str">
        <f>HYPERLINK("https://www.facebook.com/100003143838742/posts/1663749267073185")</f>
        <v>https://www.facebook.com/100003143838742/posts/1663749267073185</v>
      </c>
      <c r="H824" t="s">
        <v>6062</v>
      </c>
      <c r="I824" t="s">
        <v>1378</v>
      </c>
      <c r="J824" s="2" t="str">
        <f>HYPERLINK("https://www.facebook.com/100003143838742")</f>
        <v>https://www.facebook.com/100003143838742</v>
      </c>
      <c r="K824">
        <v>1986</v>
      </c>
      <c r="L824" t="s">
        <v>6064</v>
      </c>
      <c r="N824" t="s">
        <v>13</v>
      </c>
      <c r="O824" t="s">
        <v>1378</v>
      </c>
      <c r="P824" s="2" t="str">
        <f>HYPERLINK("https://www.facebook.com/100003143838742")</f>
        <v>https://www.facebook.com/100003143838742</v>
      </c>
      <c r="Q824">
        <v>1986</v>
      </c>
      <c r="R824" t="s">
        <v>6067</v>
      </c>
      <c r="S824" t="s">
        <v>6073</v>
      </c>
    </row>
    <row r="825" spans="1:19" ht="14.25" customHeight="1" x14ac:dyDescent="0.3">
      <c r="A825" t="s">
        <v>2225</v>
      </c>
      <c r="B825" t="s">
        <v>767</v>
      </c>
      <c r="C825" t="s">
        <v>95</v>
      </c>
      <c r="D825" t="s">
        <v>853</v>
      </c>
      <c r="E825" t="s">
        <v>2880</v>
      </c>
      <c r="F825" t="s">
        <v>6059</v>
      </c>
      <c r="G825" s="2" t="str">
        <f>HYPERLINK("https://www.facebook.com/100008934274771/posts/1810262525948206?comment_id=1810265322614593")</f>
        <v>https://www.facebook.com/100008934274771/posts/1810262525948206?comment_id=1810265322614593</v>
      </c>
      <c r="H825" t="s">
        <v>6062</v>
      </c>
      <c r="I825" t="s">
        <v>1914</v>
      </c>
      <c r="J825" s="2" t="str">
        <f>HYPERLINK("https://www.facebook.com/100022689271650")</f>
        <v>https://www.facebook.com/100022689271650</v>
      </c>
      <c r="K825">
        <v>1599</v>
      </c>
      <c r="L825" t="s">
        <v>6064</v>
      </c>
      <c r="N825" t="s">
        <v>13</v>
      </c>
      <c r="O825" t="s">
        <v>856</v>
      </c>
      <c r="P825" s="2" t="str">
        <f>HYPERLINK("https://www.facebook.com/100008934274771")</f>
        <v>https://www.facebook.com/100008934274771</v>
      </c>
      <c r="Q825">
        <v>10395</v>
      </c>
      <c r="R825" t="s">
        <v>6067</v>
      </c>
      <c r="S825" t="s">
        <v>6073</v>
      </c>
    </row>
    <row r="826" spans="1:19" ht="14.25" customHeight="1" x14ac:dyDescent="0.3">
      <c r="A826" t="s">
        <v>2225</v>
      </c>
      <c r="B826" t="s">
        <v>767</v>
      </c>
      <c r="C826" t="s">
        <v>95</v>
      </c>
      <c r="D826" t="s">
        <v>544</v>
      </c>
      <c r="E826" t="s">
        <v>545</v>
      </c>
      <c r="F826" t="s">
        <v>6058</v>
      </c>
      <c r="G826" s="2" t="str">
        <f>HYPERLINK("https://www.facebook.com/100022689271650/posts/208561296576845")</f>
        <v>https://www.facebook.com/100022689271650/posts/208561296576845</v>
      </c>
      <c r="H826" t="s">
        <v>6062</v>
      </c>
      <c r="I826" t="s">
        <v>1914</v>
      </c>
      <c r="J826" s="2" t="str">
        <f>HYPERLINK("https://www.facebook.com/100022689271650")</f>
        <v>https://www.facebook.com/100022689271650</v>
      </c>
      <c r="K826">
        <v>1599</v>
      </c>
      <c r="L826" t="s">
        <v>6064</v>
      </c>
      <c r="N826" t="s">
        <v>13</v>
      </c>
      <c r="O826" t="s">
        <v>1914</v>
      </c>
      <c r="P826" s="2" t="str">
        <f>HYPERLINK("https://www.facebook.com/100022689271650")</f>
        <v>https://www.facebook.com/100022689271650</v>
      </c>
      <c r="Q826">
        <v>1599</v>
      </c>
      <c r="R826" t="s">
        <v>6067</v>
      </c>
    </row>
    <row r="827" spans="1:19" ht="14.25" customHeight="1" x14ac:dyDescent="0.3">
      <c r="A827" t="s">
        <v>629</v>
      </c>
      <c r="B827" t="s">
        <v>1912</v>
      </c>
      <c r="C827" t="s">
        <v>95</v>
      </c>
      <c r="D827" t="s">
        <v>370</v>
      </c>
      <c r="E827" t="s">
        <v>371</v>
      </c>
      <c r="F827" t="s">
        <v>6058</v>
      </c>
      <c r="G827" s="2" t="str">
        <f>HYPERLINK("https://www.facebook.com/100022689271650/posts/208760506556924")</f>
        <v>https://www.facebook.com/100022689271650/posts/208760506556924</v>
      </c>
      <c r="H827" t="s">
        <v>6062</v>
      </c>
      <c r="I827" t="s">
        <v>1914</v>
      </c>
      <c r="J827" s="2" t="str">
        <f>HYPERLINK("https://www.facebook.com/100022689271650")</f>
        <v>https://www.facebook.com/100022689271650</v>
      </c>
      <c r="K827">
        <v>1599</v>
      </c>
      <c r="L827" t="s">
        <v>6064</v>
      </c>
      <c r="N827" t="s">
        <v>13</v>
      </c>
      <c r="O827" t="s">
        <v>1914</v>
      </c>
      <c r="P827" s="2" t="str">
        <f>HYPERLINK("https://www.facebook.com/100022689271650")</f>
        <v>https://www.facebook.com/100022689271650</v>
      </c>
      <c r="Q827">
        <v>1599</v>
      </c>
      <c r="R827" t="s">
        <v>6067</v>
      </c>
    </row>
    <row r="828" spans="1:19" ht="14.25" customHeight="1" x14ac:dyDescent="0.3">
      <c r="A828" t="s">
        <v>629</v>
      </c>
      <c r="B828" t="s">
        <v>2027</v>
      </c>
      <c r="C828" t="s">
        <v>95</v>
      </c>
      <c r="D828" t="s">
        <v>370</v>
      </c>
      <c r="E828" t="s">
        <v>371</v>
      </c>
      <c r="F828" t="s">
        <v>6058</v>
      </c>
      <c r="G828" s="2" t="str">
        <f>HYPERLINK("https://www.facebook.com/100022689271650/posts/208747839891524")</f>
        <v>https://www.facebook.com/100022689271650/posts/208747839891524</v>
      </c>
      <c r="H828" t="s">
        <v>6062</v>
      </c>
      <c r="I828" t="s">
        <v>1914</v>
      </c>
      <c r="J828" s="2" t="str">
        <f>HYPERLINK("https://www.facebook.com/100022689271650")</f>
        <v>https://www.facebook.com/100022689271650</v>
      </c>
      <c r="K828">
        <v>1599</v>
      </c>
      <c r="L828" t="s">
        <v>6064</v>
      </c>
      <c r="N828" t="s">
        <v>13</v>
      </c>
      <c r="O828" t="s">
        <v>1914</v>
      </c>
      <c r="P828" s="2" t="str">
        <f>HYPERLINK("https://www.facebook.com/100022689271650")</f>
        <v>https://www.facebook.com/100022689271650</v>
      </c>
      <c r="Q828">
        <v>1599</v>
      </c>
      <c r="R828" t="s">
        <v>6067</v>
      </c>
    </row>
    <row r="829" spans="1:19" ht="14.25" customHeight="1" x14ac:dyDescent="0.3">
      <c r="A829" t="s">
        <v>5409</v>
      </c>
      <c r="B829" t="s">
        <v>1117</v>
      </c>
      <c r="C829" t="s">
        <v>3538</v>
      </c>
      <c r="D829" t="s">
        <v>5653</v>
      </c>
      <c r="E829" t="s">
        <v>5660</v>
      </c>
      <c r="F829" t="s">
        <v>6059</v>
      </c>
      <c r="G829" s="2" t="str">
        <f>HYPERLINK("https://www.facebook.com/100001365366967/posts/1575591375829693?comment_id=1575681572487340")</f>
        <v>https://www.facebook.com/100001365366967/posts/1575591375829693?comment_id=1575681572487340</v>
      </c>
      <c r="H829" t="s">
        <v>6062</v>
      </c>
      <c r="I829" t="s">
        <v>5661</v>
      </c>
      <c r="J829" s="2" t="str">
        <f>HYPERLINK("https://www.facebook.com/100002419530043")</f>
        <v>https://www.facebook.com/100002419530043</v>
      </c>
      <c r="K829">
        <v>0</v>
      </c>
      <c r="L829" t="s">
        <v>6064</v>
      </c>
      <c r="N829" t="s">
        <v>13</v>
      </c>
      <c r="O829" t="s">
        <v>5656</v>
      </c>
      <c r="P829" s="2" t="str">
        <f>HYPERLINK("https://www.facebook.com/100001365366967")</f>
        <v>https://www.facebook.com/100001365366967</v>
      </c>
      <c r="Q829">
        <v>6509</v>
      </c>
      <c r="R829" t="s">
        <v>6067</v>
      </c>
      <c r="S829" t="s">
        <v>6072</v>
      </c>
    </row>
    <row r="830" spans="1:19" ht="14.25" customHeight="1" x14ac:dyDescent="0.3">
      <c r="A830" t="s">
        <v>4995</v>
      </c>
      <c r="B830" t="s">
        <v>3050</v>
      </c>
      <c r="C830" t="s">
        <v>3538</v>
      </c>
      <c r="D830" t="s">
        <v>4675</v>
      </c>
      <c r="E830" t="s">
        <v>5137</v>
      </c>
      <c r="F830" t="s">
        <v>6059</v>
      </c>
      <c r="G830" s="2" t="str">
        <f>HYPERLINK("https://www.facebook.com/1439247584/posts/10217349741762401?comment_id=10217365706681514")</f>
        <v>https://www.facebook.com/1439247584/posts/10217349741762401?comment_id=10217365706681514</v>
      </c>
      <c r="H830" t="s">
        <v>6062</v>
      </c>
      <c r="I830" t="s">
        <v>5138</v>
      </c>
      <c r="J830" s="2" t="str">
        <f>HYPERLINK("https://www.facebook.com/100008601870097")</f>
        <v>https://www.facebook.com/100008601870097</v>
      </c>
      <c r="K830">
        <v>159</v>
      </c>
      <c r="L830" t="s">
        <v>6063</v>
      </c>
      <c r="N830" t="s">
        <v>13</v>
      </c>
      <c r="O830" t="s">
        <v>4678</v>
      </c>
      <c r="P830" s="2" t="str">
        <f>HYPERLINK("https://www.facebook.com/1439247584")</f>
        <v>https://www.facebook.com/1439247584</v>
      </c>
      <c r="Q830">
        <v>54</v>
      </c>
      <c r="R830" t="s">
        <v>6067</v>
      </c>
      <c r="S830" t="s">
        <v>6073</v>
      </c>
    </row>
    <row r="831" spans="1:19" ht="14.25" customHeight="1" x14ac:dyDescent="0.3">
      <c r="A831" t="s">
        <v>4995</v>
      </c>
      <c r="B831" t="s">
        <v>5140</v>
      </c>
      <c r="C831" t="s">
        <v>3538</v>
      </c>
      <c r="D831" t="s">
        <v>4675</v>
      </c>
      <c r="E831" t="s">
        <v>5141</v>
      </c>
      <c r="F831" t="s">
        <v>6059</v>
      </c>
      <c r="G831" s="2" t="str">
        <f>HYPERLINK("https://www.facebook.com/1439247584/posts/10217349741762401?comment_id=10217365562997922")</f>
        <v>https://www.facebook.com/1439247584/posts/10217349741762401?comment_id=10217365562997922</v>
      </c>
      <c r="H831" t="s">
        <v>6062</v>
      </c>
      <c r="I831" t="s">
        <v>5138</v>
      </c>
      <c r="J831" s="2" t="str">
        <f>HYPERLINK("https://www.facebook.com/100008601870097")</f>
        <v>https://www.facebook.com/100008601870097</v>
      </c>
      <c r="K831">
        <v>159</v>
      </c>
      <c r="L831" t="s">
        <v>6063</v>
      </c>
      <c r="N831" t="s">
        <v>13</v>
      </c>
      <c r="O831" t="s">
        <v>4678</v>
      </c>
      <c r="P831" s="2" t="str">
        <f>HYPERLINK("https://www.facebook.com/1439247584")</f>
        <v>https://www.facebook.com/1439247584</v>
      </c>
      <c r="Q831">
        <v>54</v>
      </c>
      <c r="R831" t="s">
        <v>6067</v>
      </c>
      <c r="S831" t="s">
        <v>6073</v>
      </c>
    </row>
    <row r="832" spans="1:19" ht="14.25" customHeight="1" x14ac:dyDescent="0.3">
      <c r="A832" t="s">
        <v>629</v>
      </c>
      <c r="B832" t="s">
        <v>1112</v>
      </c>
      <c r="C832" t="s">
        <v>95</v>
      </c>
      <c r="D832" t="s">
        <v>10</v>
      </c>
      <c r="E832" t="s">
        <v>1113</v>
      </c>
      <c r="F832" t="s">
        <v>6059</v>
      </c>
      <c r="G832" s="2" t="str">
        <f>HYPERLINK("https://www.facebook.com/762053551/posts/10156366210158552?comment_id=10156366315138552")</f>
        <v>https://www.facebook.com/762053551/posts/10156366210158552?comment_id=10156366315138552</v>
      </c>
      <c r="H832" t="s">
        <v>6062</v>
      </c>
      <c r="I832" t="s">
        <v>1114</v>
      </c>
      <c r="J832" s="2" t="str">
        <f>HYPERLINK("https://www.facebook.com/1273743388")</f>
        <v>https://www.facebook.com/1273743388</v>
      </c>
      <c r="K832">
        <v>1311</v>
      </c>
      <c r="L832" t="s">
        <v>6063</v>
      </c>
      <c r="N832" t="s">
        <v>13</v>
      </c>
      <c r="O832" t="s">
        <v>14</v>
      </c>
      <c r="P832" s="2" t="str">
        <f>HYPERLINK("https://www.facebook.com/762053551")</f>
        <v>https://www.facebook.com/762053551</v>
      </c>
      <c r="Q832">
        <v>102347</v>
      </c>
      <c r="R832" t="s">
        <v>6067</v>
      </c>
      <c r="S832" t="s">
        <v>6083</v>
      </c>
    </row>
    <row r="833" spans="1:19" ht="14.25" customHeight="1" x14ac:dyDescent="0.3">
      <c r="A833" t="s">
        <v>629</v>
      </c>
      <c r="B833" t="s">
        <v>15</v>
      </c>
      <c r="C833" t="s">
        <v>95</v>
      </c>
      <c r="D833" t="s">
        <v>10</v>
      </c>
      <c r="E833" t="s">
        <v>1268</v>
      </c>
      <c r="F833" t="s">
        <v>6059</v>
      </c>
      <c r="G833" s="2" t="str">
        <f>HYPERLINK("https://www.facebook.com/762053551/posts/10156366210158552?comment_id=10156366226233552")</f>
        <v>https://www.facebook.com/762053551/posts/10156366210158552?comment_id=10156366226233552</v>
      </c>
      <c r="H833" t="s">
        <v>6062</v>
      </c>
      <c r="I833" t="s">
        <v>1269</v>
      </c>
      <c r="J833" s="2" t="str">
        <f>HYPERLINK("https://www.facebook.com/1396270289")</f>
        <v>https://www.facebook.com/1396270289</v>
      </c>
      <c r="K833">
        <v>0</v>
      </c>
      <c r="L833" t="s">
        <v>6063</v>
      </c>
      <c r="N833" t="s">
        <v>13</v>
      </c>
      <c r="O833" t="s">
        <v>14</v>
      </c>
      <c r="P833" s="2" t="str">
        <f>HYPERLINK("https://www.facebook.com/762053551")</f>
        <v>https://www.facebook.com/762053551</v>
      </c>
      <c r="Q833">
        <v>102347</v>
      </c>
      <c r="R833" t="s">
        <v>6067</v>
      </c>
      <c r="S833" t="s">
        <v>6073</v>
      </c>
    </row>
    <row r="834" spans="1:19" ht="14.25" customHeight="1" x14ac:dyDescent="0.3">
      <c r="A834" t="s">
        <v>629</v>
      </c>
      <c r="B834" t="s">
        <v>1903</v>
      </c>
      <c r="C834" t="s">
        <v>95</v>
      </c>
      <c r="D834" t="s">
        <v>370</v>
      </c>
      <c r="E834" t="s">
        <v>371</v>
      </c>
      <c r="F834" t="s">
        <v>6058</v>
      </c>
      <c r="G834" s="2" t="str">
        <f>HYPERLINK("https://www.facebook.com/100002200814294/posts/1726604370756240")</f>
        <v>https://www.facebook.com/100002200814294/posts/1726604370756240</v>
      </c>
      <c r="H834" t="s">
        <v>6062</v>
      </c>
      <c r="I834" t="s">
        <v>1906</v>
      </c>
      <c r="J834" s="2" t="str">
        <f>HYPERLINK("https://www.facebook.com/100002200814294")</f>
        <v>https://www.facebook.com/100002200814294</v>
      </c>
      <c r="K834">
        <v>80</v>
      </c>
      <c r="L834" t="s">
        <v>6064</v>
      </c>
      <c r="N834" t="s">
        <v>13</v>
      </c>
      <c r="O834" t="s">
        <v>1906</v>
      </c>
      <c r="P834" s="2" t="str">
        <f>HYPERLINK("https://www.facebook.com/100002200814294")</f>
        <v>https://www.facebook.com/100002200814294</v>
      </c>
      <c r="Q834">
        <v>80</v>
      </c>
      <c r="R834" t="s">
        <v>6067</v>
      </c>
      <c r="S834" t="s">
        <v>6073</v>
      </c>
    </row>
    <row r="835" spans="1:19" ht="14.25" customHeight="1" x14ac:dyDescent="0.3">
      <c r="A835" t="s">
        <v>3527</v>
      </c>
      <c r="B835" t="s">
        <v>625</v>
      </c>
      <c r="C835" t="s">
        <v>3538</v>
      </c>
      <c r="D835" t="s">
        <v>508</v>
      </c>
      <c r="E835" t="s">
        <v>509</v>
      </c>
      <c r="F835" t="s">
        <v>6058</v>
      </c>
      <c r="G835" s="2" t="str">
        <f>HYPERLINK("https://www.facebook.com/100002013760134/posts/1637370749673368")</f>
        <v>https://www.facebook.com/100002013760134/posts/1637370749673368</v>
      </c>
      <c r="H835" t="s">
        <v>6062</v>
      </c>
      <c r="I835" t="s">
        <v>4437</v>
      </c>
      <c r="J835" s="2" t="str">
        <f>HYPERLINK("https://www.facebook.com/100002013760134")</f>
        <v>https://www.facebook.com/100002013760134</v>
      </c>
      <c r="K835">
        <v>235</v>
      </c>
      <c r="L835" t="s">
        <v>6064</v>
      </c>
      <c r="N835" t="s">
        <v>13</v>
      </c>
      <c r="O835" t="s">
        <v>4437</v>
      </c>
      <c r="P835" s="2" t="str">
        <f>HYPERLINK("https://www.facebook.com/100002013760134")</f>
        <v>https://www.facebook.com/100002013760134</v>
      </c>
      <c r="Q835">
        <v>235</v>
      </c>
      <c r="R835" t="s">
        <v>6067</v>
      </c>
      <c r="S835" t="s">
        <v>6073</v>
      </c>
    </row>
    <row r="836" spans="1:19" ht="14.25" customHeight="1" x14ac:dyDescent="0.3">
      <c r="A836" t="s">
        <v>2225</v>
      </c>
      <c r="B836" t="s">
        <v>1264</v>
      </c>
      <c r="C836" t="s">
        <v>95</v>
      </c>
      <c r="D836" t="s">
        <v>1409</v>
      </c>
      <c r="E836" t="s">
        <v>3197</v>
      </c>
      <c r="F836" t="s">
        <v>6059</v>
      </c>
      <c r="G836" s="2" t="str">
        <f>HYPERLINK("https://www.facebook.com/1188505182/posts/10214974858303441?comment_id=10214974953705826")</f>
        <v>https://www.facebook.com/1188505182/posts/10214974858303441?comment_id=10214974953705826</v>
      </c>
      <c r="H836" t="s">
        <v>6062</v>
      </c>
      <c r="I836" t="s">
        <v>3198</v>
      </c>
      <c r="J836" s="2" t="str">
        <f>HYPERLINK("https://www.facebook.com/100003456837751")</f>
        <v>https://www.facebook.com/100003456837751</v>
      </c>
      <c r="K836">
        <v>160</v>
      </c>
      <c r="L836" t="s">
        <v>6064</v>
      </c>
      <c r="N836" t="s">
        <v>13</v>
      </c>
      <c r="O836" t="s">
        <v>1411</v>
      </c>
      <c r="P836" s="2" t="str">
        <f>HYPERLINK("https://www.facebook.com/1188505182")</f>
        <v>https://www.facebook.com/1188505182</v>
      </c>
      <c r="Q836">
        <v>542</v>
      </c>
      <c r="R836" t="s">
        <v>6067</v>
      </c>
      <c r="S836" t="s">
        <v>6073</v>
      </c>
    </row>
    <row r="837" spans="1:19" ht="14.25" customHeight="1" x14ac:dyDescent="0.3">
      <c r="A837" t="s">
        <v>3527</v>
      </c>
      <c r="B837" t="s">
        <v>385</v>
      </c>
      <c r="C837" t="s">
        <v>3538</v>
      </c>
      <c r="D837" t="s">
        <v>4300</v>
      </c>
      <c r="E837" t="s">
        <v>4301</v>
      </c>
      <c r="F837" t="s">
        <v>6056</v>
      </c>
      <c r="G837" s="2" t="str">
        <f>HYPERLINK("https://www.facebook.com/100000072436000/posts/1875324619146601")</f>
        <v>https://www.facebook.com/100000072436000/posts/1875324619146601</v>
      </c>
      <c r="H837" t="s">
        <v>6062</v>
      </c>
      <c r="I837" t="s">
        <v>4302</v>
      </c>
      <c r="J837" s="2" t="str">
        <f>HYPERLINK("https://www.facebook.com/100000072436000")</f>
        <v>https://www.facebook.com/100000072436000</v>
      </c>
      <c r="K837">
        <v>8786</v>
      </c>
      <c r="L837" t="s">
        <v>6064</v>
      </c>
      <c r="N837" t="s">
        <v>13</v>
      </c>
      <c r="O837" t="s">
        <v>4302</v>
      </c>
      <c r="P837" s="2" t="str">
        <f>HYPERLINK("https://www.facebook.com/100000072436000")</f>
        <v>https://www.facebook.com/100000072436000</v>
      </c>
      <c r="Q837">
        <v>8786</v>
      </c>
      <c r="R837" t="s">
        <v>6067</v>
      </c>
      <c r="S837" t="s">
        <v>6073</v>
      </c>
    </row>
    <row r="838" spans="1:19" ht="14.25" customHeight="1" x14ac:dyDescent="0.3">
      <c r="A838" t="s">
        <v>2225</v>
      </c>
      <c r="B838" t="s">
        <v>2941</v>
      </c>
      <c r="C838" t="s">
        <v>95</v>
      </c>
      <c r="D838" t="s">
        <v>2942</v>
      </c>
      <c r="E838" t="s">
        <v>2943</v>
      </c>
      <c r="F838" t="s">
        <v>6058</v>
      </c>
      <c r="G838" s="2" t="str">
        <f>HYPERLINK("https://www.facebook.com/100003981916552/posts/1100657696743617")</f>
        <v>https://www.facebook.com/100003981916552/posts/1100657696743617</v>
      </c>
      <c r="H838" t="s">
        <v>6062</v>
      </c>
      <c r="I838" t="s">
        <v>2944</v>
      </c>
      <c r="J838" s="2" t="str">
        <f>HYPERLINK("https://www.facebook.com/100003981916552")</f>
        <v>https://www.facebook.com/100003981916552</v>
      </c>
      <c r="K838">
        <v>1879</v>
      </c>
      <c r="L838" t="s">
        <v>6064</v>
      </c>
      <c r="N838" t="s">
        <v>13</v>
      </c>
      <c r="O838" t="s">
        <v>2944</v>
      </c>
      <c r="P838" s="2" t="str">
        <f>HYPERLINK("https://www.facebook.com/100003981916552")</f>
        <v>https://www.facebook.com/100003981916552</v>
      </c>
      <c r="Q838">
        <v>1879</v>
      </c>
      <c r="R838" t="s">
        <v>6067</v>
      </c>
      <c r="S838" t="s">
        <v>6094</v>
      </c>
    </row>
    <row r="839" spans="1:19" ht="14.25" customHeight="1" x14ac:dyDescent="0.3">
      <c r="A839" t="s">
        <v>4439</v>
      </c>
      <c r="B839" t="s">
        <v>2620</v>
      </c>
      <c r="C839" t="s">
        <v>3538</v>
      </c>
      <c r="D839" t="s">
        <v>508</v>
      </c>
      <c r="E839" t="s">
        <v>509</v>
      </c>
      <c r="F839" t="s">
        <v>6058</v>
      </c>
      <c r="G839" s="2" t="str">
        <f>HYPERLINK("https://www.facebook.com/100005863149421/posts/874517536087010")</f>
        <v>https://www.facebook.com/100005863149421/posts/874517536087010</v>
      </c>
      <c r="H839" t="s">
        <v>6062</v>
      </c>
      <c r="I839" t="s">
        <v>4498</v>
      </c>
      <c r="J839" s="2" t="str">
        <f>HYPERLINK("https://www.facebook.com/100005863149421")</f>
        <v>https://www.facebook.com/100005863149421</v>
      </c>
      <c r="K839">
        <v>657</v>
      </c>
      <c r="L839" t="s">
        <v>6064</v>
      </c>
      <c r="N839" t="s">
        <v>13</v>
      </c>
      <c r="O839" t="s">
        <v>4498</v>
      </c>
      <c r="P839" s="2" t="str">
        <f>HYPERLINK("https://www.facebook.com/100005863149421")</f>
        <v>https://www.facebook.com/100005863149421</v>
      </c>
      <c r="Q839">
        <v>657</v>
      </c>
      <c r="R839" t="s">
        <v>6067</v>
      </c>
      <c r="S839" t="s">
        <v>6073</v>
      </c>
    </row>
    <row r="840" spans="1:19" ht="14.25" customHeight="1" x14ac:dyDescent="0.3">
      <c r="A840" t="s">
        <v>4439</v>
      </c>
      <c r="B840" t="s">
        <v>2620</v>
      </c>
      <c r="C840" t="s">
        <v>3538</v>
      </c>
      <c r="D840" t="s">
        <v>508</v>
      </c>
      <c r="E840" t="s">
        <v>509</v>
      </c>
      <c r="F840" t="s">
        <v>6058</v>
      </c>
      <c r="G840" s="2" t="str">
        <f>HYPERLINK("https://www.facebook.com/100005863149421/posts/874517542753676")</f>
        <v>https://www.facebook.com/100005863149421/posts/874517542753676</v>
      </c>
      <c r="H840" t="s">
        <v>6062</v>
      </c>
      <c r="I840" t="s">
        <v>4498</v>
      </c>
      <c r="J840" s="2" t="str">
        <f>HYPERLINK("https://www.facebook.com/100005863149421")</f>
        <v>https://www.facebook.com/100005863149421</v>
      </c>
      <c r="K840">
        <v>657</v>
      </c>
      <c r="L840" t="s">
        <v>6064</v>
      </c>
      <c r="N840" t="s">
        <v>13</v>
      </c>
      <c r="O840" t="s">
        <v>4498</v>
      </c>
      <c r="P840" s="2" t="str">
        <f>HYPERLINK("https://www.facebook.com/100005863149421")</f>
        <v>https://www.facebook.com/100005863149421</v>
      </c>
      <c r="Q840">
        <v>657</v>
      </c>
      <c r="R840" t="s">
        <v>6067</v>
      </c>
      <c r="S840" t="s">
        <v>6073</v>
      </c>
    </row>
    <row r="841" spans="1:19" ht="14.25" customHeight="1" x14ac:dyDescent="0.3">
      <c r="A841" t="s">
        <v>629</v>
      </c>
      <c r="B841" t="s">
        <v>1972</v>
      </c>
      <c r="C841" t="s">
        <v>95</v>
      </c>
      <c r="D841" t="s">
        <v>370</v>
      </c>
      <c r="E841" t="s">
        <v>371</v>
      </c>
      <c r="F841" t="s">
        <v>6058</v>
      </c>
      <c r="G841" s="2" t="str">
        <f>HYPERLINK("https://www.facebook.com/100023847722604/posts/190034075134849")</f>
        <v>https://www.facebook.com/100023847722604/posts/190034075134849</v>
      </c>
      <c r="H841" t="s">
        <v>6062</v>
      </c>
      <c r="I841" t="s">
        <v>1974</v>
      </c>
      <c r="J841" s="2" t="str">
        <f>HYPERLINK("https://www.facebook.com/100023847722604")</f>
        <v>https://www.facebook.com/100023847722604</v>
      </c>
      <c r="K841">
        <v>93</v>
      </c>
      <c r="L841" t="s">
        <v>6064</v>
      </c>
      <c r="N841" t="s">
        <v>13</v>
      </c>
      <c r="O841" t="s">
        <v>1974</v>
      </c>
      <c r="P841" s="2" t="str">
        <f>HYPERLINK("https://www.facebook.com/100023847722604")</f>
        <v>https://www.facebook.com/100023847722604</v>
      </c>
      <c r="Q841">
        <v>93</v>
      </c>
      <c r="R841" t="s">
        <v>6067</v>
      </c>
    </row>
    <row r="842" spans="1:19" ht="14.25" customHeight="1" x14ac:dyDescent="0.3">
      <c r="A842" t="s">
        <v>3527</v>
      </c>
      <c r="B842" t="s">
        <v>3343</v>
      </c>
      <c r="C842" t="s">
        <v>3538</v>
      </c>
      <c r="D842" t="s">
        <v>508</v>
      </c>
      <c r="E842" t="s">
        <v>509</v>
      </c>
      <c r="F842" t="s">
        <v>6058</v>
      </c>
      <c r="G842" s="2" t="str">
        <f>HYPERLINK("https://www.facebook.com/100004888625630/posts/876199469219666")</f>
        <v>https://www.facebook.com/100004888625630/posts/876199469219666</v>
      </c>
      <c r="H842" t="s">
        <v>6062</v>
      </c>
      <c r="I842" t="s">
        <v>4278</v>
      </c>
      <c r="J842" s="2" t="str">
        <f>HYPERLINK("https://www.facebook.com/100004888625630")</f>
        <v>https://www.facebook.com/100004888625630</v>
      </c>
      <c r="K842">
        <v>180</v>
      </c>
      <c r="L842" t="s">
        <v>6064</v>
      </c>
      <c r="N842" t="s">
        <v>13</v>
      </c>
      <c r="O842" t="s">
        <v>4278</v>
      </c>
      <c r="P842" s="2" t="str">
        <f>HYPERLINK("https://www.facebook.com/100004888625630")</f>
        <v>https://www.facebook.com/100004888625630</v>
      </c>
      <c r="Q842">
        <v>180</v>
      </c>
      <c r="R842" t="s">
        <v>6067</v>
      </c>
      <c r="S842" t="s">
        <v>6073</v>
      </c>
    </row>
    <row r="843" spans="1:19" ht="14.25" customHeight="1" x14ac:dyDescent="0.3">
      <c r="A843" t="s">
        <v>2225</v>
      </c>
      <c r="B843" t="s">
        <v>2536</v>
      </c>
      <c r="C843" t="s">
        <v>95</v>
      </c>
      <c r="D843" t="s">
        <v>544</v>
      </c>
      <c r="E843" t="s">
        <v>545</v>
      </c>
      <c r="F843" t="s">
        <v>6058</v>
      </c>
      <c r="G843" s="2" t="str">
        <f>HYPERLINK("https://www.facebook.com/1320347444652343/posts/1628738873909045")</f>
        <v>https://www.facebook.com/1320347444652343/posts/1628738873909045</v>
      </c>
      <c r="H843" t="s">
        <v>6062</v>
      </c>
      <c r="I843" t="s">
        <v>2537</v>
      </c>
      <c r="J843" s="2" t="str">
        <f>HYPERLINK("https://www.facebook.com/100003188439664")</f>
        <v>https://www.facebook.com/100003188439664</v>
      </c>
      <c r="K843">
        <v>6036</v>
      </c>
      <c r="L843" t="s">
        <v>6063</v>
      </c>
      <c r="N843" t="s">
        <v>13</v>
      </c>
      <c r="O843" t="s">
        <v>1359</v>
      </c>
      <c r="P843" s="2" t="str">
        <f>HYPERLINK("https://www.facebook.com/1320347444652343")</f>
        <v>https://www.facebook.com/1320347444652343</v>
      </c>
      <c r="R843" t="s">
        <v>6067</v>
      </c>
      <c r="S843" t="s">
        <v>6073</v>
      </c>
    </row>
    <row r="844" spans="1:19" ht="14.25" customHeight="1" x14ac:dyDescent="0.3">
      <c r="A844" t="s">
        <v>3527</v>
      </c>
      <c r="B844" t="s">
        <v>1360</v>
      </c>
      <c r="C844" t="s">
        <v>95</v>
      </c>
      <c r="D844" t="s">
        <v>4181</v>
      </c>
      <c r="E844" t="s">
        <v>4182</v>
      </c>
      <c r="F844" t="s">
        <v>6057</v>
      </c>
      <c r="G844" s="2" t="str">
        <f>HYPERLINK("https://www.facebook.com/1754154823/posts/10204411879454426")</f>
        <v>https://www.facebook.com/1754154823/posts/10204411879454426</v>
      </c>
      <c r="H844" t="s">
        <v>6062</v>
      </c>
      <c r="I844" t="s">
        <v>4183</v>
      </c>
      <c r="J844" s="2" t="str">
        <f>HYPERLINK("https://www.facebook.com/1754154823")</f>
        <v>https://www.facebook.com/1754154823</v>
      </c>
      <c r="K844">
        <v>1523</v>
      </c>
      <c r="L844" t="s">
        <v>6063</v>
      </c>
      <c r="N844" t="s">
        <v>13</v>
      </c>
      <c r="O844" t="s">
        <v>4183</v>
      </c>
      <c r="P844" s="2" t="str">
        <f>HYPERLINK("https://www.facebook.com/1754154823")</f>
        <v>https://www.facebook.com/1754154823</v>
      </c>
      <c r="Q844">
        <v>1523</v>
      </c>
      <c r="R844" t="s">
        <v>6067</v>
      </c>
      <c r="S844" t="s">
        <v>6073</v>
      </c>
    </row>
    <row r="845" spans="1:19" ht="14.25" customHeight="1" x14ac:dyDescent="0.3">
      <c r="A845" t="s">
        <v>629</v>
      </c>
      <c r="B845" t="s">
        <v>828</v>
      </c>
      <c r="C845" t="s">
        <v>95</v>
      </c>
      <c r="D845" t="s">
        <v>464</v>
      </c>
      <c r="E845" t="s">
        <v>829</v>
      </c>
      <c r="F845" t="s">
        <v>6059</v>
      </c>
      <c r="G845" s="2" t="str">
        <f>HYPERLINK("https://www.facebook.com/1362386453/posts/10216460219362335?comment_id=10216469329630086")</f>
        <v>https://www.facebook.com/1362386453/posts/10216460219362335?comment_id=10216469329630086</v>
      </c>
      <c r="H845" t="s">
        <v>6062</v>
      </c>
      <c r="I845" t="s">
        <v>816</v>
      </c>
      <c r="J845" s="2" t="str">
        <f>HYPERLINK("https://www.facebook.com/100004062785457")</f>
        <v>https://www.facebook.com/100004062785457</v>
      </c>
      <c r="K845">
        <v>1878</v>
      </c>
      <c r="L845" t="s">
        <v>6064</v>
      </c>
      <c r="N845" t="s">
        <v>13</v>
      </c>
      <c r="O845" t="s">
        <v>467</v>
      </c>
      <c r="P845" s="2" t="str">
        <f>HYPERLINK("https://www.facebook.com/1362386453")</f>
        <v>https://www.facebook.com/1362386453</v>
      </c>
      <c r="Q845">
        <v>3896</v>
      </c>
      <c r="R845" t="s">
        <v>6067</v>
      </c>
      <c r="S845" t="s">
        <v>6073</v>
      </c>
    </row>
    <row r="846" spans="1:19" ht="14.25" customHeight="1" x14ac:dyDescent="0.3">
      <c r="A846" t="s">
        <v>629</v>
      </c>
      <c r="B846" t="s">
        <v>831</v>
      </c>
      <c r="C846" t="s">
        <v>95</v>
      </c>
      <c r="D846" t="s">
        <v>464</v>
      </c>
      <c r="E846" t="s">
        <v>832</v>
      </c>
      <c r="F846" t="s">
        <v>6059</v>
      </c>
      <c r="G846" s="2" t="str">
        <f>HYPERLINK("https://www.facebook.com/1362386453/posts/10216460219362335?comment_id=10216469320349854")</f>
        <v>https://www.facebook.com/1362386453/posts/10216460219362335?comment_id=10216469320349854</v>
      </c>
      <c r="H846" t="s">
        <v>6062</v>
      </c>
      <c r="I846" t="s">
        <v>816</v>
      </c>
      <c r="J846" s="2" t="str">
        <f>HYPERLINK("https://www.facebook.com/100004062785457")</f>
        <v>https://www.facebook.com/100004062785457</v>
      </c>
      <c r="K846">
        <v>1878</v>
      </c>
      <c r="L846" t="s">
        <v>6064</v>
      </c>
      <c r="N846" t="s">
        <v>13</v>
      </c>
      <c r="O846" t="s">
        <v>467</v>
      </c>
      <c r="P846" s="2" t="str">
        <f>HYPERLINK("https://www.facebook.com/1362386453")</f>
        <v>https://www.facebook.com/1362386453</v>
      </c>
      <c r="Q846">
        <v>3896</v>
      </c>
      <c r="R846" t="s">
        <v>6067</v>
      </c>
      <c r="S846" t="s">
        <v>6073</v>
      </c>
    </row>
    <row r="847" spans="1:19" ht="14.25" customHeight="1" x14ac:dyDescent="0.3">
      <c r="A847" t="s">
        <v>2225</v>
      </c>
      <c r="B847" t="s">
        <v>2896</v>
      </c>
      <c r="C847" t="s">
        <v>95</v>
      </c>
      <c r="D847" t="s">
        <v>544</v>
      </c>
      <c r="E847" t="s">
        <v>545</v>
      </c>
      <c r="F847" t="s">
        <v>6058</v>
      </c>
      <c r="G847" s="2" t="str">
        <f>HYPERLINK("https://www.facebook.com/100008445724773/posts/1887842228173950")</f>
        <v>https://www.facebook.com/100008445724773/posts/1887842228173950</v>
      </c>
      <c r="H847" t="s">
        <v>6062</v>
      </c>
      <c r="I847" t="s">
        <v>2897</v>
      </c>
      <c r="J847" s="2" t="str">
        <f>HYPERLINK("https://www.facebook.com/100008445724773")</f>
        <v>https://www.facebook.com/100008445724773</v>
      </c>
      <c r="K847">
        <v>240</v>
      </c>
      <c r="L847" t="s">
        <v>6064</v>
      </c>
      <c r="N847" t="s">
        <v>13</v>
      </c>
      <c r="O847" t="s">
        <v>2897</v>
      </c>
      <c r="P847" s="2" t="str">
        <f>HYPERLINK("https://www.facebook.com/100008445724773")</f>
        <v>https://www.facebook.com/100008445724773</v>
      </c>
      <c r="Q847">
        <v>240</v>
      </c>
      <c r="R847" t="s">
        <v>6067</v>
      </c>
      <c r="S847" t="s">
        <v>6090</v>
      </c>
    </row>
    <row r="848" spans="1:19" ht="14.25" customHeight="1" x14ac:dyDescent="0.3">
      <c r="A848" t="s">
        <v>2225</v>
      </c>
      <c r="B848" t="s">
        <v>2672</v>
      </c>
      <c r="C848" t="s">
        <v>95</v>
      </c>
      <c r="D848" t="s">
        <v>544</v>
      </c>
      <c r="E848" t="s">
        <v>545</v>
      </c>
      <c r="F848" t="s">
        <v>6058</v>
      </c>
      <c r="G848" s="2" t="str">
        <f>HYPERLINK("https://www.facebook.com/100001787136942/posts/1619512751451614")</f>
        <v>https://www.facebook.com/100001787136942/posts/1619512751451614</v>
      </c>
      <c r="H848" t="s">
        <v>6062</v>
      </c>
      <c r="I848" t="s">
        <v>2679</v>
      </c>
      <c r="J848" s="2" t="str">
        <f>HYPERLINK("https://www.facebook.com/100001787136942")</f>
        <v>https://www.facebook.com/100001787136942</v>
      </c>
      <c r="K848">
        <v>279</v>
      </c>
      <c r="L848" t="s">
        <v>6063</v>
      </c>
      <c r="N848" t="s">
        <v>13</v>
      </c>
      <c r="O848" t="s">
        <v>2679</v>
      </c>
      <c r="P848" s="2" t="str">
        <f>HYPERLINK("https://www.facebook.com/100001787136942")</f>
        <v>https://www.facebook.com/100001787136942</v>
      </c>
      <c r="Q848">
        <v>279</v>
      </c>
      <c r="R848" t="s">
        <v>6067</v>
      </c>
      <c r="S848" t="s">
        <v>6073</v>
      </c>
    </row>
    <row r="849" spans="1:19" ht="14.25" customHeight="1" x14ac:dyDescent="0.3">
      <c r="A849" t="s">
        <v>2225</v>
      </c>
      <c r="B849" t="s">
        <v>2759</v>
      </c>
      <c r="C849" t="s">
        <v>95</v>
      </c>
      <c r="D849" t="s">
        <v>544</v>
      </c>
      <c r="E849" t="s">
        <v>545</v>
      </c>
      <c r="F849" t="s">
        <v>6058</v>
      </c>
      <c r="G849" s="2" t="str">
        <f>HYPERLINK("https://www.facebook.com/100008034723022/posts/2091217174489420")</f>
        <v>https://www.facebook.com/100008034723022/posts/2091217174489420</v>
      </c>
      <c r="H849" t="s">
        <v>6062</v>
      </c>
      <c r="I849" t="s">
        <v>2760</v>
      </c>
      <c r="J849" s="2" t="str">
        <f>HYPERLINK("https://www.facebook.com/100008034723022")</f>
        <v>https://www.facebook.com/100008034723022</v>
      </c>
      <c r="K849">
        <v>220</v>
      </c>
      <c r="L849" t="s">
        <v>6063</v>
      </c>
      <c r="N849" t="s">
        <v>13</v>
      </c>
      <c r="O849" t="s">
        <v>2760</v>
      </c>
      <c r="P849" s="2" t="str">
        <f>HYPERLINK("https://www.facebook.com/100008034723022")</f>
        <v>https://www.facebook.com/100008034723022</v>
      </c>
      <c r="Q849">
        <v>220</v>
      </c>
      <c r="R849" t="s">
        <v>6067</v>
      </c>
      <c r="S849" t="s">
        <v>6073</v>
      </c>
    </row>
    <row r="850" spans="1:19" ht="14.25" customHeight="1" x14ac:dyDescent="0.3">
      <c r="A850" t="s">
        <v>4439</v>
      </c>
      <c r="B850" t="s">
        <v>750</v>
      </c>
      <c r="C850" t="s">
        <v>3538</v>
      </c>
      <c r="D850" t="s">
        <v>2419</v>
      </c>
      <c r="E850" t="s">
        <v>2420</v>
      </c>
      <c r="F850" t="s">
        <v>6058</v>
      </c>
      <c r="G850" s="2" t="str">
        <f>HYPERLINK("https://www.facebook.com/100000159916991/posts/2198187650196544")</f>
        <v>https://www.facebook.com/100000159916991/posts/2198187650196544</v>
      </c>
      <c r="H850" t="s">
        <v>6062</v>
      </c>
      <c r="I850" t="s">
        <v>4508</v>
      </c>
      <c r="J850" s="2" t="str">
        <f>HYPERLINK("https://www.facebook.com/100000159916991")</f>
        <v>https://www.facebook.com/100000159916991</v>
      </c>
      <c r="K850">
        <v>0</v>
      </c>
      <c r="L850" t="s">
        <v>6063</v>
      </c>
      <c r="N850" t="s">
        <v>13</v>
      </c>
      <c r="O850" t="s">
        <v>4508</v>
      </c>
      <c r="P850" s="2" t="str">
        <f>HYPERLINK("https://www.facebook.com/100000159916991")</f>
        <v>https://www.facebook.com/100000159916991</v>
      </c>
      <c r="Q850">
        <v>0</v>
      </c>
      <c r="R850" t="s">
        <v>6067</v>
      </c>
      <c r="S850" t="s">
        <v>6073</v>
      </c>
    </row>
    <row r="851" spans="1:19" ht="14.25" customHeight="1" x14ac:dyDescent="0.3">
      <c r="A851" t="s">
        <v>629</v>
      </c>
      <c r="B851" t="s">
        <v>1195</v>
      </c>
      <c r="C851" t="s">
        <v>95</v>
      </c>
      <c r="D851" t="s">
        <v>10</v>
      </c>
      <c r="E851" t="s">
        <v>1200</v>
      </c>
      <c r="F851" t="s">
        <v>6059</v>
      </c>
      <c r="G851" s="2" t="str">
        <f>HYPERLINK("https://www.facebook.com/762053551/posts/10156366210158552?comment_id=10156366253203552")</f>
        <v>https://www.facebook.com/762053551/posts/10156366210158552?comment_id=10156366253203552</v>
      </c>
      <c r="H851" t="s">
        <v>6062</v>
      </c>
      <c r="I851" t="s">
        <v>1201</v>
      </c>
      <c r="J851" s="2" t="str">
        <f>HYPERLINK("https://www.facebook.com/100000477681930")</f>
        <v>https://www.facebook.com/100000477681930</v>
      </c>
      <c r="K851">
        <v>0</v>
      </c>
      <c r="L851" t="s">
        <v>6063</v>
      </c>
      <c r="M851">
        <v>33</v>
      </c>
      <c r="N851" t="s">
        <v>13</v>
      </c>
      <c r="O851" t="s">
        <v>14</v>
      </c>
      <c r="P851" s="2" t="str">
        <f>HYPERLINK("https://www.facebook.com/762053551")</f>
        <v>https://www.facebook.com/762053551</v>
      </c>
      <c r="Q851">
        <v>102347</v>
      </c>
      <c r="R851" t="s">
        <v>6067</v>
      </c>
      <c r="S851" t="s">
        <v>6073</v>
      </c>
    </row>
    <row r="852" spans="1:19" ht="14.25" customHeight="1" x14ac:dyDescent="0.3">
      <c r="A852" t="s">
        <v>2225</v>
      </c>
      <c r="B852" t="s">
        <v>3343</v>
      </c>
      <c r="C852" t="s">
        <v>95</v>
      </c>
      <c r="D852" t="s">
        <v>2014</v>
      </c>
      <c r="E852" t="s">
        <v>2040</v>
      </c>
      <c r="F852" t="s">
        <v>6059</v>
      </c>
      <c r="G852" s="2" t="str">
        <f>HYPERLINK("https://www.facebook.com/170089376357131/posts/1925489974150387?comment_id=1925490544150330")</f>
        <v>https://www.facebook.com/170089376357131/posts/1925489974150387?comment_id=1925490544150330</v>
      </c>
      <c r="H852" t="s">
        <v>6062</v>
      </c>
      <c r="I852" t="s">
        <v>3344</v>
      </c>
      <c r="J852" s="2" t="str">
        <f>HYPERLINK("https://www.facebook.com/1352164483")</f>
        <v>https://www.facebook.com/1352164483</v>
      </c>
      <c r="K852">
        <v>0</v>
      </c>
      <c r="L852" t="s">
        <v>6063</v>
      </c>
      <c r="N852" t="s">
        <v>13</v>
      </c>
      <c r="O852" t="s">
        <v>2017</v>
      </c>
      <c r="P852" s="2" t="str">
        <f>HYPERLINK("https://www.facebook.com/170089376357131")</f>
        <v>https://www.facebook.com/170089376357131</v>
      </c>
      <c r="R852" t="s">
        <v>6067</v>
      </c>
    </row>
    <row r="853" spans="1:19" ht="14.25" customHeight="1" x14ac:dyDescent="0.3">
      <c r="A853" t="s">
        <v>629</v>
      </c>
      <c r="B853" t="s">
        <v>1208</v>
      </c>
      <c r="C853" t="s">
        <v>95</v>
      </c>
      <c r="D853" t="s">
        <v>10</v>
      </c>
      <c r="E853" t="s">
        <v>1209</v>
      </c>
      <c r="F853" t="s">
        <v>6059</v>
      </c>
      <c r="G853" s="2" t="str">
        <f>HYPERLINK("https://www.facebook.com/762053551/posts/10156366210158552?comment_id=10156366251583552")</f>
        <v>https://www.facebook.com/762053551/posts/10156366210158552?comment_id=10156366251583552</v>
      </c>
      <c r="H853" t="s">
        <v>6062</v>
      </c>
      <c r="I853" t="s">
        <v>1197</v>
      </c>
      <c r="J853" s="2" t="str">
        <f>HYPERLINK("https://www.facebook.com/1028835839")</f>
        <v>https://www.facebook.com/1028835839</v>
      </c>
      <c r="K853">
        <v>0</v>
      </c>
      <c r="L853" t="s">
        <v>6063</v>
      </c>
      <c r="N853" t="s">
        <v>13</v>
      </c>
      <c r="O853" t="s">
        <v>14</v>
      </c>
      <c r="P853" s="2" t="str">
        <f>HYPERLINK("https://www.facebook.com/762053551")</f>
        <v>https://www.facebook.com/762053551</v>
      </c>
      <c r="Q853">
        <v>102347</v>
      </c>
      <c r="R853" t="s">
        <v>6067</v>
      </c>
      <c r="S853" t="s">
        <v>6073</v>
      </c>
    </row>
    <row r="854" spans="1:19" ht="14.25" customHeight="1" x14ac:dyDescent="0.3">
      <c r="A854" t="s">
        <v>629</v>
      </c>
      <c r="B854" t="s">
        <v>19</v>
      </c>
      <c r="C854" t="s">
        <v>95</v>
      </c>
      <c r="D854" t="s">
        <v>10</v>
      </c>
      <c r="E854" t="s">
        <v>1275</v>
      </c>
      <c r="F854" t="s">
        <v>6059</v>
      </c>
      <c r="G854" s="2" t="str">
        <f>HYPERLINK("https://www.facebook.com/762053551/posts/10156366210158552?comment_id=10156366224298552")</f>
        <v>https://www.facebook.com/762053551/posts/10156366210158552?comment_id=10156366224298552</v>
      </c>
      <c r="H854" t="s">
        <v>6062</v>
      </c>
      <c r="I854" t="s">
        <v>1197</v>
      </c>
      <c r="J854" s="2" t="str">
        <f>HYPERLINK("https://www.facebook.com/1028835839")</f>
        <v>https://www.facebook.com/1028835839</v>
      </c>
      <c r="K854">
        <v>0</v>
      </c>
      <c r="L854" t="s">
        <v>6063</v>
      </c>
      <c r="N854" t="s">
        <v>13</v>
      </c>
      <c r="O854" t="s">
        <v>14</v>
      </c>
      <c r="P854" s="2" t="str">
        <f>HYPERLINK("https://www.facebook.com/762053551")</f>
        <v>https://www.facebook.com/762053551</v>
      </c>
      <c r="Q854">
        <v>102347</v>
      </c>
      <c r="R854" t="s">
        <v>6067</v>
      </c>
      <c r="S854" t="s">
        <v>6073</v>
      </c>
    </row>
    <row r="855" spans="1:19" ht="14.25" customHeight="1" x14ac:dyDescent="0.3">
      <c r="A855" t="s">
        <v>629</v>
      </c>
      <c r="B855" t="s">
        <v>19</v>
      </c>
      <c r="C855" t="s">
        <v>95</v>
      </c>
      <c r="D855" t="s">
        <v>10</v>
      </c>
      <c r="E855" t="s">
        <v>1273</v>
      </c>
      <c r="F855" t="s">
        <v>6059</v>
      </c>
      <c r="G855" s="2" t="str">
        <f>HYPERLINK("https://www.facebook.com/762053551/posts/10156366210158552?comment_id=10156366224768552")</f>
        <v>https://www.facebook.com/762053551/posts/10156366210158552?comment_id=10156366224768552</v>
      </c>
      <c r="H855" t="s">
        <v>6062</v>
      </c>
      <c r="I855" t="s">
        <v>1197</v>
      </c>
      <c r="J855" s="2" t="str">
        <f>HYPERLINK("https://www.facebook.com/1028835839")</f>
        <v>https://www.facebook.com/1028835839</v>
      </c>
      <c r="K855">
        <v>0</v>
      </c>
      <c r="L855" t="s">
        <v>6063</v>
      </c>
      <c r="N855" t="s">
        <v>13</v>
      </c>
      <c r="O855" t="s">
        <v>14</v>
      </c>
      <c r="P855" s="2" t="str">
        <f>HYPERLINK("https://www.facebook.com/762053551")</f>
        <v>https://www.facebook.com/762053551</v>
      </c>
      <c r="Q855">
        <v>102347</v>
      </c>
      <c r="R855" t="s">
        <v>6067</v>
      </c>
      <c r="S855" t="s">
        <v>6073</v>
      </c>
    </row>
    <row r="856" spans="1:19" ht="14.25" customHeight="1" x14ac:dyDescent="0.3">
      <c r="A856" t="s">
        <v>629</v>
      </c>
      <c r="B856" t="s">
        <v>37</v>
      </c>
      <c r="C856" t="s">
        <v>95</v>
      </c>
      <c r="D856" t="s">
        <v>10</v>
      </c>
      <c r="E856" t="s">
        <v>1289</v>
      </c>
      <c r="F856" t="s">
        <v>6059</v>
      </c>
      <c r="G856" s="2" t="str">
        <f>HYPERLINK("https://www.facebook.com/762053551/posts/10156366210158552?comment_id=10156366216773552")</f>
        <v>https://www.facebook.com/762053551/posts/10156366210158552?comment_id=10156366216773552</v>
      </c>
      <c r="H856" t="s">
        <v>6062</v>
      </c>
      <c r="I856" t="s">
        <v>1197</v>
      </c>
      <c r="J856" s="2" t="str">
        <f>HYPERLINK("https://www.facebook.com/1028835839")</f>
        <v>https://www.facebook.com/1028835839</v>
      </c>
      <c r="K856">
        <v>0</v>
      </c>
      <c r="L856" t="s">
        <v>6063</v>
      </c>
      <c r="N856" t="s">
        <v>13</v>
      </c>
      <c r="O856" t="s">
        <v>14</v>
      </c>
      <c r="P856" s="2" t="str">
        <f>HYPERLINK("https://www.facebook.com/762053551")</f>
        <v>https://www.facebook.com/762053551</v>
      </c>
      <c r="Q856">
        <v>102347</v>
      </c>
      <c r="R856" t="s">
        <v>6067</v>
      </c>
      <c r="S856" t="s">
        <v>6073</v>
      </c>
    </row>
    <row r="857" spans="1:19" ht="14.25" customHeight="1" x14ac:dyDescent="0.3">
      <c r="A857" t="s">
        <v>4995</v>
      </c>
      <c r="B857" t="s">
        <v>1520</v>
      </c>
      <c r="C857" t="s">
        <v>3538</v>
      </c>
      <c r="D857" t="s">
        <v>5281</v>
      </c>
      <c r="E857" t="s">
        <v>5282</v>
      </c>
      <c r="F857" t="s">
        <v>6059</v>
      </c>
      <c r="G857" s="2" t="str">
        <f>HYPERLINK("https://www.facebook.com/192378574183165/posts/1644226538998354?comment_id=1644892068931801")</f>
        <v>https://www.facebook.com/192378574183165/posts/1644226538998354?comment_id=1644892068931801</v>
      </c>
      <c r="H857" t="s">
        <v>6062</v>
      </c>
      <c r="I857" t="s">
        <v>301</v>
      </c>
      <c r="J857" s="2" t="str">
        <f>HYPERLINK("https://www.facebook.com/192378574183165")</f>
        <v>https://www.facebook.com/192378574183165</v>
      </c>
      <c r="K857">
        <v>6211</v>
      </c>
      <c r="L857" t="s">
        <v>6065</v>
      </c>
      <c r="N857" t="s">
        <v>13</v>
      </c>
      <c r="O857" t="s">
        <v>301</v>
      </c>
      <c r="P857" s="2" t="str">
        <f>HYPERLINK("https://www.facebook.com/192378574183165")</f>
        <v>https://www.facebook.com/192378574183165</v>
      </c>
      <c r="Q857">
        <v>6211</v>
      </c>
      <c r="R857" t="s">
        <v>6067</v>
      </c>
      <c r="S857" t="s">
        <v>6073</v>
      </c>
    </row>
    <row r="858" spans="1:19" ht="14.25" customHeight="1" x14ac:dyDescent="0.3">
      <c r="A858" t="s">
        <v>629</v>
      </c>
      <c r="B858" t="s">
        <v>1095</v>
      </c>
      <c r="C858" t="s">
        <v>95</v>
      </c>
      <c r="D858" t="s">
        <v>370</v>
      </c>
      <c r="E858" t="s">
        <v>371</v>
      </c>
      <c r="F858" t="s">
        <v>6058</v>
      </c>
      <c r="G858" s="2" t="str">
        <f>HYPERLINK("https://www.facebook.com/100024742415923/posts/153913218776758")</f>
        <v>https://www.facebook.com/100024742415923/posts/153913218776758</v>
      </c>
      <c r="H858" t="s">
        <v>6062</v>
      </c>
      <c r="I858" t="s">
        <v>1097</v>
      </c>
      <c r="J858" s="2" t="str">
        <f>HYPERLINK("https://www.facebook.com/100024742415923")</f>
        <v>https://www.facebook.com/100024742415923</v>
      </c>
      <c r="K858">
        <v>142</v>
      </c>
      <c r="L858" t="s">
        <v>6063</v>
      </c>
      <c r="N858" t="s">
        <v>13</v>
      </c>
      <c r="O858" t="s">
        <v>1097</v>
      </c>
      <c r="P858" s="2" t="str">
        <f>HYPERLINK("https://www.facebook.com/100024742415923")</f>
        <v>https://www.facebook.com/100024742415923</v>
      </c>
      <c r="Q858">
        <v>142</v>
      </c>
      <c r="R858" t="s">
        <v>6067</v>
      </c>
    </row>
    <row r="859" spans="1:19" ht="14.25" customHeight="1" x14ac:dyDescent="0.3">
      <c r="A859" t="s">
        <v>3527</v>
      </c>
      <c r="B859" t="s">
        <v>2275</v>
      </c>
      <c r="C859" t="s">
        <v>95</v>
      </c>
      <c r="D859" t="s">
        <v>2321</v>
      </c>
      <c r="E859" t="s">
        <v>3572</v>
      </c>
      <c r="F859" t="s">
        <v>6056</v>
      </c>
      <c r="G859" s="2" t="str">
        <f>HYPERLINK("https://www.facebook.com/100006780812365/posts/2130916753810998")</f>
        <v>https://www.facebook.com/100006780812365/posts/2130916753810998</v>
      </c>
      <c r="H859" t="s">
        <v>6062</v>
      </c>
      <c r="I859" t="s">
        <v>3573</v>
      </c>
      <c r="J859" s="2" t="str">
        <f>HYPERLINK("https://www.facebook.com/100006780812365")</f>
        <v>https://www.facebook.com/100006780812365</v>
      </c>
      <c r="K859">
        <v>316</v>
      </c>
      <c r="L859" t="s">
        <v>6063</v>
      </c>
      <c r="N859" t="s">
        <v>13</v>
      </c>
      <c r="O859" t="s">
        <v>3573</v>
      </c>
      <c r="P859" s="2" t="str">
        <f>HYPERLINK("https://www.facebook.com/100006780812365")</f>
        <v>https://www.facebook.com/100006780812365</v>
      </c>
      <c r="Q859">
        <v>316</v>
      </c>
      <c r="R859" t="s">
        <v>6067</v>
      </c>
      <c r="S859" t="s">
        <v>6073</v>
      </c>
    </row>
    <row r="860" spans="1:19" ht="14.25" customHeight="1" x14ac:dyDescent="0.3">
      <c r="A860" t="s">
        <v>4439</v>
      </c>
      <c r="B860" t="s">
        <v>4193</v>
      </c>
      <c r="C860" t="s">
        <v>3538</v>
      </c>
      <c r="D860" t="s">
        <v>4675</v>
      </c>
      <c r="E860" t="s">
        <v>4676</v>
      </c>
      <c r="F860" t="s">
        <v>6059</v>
      </c>
      <c r="G860" s="2" t="str">
        <f>HYPERLINK("https://www.facebook.com/1439247584/posts/10217349741762401?comment_id=10217372104401453")</f>
        <v>https://www.facebook.com/1439247584/posts/10217349741762401?comment_id=10217372104401453</v>
      </c>
      <c r="H860" t="s">
        <v>6062</v>
      </c>
      <c r="I860" t="s">
        <v>4677</v>
      </c>
      <c r="J860" s="2" t="str">
        <f>HYPERLINK("https://www.facebook.com/100000439628112")</f>
        <v>https://www.facebook.com/100000439628112</v>
      </c>
      <c r="K860">
        <v>2235</v>
      </c>
      <c r="L860" t="s">
        <v>6063</v>
      </c>
      <c r="N860" t="s">
        <v>13</v>
      </c>
      <c r="O860" t="s">
        <v>4678</v>
      </c>
      <c r="P860" s="2" t="str">
        <f>HYPERLINK("https://www.facebook.com/1439247584")</f>
        <v>https://www.facebook.com/1439247584</v>
      </c>
      <c r="Q860">
        <v>54</v>
      </c>
      <c r="R860" t="s">
        <v>6067</v>
      </c>
      <c r="S860" t="s">
        <v>6073</v>
      </c>
    </row>
    <row r="861" spans="1:19" ht="14.25" customHeight="1" x14ac:dyDescent="0.3">
      <c r="A861" t="s">
        <v>629</v>
      </c>
      <c r="B861" t="s">
        <v>514</v>
      </c>
      <c r="C861" t="s">
        <v>95</v>
      </c>
      <c r="D861" t="s">
        <v>2047</v>
      </c>
      <c r="E861" t="s">
        <v>2048</v>
      </c>
      <c r="F861" t="s">
        <v>6058</v>
      </c>
      <c r="G861" s="2" t="str">
        <f>HYPERLINK("https://www.facebook.com/100001911335949/posts/1877778062295887")</f>
        <v>https://www.facebook.com/100001911335949/posts/1877778062295887</v>
      </c>
      <c r="H861" t="s">
        <v>6062</v>
      </c>
      <c r="I861" t="s">
        <v>2049</v>
      </c>
      <c r="J861" s="2" t="str">
        <f>HYPERLINK("https://www.facebook.com/100001911335949")</f>
        <v>https://www.facebook.com/100001911335949</v>
      </c>
      <c r="K861">
        <v>448</v>
      </c>
      <c r="L861" t="s">
        <v>6063</v>
      </c>
      <c r="N861" t="s">
        <v>13</v>
      </c>
      <c r="O861" t="s">
        <v>2049</v>
      </c>
      <c r="P861" s="2" t="str">
        <f>HYPERLINK("https://www.facebook.com/100001911335949")</f>
        <v>https://www.facebook.com/100001911335949</v>
      </c>
      <c r="Q861">
        <v>448</v>
      </c>
      <c r="R861" t="s">
        <v>6067</v>
      </c>
      <c r="S861" t="s">
        <v>6103</v>
      </c>
    </row>
    <row r="862" spans="1:19" ht="14.25" customHeight="1" x14ac:dyDescent="0.3">
      <c r="A862" t="s">
        <v>1</v>
      </c>
      <c r="B862" t="s">
        <v>532</v>
      </c>
      <c r="C862" t="s">
        <v>95</v>
      </c>
      <c r="D862" t="s">
        <v>533</v>
      </c>
      <c r="E862" t="s">
        <v>534</v>
      </c>
      <c r="F862" t="s">
        <v>6059</v>
      </c>
      <c r="G862" s="2" t="str">
        <f>HYPERLINK("https://www.facebook.com/100002561969210/posts/1627306987364684?comment_id=1627581830670533")</f>
        <v>https://www.facebook.com/100002561969210/posts/1627306987364684?comment_id=1627581830670533</v>
      </c>
      <c r="H862" t="s">
        <v>6062</v>
      </c>
      <c r="I862" t="s">
        <v>535</v>
      </c>
      <c r="J862" s="2" t="str">
        <f>HYPERLINK("https://www.facebook.com/100000504126350")</f>
        <v>https://www.facebook.com/100000504126350</v>
      </c>
      <c r="K862">
        <v>22</v>
      </c>
      <c r="L862" t="s">
        <v>6063</v>
      </c>
      <c r="N862" t="s">
        <v>13</v>
      </c>
      <c r="O862" t="s">
        <v>536</v>
      </c>
      <c r="P862" s="2" t="str">
        <f>HYPERLINK("https://www.facebook.com/100002561969210")</f>
        <v>https://www.facebook.com/100002561969210</v>
      </c>
      <c r="Q862">
        <v>0</v>
      </c>
      <c r="R862" t="s">
        <v>6067</v>
      </c>
      <c r="S862" t="s">
        <v>6073</v>
      </c>
    </row>
    <row r="863" spans="1:19" ht="14.25" customHeight="1" x14ac:dyDescent="0.3">
      <c r="A863" t="s">
        <v>629</v>
      </c>
      <c r="B863" t="s">
        <v>1246</v>
      </c>
      <c r="C863" t="s">
        <v>95</v>
      </c>
      <c r="D863" t="s">
        <v>10</v>
      </c>
      <c r="E863" t="s">
        <v>1247</v>
      </c>
      <c r="F863" t="s">
        <v>6059</v>
      </c>
      <c r="G863" s="2" t="str">
        <f>HYPERLINK("https://www.facebook.com/762053551/posts/10156366210158552?comment_id=10156366234828552")</f>
        <v>https://www.facebook.com/762053551/posts/10156366210158552?comment_id=10156366234828552</v>
      </c>
      <c r="H863" t="s">
        <v>6062</v>
      </c>
      <c r="I863" t="s">
        <v>1248</v>
      </c>
      <c r="J863" s="2" t="str">
        <f>HYPERLINK("https://www.facebook.com/100004778533742")</f>
        <v>https://www.facebook.com/100004778533742</v>
      </c>
      <c r="K863">
        <v>140</v>
      </c>
      <c r="L863" t="s">
        <v>6064</v>
      </c>
      <c r="N863" t="s">
        <v>13</v>
      </c>
      <c r="O863" t="s">
        <v>14</v>
      </c>
      <c r="P863" s="2" t="str">
        <f>HYPERLINK("https://www.facebook.com/762053551")</f>
        <v>https://www.facebook.com/762053551</v>
      </c>
      <c r="Q863">
        <v>102347</v>
      </c>
      <c r="R863" t="s">
        <v>6067</v>
      </c>
      <c r="S863" t="s">
        <v>6073</v>
      </c>
    </row>
    <row r="864" spans="1:19" ht="14.25" customHeight="1" x14ac:dyDescent="0.3">
      <c r="A864" t="s">
        <v>4995</v>
      </c>
      <c r="B864" t="s">
        <v>3290</v>
      </c>
      <c r="C864" t="s">
        <v>3538</v>
      </c>
      <c r="D864" t="s">
        <v>522</v>
      </c>
      <c r="E864" t="s">
        <v>5245</v>
      </c>
      <c r="F864" t="s">
        <v>6059</v>
      </c>
      <c r="G864" s="2" t="str">
        <f>HYPERLINK("https://www.facebook.com/125689264174640/posts/1627782823965269?comment_id=1628552533888298")</f>
        <v>https://www.facebook.com/125689264174640/posts/1627782823965269?comment_id=1628552533888298</v>
      </c>
      <c r="H864" t="s">
        <v>6062</v>
      </c>
      <c r="I864" t="s">
        <v>5246</v>
      </c>
      <c r="J864" s="2" t="str">
        <f>HYPERLINK("https://www.facebook.com/342779862905124")</f>
        <v>https://www.facebook.com/342779862905124</v>
      </c>
      <c r="K864">
        <v>0</v>
      </c>
      <c r="L864" t="s">
        <v>6065</v>
      </c>
      <c r="N864" t="s">
        <v>13</v>
      </c>
      <c r="O864" t="s">
        <v>4064</v>
      </c>
      <c r="P864" s="2" t="str">
        <f>HYPERLINK("https://www.facebook.com/125689264174640")</f>
        <v>https://www.facebook.com/125689264174640</v>
      </c>
      <c r="Q864">
        <v>2625</v>
      </c>
      <c r="R864" t="s">
        <v>6067</v>
      </c>
    </row>
    <row r="865" spans="1:19" ht="14.25" customHeight="1" x14ac:dyDescent="0.3">
      <c r="A865" t="s">
        <v>629</v>
      </c>
      <c r="B865" t="s">
        <v>1795</v>
      </c>
      <c r="C865" t="s">
        <v>95</v>
      </c>
      <c r="D865" t="s">
        <v>370</v>
      </c>
      <c r="E865" t="s">
        <v>371</v>
      </c>
      <c r="F865" t="s">
        <v>6058</v>
      </c>
      <c r="G865" s="2" t="str">
        <f>HYPERLINK("https://www.facebook.com/100004458871729/posts/1048169975341622")</f>
        <v>https://www.facebook.com/100004458871729/posts/1048169975341622</v>
      </c>
      <c r="H865" t="s">
        <v>6062</v>
      </c>
      <c r="I865" t="s">
        <v>1798</v>
      </c>
      <c r="J865" s="2" t="str">
        <f>HYPERLINK("https://www.facebook.com/100004458871729")</f>
        <v>https://www.facebook.com/100004458871729</v>
      </c>
      <c r="K865">
        <v>3048</v>
      </c>
      <c r="L865" t="s">
        <v>6064</v>
      </c>
      <c r="N865" t="s">
        <v>13</v>
      </c>
      <c r="O865" t="s">
        <v>1798</v>
      </c>
      <c r="P865" s="2" t="str">
        <f>HYPERLINK("https://www.facebook.com/100004458871729")</f>
        <v>https://www.facebook.com/100004458871729</v>
      </c>
      <c r="Q865">
        <v>3048</v>
      </c>
      <c r="R865" t="s">
        <v>6067</v>
      </c>
    </row>
    <row r="866" spans="1:19" ht="14.25" customHeight="1" x14ac:dyDescent="0.3">
      <c r="A866" t="s">
        <v>4439</v>
      </c>
      <c r="B866" t="s">
        <v>1146</v>
      </c>
      <c r="C866" t="s">
        <v>3538</v>
      </c>
      <c r="D866" t="s">
        <v>4637</v>
      </c>
      <c r="E866" t="s">
        <v>4638</v>
      </c>
      <c r="F866" t="s">
        <v>6056</v>
      </c>
      <c r="G866" s="2" t="str">
        <f>HYPERLINK("https://www.facebook.com/100006505057991/posts/2310730749153738")</f>
        <v>https://www.facebook.com/100006505057991/posts/2310730749153738</v>
      </c>
      <c r="H866" t="s">
        <v>6062</v>
      </c>
      <c r="I866" t="s">
        <v>4639</v>
      </c>
      <c r="J866" s="2" t="str">
        <f>HYPERLINK("https://www.facebook.com/100006505057991")</f>
        <v>https://www.facebook.com/100006505057991</v>
      </c>
      <c r="K866">
        <v>0</v>
      </c>
      <c r="L866" t="s">
        <v>6064</v>
      </c>
      <c r="N866" t="s">
        <v>13</v>
      </c>
      <c r="O866" t="s">
        <v>4639</v>
      </c>
      <c r="P866" s="2" t="str">
        <f>HYPERLINK("https://www.facebook.com/100006505057991")</f>
        <v>https://www.facebook.com/100006505057991</v>
      </c>
      <c r="Q866">
        <v>0</v>
      </c>
      <c r="R866" t="s">
        <v>6067</v>
      </c>
      <c r="S866" t="s">
        <v>6073</v>
      </c>
    </row>
    <row r="867" spans="1:19" ht="14.25" customHeight="1" x14ac:dyDescent="0.3">
      <c r="A867" t="s">
        <v>2225</v>
      </c>
      <c r="B867" t="s">
        <v>2890</v>
      </c>
      <c r="C867" t="s">
        <v>95</v>
      </c>
      <c r="D867" t="s">
        <v>464</v>
      </c>
      <c r="E867" t="s">
        <v>2891</v>
      </c>
      <c r="F867" t="s">
        <v>6059</v>
      </c>
      <c r="G867" s="2" t="str">
        <f>HYPERLINK("https://www.facebook.com/1362386453/posts/10216460219362335?comment_id=10216462120889872")</f>
        <v>https://www.facebook.com/1362386453/posts/10216460219362335?comment_id=10216462120889872</v>
      </c>
      <c r="H867" t="s">
        <v>6062</v>
      </c>
      <c r="I867" t="s">
        <v>2892</v>
      </c>
      <c r="J867" s="2" t="str">
        <f>HYPERLINK("https://www.facebook.com/100000510167563")</f>
        <v>https://www.facebook.com/100000510167563</v>
      </c>
      <c r="K867">
        <v>0</v>
      </c>
      <c r="L867" t="s">
        <v>6064</v>
      </c>
      <c r="N867" t="s">
        <v>13</v>
      </c>
      <c r="O867" t="s">
        <v>467</v>
      </c>
      <c r="P867" s="2" t="str">
        <f>HYPERLINK("https://www.facebook.com/1362386453")</f>
        <v>https://www.facebook.com/1362386453</v>
      </c>
      <c r="Q867">
        <v>3896</v>
      </c>
      <c r="R867" t="s">
        <v>6067</v>
      </c>
      <c r="S867" t="s">
        <v>6073</v>
      </c>
    </row>
    <row r="868" spans="1:19" ht="14.25" customHeight="1" x14ac:dyDescent="0.3">
      <c r="A868" t="s">
        <v>629</v>
      </c>
      <c r="B868" t="s">
        <v>1972</v>
      </c>
      <c r="C868" t="s">
        <v>95</v>
      </c>
      <c r="D868" t="s">
        <v>370</v>
      </c>
      <c r="E868" t="s">
        <v>371</v>
      </c>
      <c r="F868" t="s">
        <v>6058</v>
      </c>
      <c r="G868" s="2" t="str">
        <f>HYPERLINK("https://www.facebook.com/100003474386197/posts/1533774570081674")</f>
        <v>https://www.facebook.com/100003474386197/posts/1533774570081674</v>
      </c>
      <c r="H868" t="s">
        <v>6062</v>
      </c>
      <c r="I868" t="s">
        <v>1973</v>
      </c>
      <c r="J868" s="2" t="str">
        <f>HYPERLINK("https://www.facebook.com/100003474386197")</f>
        <v>https://www.facebook.com/100003474386197</v>
      </c>
      <c r="K868">
        <v>341</v>
      </c>
      <c r="L868" t="s">
        <v>6064</v>
      </c>
      <c r="N868" t="s">
        <v>13</v>
      </c>
      <c r="O868" t="s">
        <v>1973</v>
      </c>
      <c r="P868" s="2" t="str">
        <f>HYPERLINK("https://www.facebook.com/100003474386197")</f>
        <v>https://www.facebook.com/100003474386197</v>
      </c>
      <c r="Q868">
        <v>341</v>
      </c>
      <c r="R868" t="s">
        <v>6067</v>
      </c>
      <c r="S868" t="s">
        <v>6090</v>
      </c>
    </row>
    <row r="869" spans="1:19" ht="14.25" customHeight="1" x14ac:dyDescent="0.3">
      <c r="A869" t="s">
        <v>629</v>
      </c>
      <c r="B869" t="s">
        <v>1972</v>
      </c>
      <c r="C869" t="s">
        <v>95</v>
      </c>
      <c r="D869" t="s">
        <v>370</v>
      </c>
      <c r="E869" t="s">
        <v>371</v>
      </c>
      <c r="F869" t="s">
        <v>6058</v>
      </c>
      <c r="G869" s="2" t="str">
        <f>HYPERLINK("https://www.facebook.com/100003474386197/posts/1533774563415008")</f>
        <v>https://www.facebook.com/100003474386197/posts/1533774563415008</v>
      </c>
      <c r="H869" t="s">
        <v>6062</v>
      </c>
      <c r="I869" t="s">
        <v>1973</v>
      </c>
      <c r="J869" s="2" t="str">
        <f>HYPERLINK("https://www.facebook.com/100003474386197")</f>
        <v>https://www.facebook.com/100003474386197</v>
      </c>
      <c r="K869">
        <v>341</v>
      </c>
      <c r="L869" t="s">
        <v>6064</v>
      </c>
      <c r="N869" t="s">
        <v>13</v>
      </c>
      <c r="O869" t="s">
        <v>1973</v>
      </c>
      <c r="P869" s="2" t="str">
        <f>HYPERLINK("https://www.facebook.com/100003474386197")</f>
        <v>https://www.facebook.com/100003474386197</v>
      </c>
      <c r="Q869">
        <v>341</v>
      </c>
      <c r="R869" t="s">
        <v>6067</v>
      </c>
      <c r="S869" t="s">
        <v>6090</v>
      </c>
    </row>
    <row r="870" spans="1:19" ht="14.25" customHeight="1" x14ac:dyDescent="0.3">
      <c r="A870" t="s">
        <v>2225</v>
      </c>
      <c r="B870" t="s">
        <v>2847</v>
      </c>
      <c r="C870" t="s">
        <v>95</v>
      </c>
      <c r="D870" t="s">
        <v>544</v>
      </c>
      <c r="E870" t="s">
        <v>545</v>
      </c>
      <c r="F870" t="s">
        <v>6058</v>
      </c>
      <c r="G870" s="2" t="str">
        <f>HYPERLINK("https://www.facebook.com/100024918174094/posts/138984886942116")</f>
        <v>https://www.facebook.com/100024918174094/posts/138984886942116</v>
      </c>
      <c r="H870" t="s">
        <v>6062</v>
      </c>
      <c r="I870" t="s">
        <v>2861</v>
      </c>
      <c r="J870" s="2" t="str">
        <f>HYPERLINK("https://www.facebook.com/100024918174094")</f>
        <v>https://www.facebook.com/100024918174094</v>
      </c>
      <c r="K870">
        <v>247</v>
      </c>
      <c r="L870" t="s">
        <v>6064</v>
      </c>
      <c r="N870" t="s">
        <v>13</v>
      </c>
      <c r="O870" t="s">
        <v>2861</v>
      </c>
      <c r="P870" s="2" t="str">
        <f>HYPERLINK("https://www.facebook.com/100024918174094")</f>
        <v>https://www.facebook.com/100024918174094</v>
      </c>
      <c r="Q870">
        <v>247</v>
      </c>
      <c r="R870" t="s">
        <v>6067</v>
      </c>
    </row>
    <row r="871" spans="1:19" ht="14.25" customHeight="1" x14ac:dyDescent="0.3">
      <c r="A871" t="s">
        <v>629</v>
      </c>
      <c r="B871" t="s">
        <v>1523</v>
      </c>
      <c r="C871" t="s">
        <v>95</v>
      </c>
      <c r="D871" t="s">
        <v>370</v>
      </c>
      <c r="E871" t="s">
        <v>371</v>
      </c>
      <c r="F871" t="s">
        <v>6058</v>
      </c>
      <c r="G871" s="2" t="str">
        <f>HYPERLINK("https://www.facebook.com/100007272308727/posts/2002289436690114")</f>
        <v>https://www.facebook.com/100007272308727/posts/2002289436690114</v>
      </c>
      <c r="H871" t="s">
        <v>6062</v>
      </c>
      <c r="I871" t="s">
        <v>1525</v>
      </c>
      <c r="J871" s="2" t="str">
        <f>HYPERLINK("https://www.facebook.com/100007272308727")</f>
        <v>https://www.facebook.com/100007272308727</v>
      </c>
      <c r="K871">
        <v>97</v>
      </c>
      <c r="L871" t="s">
        <v>6063</v>
      </c>
      <c r="N871" t="s">
        <v>13</v>
      </c>
      <c r="O871" t="s">
        <v>1525</v>
      </c>
      <c r="P871" s="2" t="str">
        <f>HYPERLINK("https://www.facebook.com/100007272308727")</f>
        <v>https://www.facebook.com/100007272308727</v>
      </c>
      <c r="Q871">
        <v>97</v>
      </c>
      <c r="R871" t="s">
        <v>6067</v>
      </c>
      <c r="S871" t="s">
        <v>6073</v>
      </c>
    </row>
    <row r="872" spans="1:19" ht="14.25" customHeight="1" x14ac:dyDescent="0.3">
      <c r="A872" t="s">
        <v>4995</v>
      </c>
      <c r="B872" t="s">
        <v>1511</v>
      </c>
      <c r="C872" t="s">
        <v>3538</v>
      </c>
      <c r="D872" t="s">
        <v>5194</v>
      </c>
      <c r="E872" t="s">
        <v>5278</v>
      </c>
      <c r="F872" t="s">
        <v>6059</v>
      </c>
      <c r="G872" s="2" t="str">
        <f>HYPERLINK("https://www.facebook.com/1821931048038638/posts/2132070070358066?comment_id=2132087877022952")</f>
        <v>https://www.facebook.com/1821931048038638/posts/2132070070358066?comment_id=2132087877022952</v>
      </c>
      <c r="H872" t="s">
        <v>6062</v>
      </c>
      <c r="I872" t="s">
        <v>5279</v>
      </c>
      <c r="J872" s="2" t="str">
        <f>HYPERLINK("https://www.facebook.com/100007033920648")</f>
        <v>https://www.facebook.com/100007033920648</v>
      </c>
      <c r="K872">
        <v>255</v>
      </c>
      <c r="L872" t="s">
        <v>6063</v>
      </c>
      <c r="N872" t="s">
        <v>13</v>
      </c>
      <c r="O872" t="s">
        <v>5197</v>
      </c>
      <c r="P872" s="2" t="str">
        <f>HYPERLINK("https://www.facebook.com/1821931048038638")</f>
        <v>https://www.facebook.com/1821931048038638</v>
      </c>
      <c r="Q872">
        <v>722</v>
      </c>
      <c r="R872" t="s">
        <v>6067</v>
      </c>
      <c r="S872" t="s">
        <v>6073</v>
      </c>
    </row>
    <row r="873" spans="1:19" ht="14.25" customHeight="1" x14ac:dyDescent="0.3">
      <c r="A873" t="s">
        <v>4995</v>
      </c>
      <c r="B873" t="s">
        <v>1564</v>
      </c>
      <c r="C873" t="s">
        <v>3538</v>
      </c>
      <c r="D873" t="s">
        <v>5194</v>
      </c>
      <c r="E873" t="s">
        <v>5296</v>
      </c>
      <c r="F873" t="s">
        <v>6059</v>
      </c>
      <c r="G873" s="2" t="str">
        <f>HYPERLINK("https://www.facebook.com/1821931048038638/posts/2132070070358066?comment_id=2132081390356934")</f>
        <v>https://www.facebook.com/1821931048038638/posts/2132070070358066?comment_id=2132081390356934</v>
      </c>
      <c r="H873" t="s">
        <v>6062</v>
      </c>
      <c r="I873" t="s">
        <v>5279</v>
      </c>
      <c r="J873" s="2" t="str">
        <f>HYPERLINK("https://www.facebook.com/100007033920648")</f>
        <v>https://www.facebook.com/100007033920648</v>
      </c>
      <c r="K873">
        <v>255</v>
      </c>
      <c r="L873" t="s">
        <v>6063</v>
      </c>
      <c r="N873" t="s">
        <v>13</v>
      </c>
      <c r="O873" t="s">
        <v>5197</v>
      </c>
      <c r="P873" s="2" t="str">
        <f>HYPERLINK("https://www.facebook.com/1821931048038638")</f>
        <v>https://www.facebook.com/1821931048038638</v>
      </c>
      <c r="Q873">
        <v>722</v>
      </c>
      <c r="R873" t="s">
        <v>6067</v>
      </c>
      <c r="S873" t="s">
        <v>6073</v>
      </c>
    </row>
    <row r="874" spans="1:19" ht="14.25" customHeight="1" x14ac:dyDescent="0.3">
      <c r="A874" t="s">
        <v>4995</v>
      </c>
      <c r="B874" t="s">
        <v>1513</v>
      </c>
      <c r="C874" t="s">
        <v>3538</v>
      </c>
      <c r="D874" t="s">
        <v>5194</v>
      </c>
      <c r="E874" t="s">
        <v>5280</v>
      </c>
      <c r="F874" t="s">
        <v>6059</v>
      </c>
      <c r="G874" s="2" t="str">
        <f>HYPERLINK("https://www.facebook.com/1821931048038638/posts/2132070070358066?comment_id=2132087713689635")</f>
        <v>https://www.facebook.com/1821931048038638/posts/2132070070358066?comment_id=2132087713689635</v>
      </c>
      <c r="H874" t="s">
        <v>6062</v>
      </c>
      <c r="I874" t="s">
        <v>5279</v>
      </c>
      <c r="J874" s="2" t="str">
        <f>HYPERLINK("https://www.facebook.com/100007033920648")</f>
        <v>https://www.facebook.com/100007033920648</v>
      </c>
      <c r="K874">
        <v>255</v>
      </c>
      <c r="L874" t="s">
        <v>6063</v>
      </c>
      <c r="N874" t="s">
        <v>13</v>
      </c>
      <c r="O874" t="s">
        <v>5197</v>
      </c>
      <c r="P874" s="2" t="str">
        <f>HYPERLINK("https://www.facebook.com/1821931048038638")</f>
        <v>https://www.facebook.com/1821931048038638</v>
      </c>
      <c r="Q874">
        <v>722</v>
      </c>
      <c r="R874" t="s">
        <v>6067</v>
      </c>
      <c r="S874" t="s">
        <v>6073</v>
      </c>
    </row>
    <row r="875" spans="1:19" ht="14.25" customHeight="1" x14ac:dyDescent="0.3">
      <c r="A875" t="s">
        <v>3527</v>
      </c>
      <c r="B875" t="s">
        <v>1966</v>
      </c>
      <c r="C875" t="s">
        <v>3538</v>
      </c>
      <c r="D875" t="s">
        <v>4339</v>
      </c>
      <c r="E875" t="s">
        <v>4340</v>
      </c>
      <c r="F875" t="s">
        <v>6056</v>
      </c>
      <c r="G875" s="2" t="str">
        <f>HYPERLINK("https://www.facebook.com/100005626516031/posts/807906479406895")</f>
        <v>https://www.facebook.com/100005626516031/posts/807906479406895</v>
      </c>
      <c r="H875" t="s">
        <v>6062</v>
      </c>
      <c r="I875" t="s">
        <v>4341</v>
      </c>
      <c r="J875" s="2" t="str">
        <f>HYPERLINK("https://www.facebook.com/100005626516031")</f>
        <v>https://www.facebook.com/100005626516031</v>
      </c>
      <c r="K875">
        <v>216</v>
      </c>
      <c r="L875" t="s">
        <v>6063</v>
      </c>
      <c r="N875" t="s">
        <v>13</v>
      </c>
      <c r="O875" t="s">
        <v>4341</v>
      </c>
      <c r="P875" s="2" t="str">
        <f>HYPERLINK("https://www.facebook.com/100005626516031")</f>
        <v>https://www.facebook.com/100005626516031</v>
      </c>
      <c r="Q875">
        <v>216</v>
      </c>
      <c r="R875" t="s">
        <v>6067</v>
      </c>
      <c r="S875" t="s">
        <v>6073</v>
      </c>
    </row>
    <row r="876" spans="1:19" ht="14.25" customHeight="1" x14ac:dyDescent="0.3">
      <c r="A876" t="s">
        <v>629</v>
      </c>
      <c r="B876" t="s">
        <v>1302</v>
      </c>
      <c r="C876" t="s">
        <v>95</v>
      </c>
      <c r="D876" t="s">
        <v>10</v>
      </c>
      <c r="E876" t="s">
        <v>1303</v>
      </c>
      <c r="F876" t="s">
        <v>6059</v>
      </c>
      <c r="G876" s="2" t="str">
        <f>HYPERLINK("https://www.facebook.com/762053551/posts/10156366210158552?comment_id=10156366211883552")</f>
        <v>https://www.facebook.com/762053551/posts/10156366210158552?comment_id=10156366211883552</v>
      </c>
      <c r="H876" t="s">
        <v>6062</v>
      </c>
      <c r="I876" t="s">
        <v>1304</v>
      </c>
      <c r="J876" s="2" t="str">
        <f>HYPERLINK("https://www.facebook.com/100000754145160")</f>
        <v>https://www.facebook.com/100000754145160</v>
      </c>
      <c r="K876">
        <v>560</v>
      </c>
      <c r="L876" t="s">
        <v>6063</v>
      </c>
      <c r="N876" t="s">
        <v>13</v>
      </c>
      <c r="O876" t="s">
        <v>14</v>
      </c>
      <c r="P876" s="2" t="str">
        <f>HYPERLINK("https://www.facebook.com/762053551")</f>
        <v>https://www.facebook.com/762053551</v>
      </c>
      <c r="Q876">
        <v>102347</v>
      </c>
      <c r="R876" t="s">
        <v>6067</v>
      </c>
      <c r="S876" t="s">
        <v>6073</v>
      </c>
    </row>
    <row r="877" spans="1:19" ht="14.25" customHeight="1" x14ac:dyDescent="0.3">
      <c r="A877" t="s">
        <v>629</v>
      </c>
      <c r="B877" t="s">
        <v>286</v>
      </c>
      <c r="C877" t="s">
        <v>95</v>
      </c>
      <c r="D877" t="s">
        <v>1056</v>
      </c>
      <c r="E877" t="s">
        <v>1057</v>
      </c>
      <c r="F877" t="s">
        <v>6058</v>
      </c>
      <c r="G877" s="2" t="str">
        <f>HYPERLINK("https://www.facebook.com/100011724770428/posts/512776842456470")</f>
        <v>https://www.facebook.com/100011724770428/posts/512776842456470</v>
      </c>
      <c r="H877" t="s">
        <v>6062</v>
      </c>
      <c r="I877" t="s">
        <v>1510</v>
      </c>
      <c r="J877" s="2" t="str">
        <f>HYPERLINK("https://www.facebook.com/100011724770428")</f>
        <v>https://www.facebook.com/100011724770428</v>
      </c>
      <c r="K877">
        <v>313</v>
      </c>
      <c r="L877" t="s">
        <v>6063</v>
      </c>
      <c r="N877" t="s">
        <v>13</v>
      </c>
      <c r="O877" t="s">
        <v>1510</v>
      </c>
      <c r="P877" s="2" t="str">
        <f>HYPERLINK("https://www.facebook.com/100011724770428")</f>
        <v>https://www.facebook.com/100011724770428</v>
      </c>
      <c r="Q877">
        <v>313</v>
      </c>
      <c r="R877" t="s">
        <v>6067</v>
      </c>
      <c r="S877" t="s">
        <v>6073</v>
      </c>
    </row>
    <row r="878" spans="1:19" ht="14.25" customHeight="1" x14ac:dyDescent="0.3">
      <c r="A878" t="s">
        <v>629</v>
      </c>
      <c r="B878" t="s">
        <v>2063</v>
      </c>
      <c r="C878" t="s">
        <v>95</v>
      </c>
      <c r="D878" t="s">
        <v>1056</v>
      </c>
      <c r="E878" t="s">
        <v>1057</v>
      </c>
      <c r="F878" t="s">
        <v>6058</v>
      </c>
      <c r="G878" s="2" t="str">
        <f>HYPERLINK("https://www.facebook.com/100007790164254/posts/2024684731134513")</f>
        <v>https://www.facebook.com/100007790164254/posts/2024684731134513</v>
      </c>
      <c r="H878" t="s">
        <v>6062</v>
      </c>
      <c r="I878" t="s">
        <v>2064</v>
      </c>
      <c r="J878" s="2" t="str">
        <f>HYPERLINK("https://www.facebook.com/100007790164254")</f>
        <v>https://www.facebook.com/100007790164254</v>
      </c>
      <c r="K878">
        <v>42</v>
      </c>
      <c r="L878" t="s">
        <v>6063</v>
      </c>
      <c r="N878" t="s">
        <v>13</v>
      </c>
      <c r="O878" t="s">
        <v>2064</v>
      </c>
      <c r="P878" s="2" t="str">
        <f>HYPERLINK("https://www.facebook.com/100007790164254")</f>
        <v>https://www.facebook.com/100007790164254</v>
      </c>
      <c r="Q878">
        <v>42</v>
      </c>
      <c r="R878" t="s">
        <v>6067</v>
      </c>
      <c r="S878" t="s">
        <v>6087</v>
      </c>
    </row>
    <row r="879" spans="1:19" ht="14.25" customHeight="1" x14ac:dyDescent="0.3">
      <c r="A879" t="s">
        <v>4439</v>
      </c>
      <c r="B879" t="s">
        <v>1932</v>
      </c>
      <c r="C879" t="s">
        <v>3538</v>
      </c>
      <c r="D879" t="s">
        <v>4853</v>
      </c>
      <c r="E879" t="s">
        <v>4851</v>
      </c>
      <c r="F879" t="s">
        <v>6056</v>
      </c>
      <c r="G879" s="2" t="str">
        <f>HYPERLINK("https://www.facebook.com/100001174112270/posts/1687149368000851")</f>
        <v>https://www.facebook.com/100001174112270/posts/1687149368000851</v>
      </c>
      <c r="H879" t="s">
        <v>6062</v>
      </c>
      <c r="I879" t="s">
        <v>4854</v>
      </c>
      <c r="J879" s="2" t="str">
        <f>HYPERLINK("https://www.facebook.com/100001174112270")</f>
        <v>https://www.facebook.com/100001174112270</v>
      </c>
      <c r="K879">
        <v>194</v>
      </c>
      <c r="L879" t="s">
        <v>6063</v>
      </c>
      <c r="N879" t="s">
        <v>13</v>
      </c>
      <c r="O879" t="s">
        <v>4854</v>
      </c>
      <c r="P879" s="2" t="str">
        <f>HYPERLINK("https://www.facebook.com/100001174112270")</f>
        <v>https://www.facebook.com/100001174112270</v>
      </c>
      <c r="Q879">
        <v>194</v>
      </c>
      <c r="R879" t="s">
        <v>6067</v>
      </c>
      <c r="S879" t="s">
        <v>6073</v>
      </c>
    </row>
    <row r="880" spans="1:19" ht="14.25" customHeight="1" x14ac:dyDescent="0.3">
      <c r="A880" t="s">
        <v>629</v>
      </c>
      <c r="B880" t="s">
        <v>1172</v>
      </c>
      <c r="C880" t="s">
        <v>95</v>
      </c>
      <c r="D880" t="s">
        <v>10</v>
      </c>
      <c r="E880" t="s">
        <v>1178</v>
      </c>
      <c r="F880" t="s">
        <v>6059</v>
      </c>
      <c r="G880" s="2" t="str">
        <f>HYPERLINK("https://www.facebook.com/762053551/posts/10156366210158552?comment_id=10156366266593552")</f>
        <v>https://www.facebook.com/762053551/posts/10156366210158552?comment_id=10156366266593552</v>
      </c>
      <c r="H880" t="s">
        <v>6062</v>
      </c>
      <c r="I880" t="s">
        <v>1179</v>
      </c>
      <c r="J880" s="2" t="str">
        <f>HYPERLINK("https://www.facebook.com/100001430010276")</f>
        <v>https://www.facebook.com/100001430010276</v>
      </c>
      <c r="K880">
        <v>375</v>
      </c>
      <c r="L880" t="s">
        <v>6063</v>
      </c>
      <c r="N880" t="s">
        <v>13</v>
      </c>
      <c r="O880" t="s">
        <v>14</v>
      </c>
      <c r="P880" s="2" t="str">
        <f>HYPERLINK("https://www.facebook.com/762053551")</f>
        <v>https://www.facebook.com/762053551</v>
      </c>
      <c r="Q880">
        <v>102347</v>
      </c>
      <c r="R880" t="s">
        <v>6067</v>
      </c>
      <c r="S880" t="s">
        <v>6073</v>
      </c>
    </row>
    <row r="881" spans="1:19" ht="14.25" customHeight="1" x14ac:dyDescent="0.3">
      <c r="A881" t="s">
        <v>629</v>
      </c>
      <c r="B881" t="s">
        <v>309</v>
      </c>
      <c r="C881" t="s">
        <v>95</v>
      </c>
      <c r="D881" t="s">
        <v>1533</v>
      </c>
      <c r="E881" t="s">
        <v>1534</v>
      </c>
      <c r="F881" t="s">
        <v>6057</v>
      </c>
      <c r="G881" s="2" t="str">
        <f>HYPERLINK("https://www.facebook.com/1310149719/posts/10215883953994320")</f>
        <v>https://www.facebook.com/1310149719/posts/10215883953994320</v>
      </c>
      <c r="H881" t="s">
        <v>6062</v>
      </c>
      <c r="I881" t="s">
        <v>1535</v>
      </c>
      <c r="J881" s="2" t="str">
        <f>HYPERLINK("https://www.facebook.com/1310149719")</f>
        <v>https://www.facebook.com/1310149719</v>
      </c>
      <c r="K881">
        <v>103432</v>
      </c>
      <c r="L881" t="s">
        <v>6063</v>
      </c>
      <c r="M881">
        <v>44</v>
      </c>
      <c r="N881" t="s">
        <v>13</v>
      </c>
      <c r="O881" t="s">
        <v>1535</v>
      </c>
      <c r="P881" s="2" t="str">
        <f>HYPERLINK("https://www.facebook.com/1310149719")</f>
        <v>https://www.facebook.com/1310149719</v>
      </c>
      <c r="Q881">
        <v>103432</v>
      </c>
      <c r="R881" t="s">
        <v>6067</v>
      </c>
      <c r="S881" t="s">
        <v>6073</v>
      </c>
    </row>
    <row r="882" spans="1:19" ht="14.25" customHeight="1" x14ac:dyDescent="0.3">
      <c r="A882" t="s">
        <v>4439</v>
      </c>
      <c r="B882" t="s">
        <v>4967</v>
      </c>
      <c r="C882" t="s">
        <v>3538</v>
      </c>
      <c r="D882" t="s">
        <v>4801</v>
      </c>
      <c r="E882" t="s">
        <v>4968</v>
      </c>
      <c r="F882" t="s">
        <v>6059</v>
      </c>
      <c r="G882" s="2" t="str">
        <f>HYPERLINK("https://www.facebook.com/100000817437246/posts/1646973195339912?comment_id=1646976372006261")</f>
        <v>https://www.facebook.com/100000817437246/posts/1646973195339912?comment_id=1646976372006261</v>
      </c>
      <c r="H882" t="s">
        <v>6062</v>
      </c>
      <c r="I882" t="s">
        <v>4969</v>
      </c>
      <c r="J882" s="2" t="str">
        <f>HYPERLINK("https://www.facebook.com/100000953389200")</f>
        <v>https://www.facebook.com/100000953389200</v>
      </c>
      <c r="K882">
        <v>425</v>
      </c>
      <c r="L882" t="s">
        <v>6063</v>
      </c>
      <c r="N882" t="s">
        <v>13</v>
      </c>
      <c r="O882" t="s">
        <v>4804</v>
      </c>
      <c r="P882" s="2" t="str">
        <f>HYPERLINK("https://www.facebook.com/100000817437246")</f>
        <v>https://www.facebook.com/100000817437246</v>
      </c>
      <c r="Q882">
        <v>1821</v>
      </c>
      <c r="R882" t="s">
        <v>6067</v>
      </c>
      <c r="S882" t="s">
        <v>6073</v>
      </c>
    </row>
    <row r="883" spans="1:19" ht="14.25" customHeight="1" x14ac:dyDescent="0.3">
      <c r="A883" t="s">
        <v>629</v>
      </c>
      <c r="B883" t="s">
        <v>1857</v>
      </c>
      <c r="C883" t="s">
        <v>95</v>
      </c>
      <c r="D883" t="s">
        <v>370</v>
      </c>
      <c r="E883" t="s">
        <v>371</v>
      </c>
      <c r="F883" t="s">
        <v>6058</v>
      </c>
      <c r="G883" s="2" t="str">
        <f>HYPERLINK("https://www.facebook.com/337184890091165/posts/2144848885525331")</f>
        <v>https://www.facebook.com/337184890091165/posts/2144848885525331</v>
      </c>
      <c r="H883" t="s">
        <v>6062</v>
      </c>
      <c r="I883" t="s">
        <v>1861</v>
      </c>
      <c r="J883" s="2" t="str">
        <f>HYPERLINK("https://www.facebook.com/100000007207156")</f>
        <v>https://www.facebook.com/100000007207156</v>
      </c>
      <c r="K883">
        <v>117</v>
      </c>
      <c r="L883" t="s">
        <v>6064</v>
      </c>
      <c r="N883" t="s">
        <v>13</v>
      </c>
      <c r="O883" t="s">
        <v>1715</v>
      </c>
      <c r="P883" s="2" t="str">
        <f>HYPERLINK("https://www.facebook.com/337184890091165")</f>
        <v>https://www.facebook.com/337184890091165</v>
      </c>
      <c r="R883" t="s">
        <v>6067</v>
      </c>
      <c r="S883" t="s">
        <v>6073</v>
      </c>
    </row>
    <row r="884" spans="1:19" ht="14.25" customHeight="1" x14ac:dyDescent="0.3">
      <c r="A884" t="s">
        <v>629</v>
      </c>
      <c r="B884" t="s">
        <v>1862</v>
      </c>
      <c r="C884" t="s">
        <v>95</v>
      </c>
      <c r="D884" t="s">
        <v>370</v>
      </c>
      <c r="E884" t="s">
        <v>371</v>
      </c>
      <c r="F884" t="s">
        <v>6058</v>
      </c>
      <c r="G884" s="2" t="str">
        <f>HYPERLINK("https://www.facebook.com/595133910531812/posts/2144848465525373")</f>
        <v>https://www.facebook.com/595133910531812/posts/2144848465525373</v>
      </c>
      <c r="H884" t="s">
        <v>6062</v>
      </c>
      <c r="I884" t="s">
        <v>1861</v>
      </c>
      <c r="J884" s="2" t="str">
        <f>HYPERLINK("https://www.facebook.com/100000007207156")</f>
        <v>https://www.facebook.com/100000007207156</v>
      </c>
      <c r="K884">
        <v>117</v>
      </c>
      <c r="L884" t="s">
        <v>6064</v>
      </c>
      <c r="N884" t="s">
        <v>13</v>
      </c>
      <c r="O884" t="s">
        <v>1735</v>
      </c>
      <c r="P884" s="2" t="str">
        <f>HYPERLINK("https://www.facebook.com/595133910531812")</f>
        <v>https://www.facebook.com/595133910531812</v>
      </c>
      <c r="Q884">
        <v>1306</v>
      </c>
      <c r="R884" t="s">
        <v>6067</v>
      </c>
      <c r="S884" t="s">
        <v>6073</v>
      </c>
    </row>
    <row r="885" spans="1:19" ht="14.25" customHeight="1" x14ac:dyDescent="0.3">
      <c r="A885" t="s">
        <v>629</v>
      </c>
      <c r="B885" t="s">
        <v>1862</v>
      </c>
      <c r="C885" t="s">
        <v>95</v>
      </c>
      <c r="D885" t="s">
        <v>370</v>
      </c>
      <c r="E885" t="s">
        <v>371</v>
      </c>
      <c r="F885" t="s">
        <v>6058</v>
      </c>
      <c r="G885" s="2" t="str">
        <f>HYPERLINK("https://www.facebook.com/595133910531812/posts/1953748298003693")</f>
        <v>https://www.facebook.com/595133910531812/posts/1953748298003693</v>
      </c>
      <c r="H885" t="s">
        <v>6062</v>
      </c>
      <c r="I885" t="s">
        <v>1861</v>
      </c>
      <c r="J885" s="2" t="str">
        <f>HYPERLINK("https://www.facebook.com/100000007207156")</f>
        <v>https://www.facebook.com/100000007207156</v>
      </c>
      <c r="K885">
        <v>117</v>
      </c>
      <c r="L885" t="s">
        <v>6064</v>
      </c>
      <c r="N885" t="s">
        <v>13</v>
      </c>
      <c r="O885" t="s">
        <v>1735</v>
      </c>
      <c r="P885" s="2" t="str">
        <f>HYPERLINK("https://www.facebook.com/595133910531812")</f>
        <v>https://www.facebook.com/595133910531812</v>
      </c>
      <c r="Q885">
        <v>1306</v>
      </c>
      <c r="R885" t="s">
        <v>6067</v>
      </c>
      <c r="S885" t="s">
        <v>6073</v>
      </c>
    </row>
    <row r="886" spans="1:19" ht="14.25" customHeight="1" x14ac:dyDescent="0.3">
      <c r="A886" t="s">
        <v>629</v>
      </c>
      <c r="B886" t="s">
        <v>1862</v>
      </c>
      <c r="C886" t="s">
        <v>95</v>
      </c>
      <c r="D886" t="s">
        <v>370</v>
      </c>
      <c r="E886" t="s">
        <v>371</v>
      </c>
      <c r="F886" t="s">
        <v>6058</v>
      </c>
      <c r="G886" s="2" t="str">
        <f>HYPERLINK("https://www.facebook.com/125809651438834/posts/2144848145525405")</f>
        <v>https://www.facebook.com/125809651438834/posts/2144848145525405</v>
      </c>
      <c r="H886" t="s">
        <v>6062</v>
      </c>
      <c r="I886" t="s">
        <v>1861</v>
      </c>
      <c r="J886" s="2" t="str">
        <f>HYPERLINK("https://www.facebook.com/100000007207156")</f>
        <v>https://www.facebook.com/100000007207156</v>
      </c>
      <c r="K886">
        <v>117</v>
      </c>
      <c r="L886" t="s">
        <v>6064</v>
      </c>
      <c r="N886" t="s">
        <v>13</v>
      </c>
      <c r="O886" t="s">
        <v>1638</v>
      </c>
      <c r="P886" s="2" t="str">
        <f>HYPERLINK("https://www.facebook.com/125809651438834")</f>
        <v>https://www.facebook.com/125809651438834</v>
      </c>
      <c r="R886" t="s">
        <v>6067</v>
      </c>
      <c r="S886" t="s">
        <v>6073</v>
      </c>
    </row>
    <row r="887" spans="1:19" ht="14.25" customHeight="1" x14ac:dyDescent="0.3">
      <c r="A887" t="s">
        <v>629</v>
      </c>
      <c r="B887" t="s">
        <v>1975</v>
      </c>
      <c r="C887" t="s">
        <v>95</v>
      </c>
      <c r="D887" t="s">
        <v>370</v>
      </c>
      <c r="E887" t="s">
        <v>371</v>
      </c>
      <c r="F887" t="s">
        <v>6058</v>
      </c>
      <c r="G887" s="2" t="str">
        <f>HYPERLINK("https://www.facebook.com/100000007207156/posts/2144825465527673")</f>
        <v>https://www.facebook.com/100000007207156/posts/2144825465527673</v>
      </c>
      <c r="H887" t="s">
        <v>6062</v>
      </c>
      <c r="I887" t="s">
        <v>1861</v>
      </c>
      <c r="J887" s="2" t="str">
        <f>HYPERLINK("https://www.facebook.com/100000007207156")</f>
        <v>https://www.facebook.com/100000007207156</v>
      </c>
      <c r="K887">
        <v>117</v>
      </c>
      <c r="L887" t="s">
        <v>6064</v>
      </c>
      <c r="N887" t="s">
        <v>13</v>
      </c>
      <c r="O887" t="s">
        <v>1861</v>
      </c>
      <c r="P887" s="2" t="str">
        <f>HYPERLINK("https://www.facebook.com/100000007207156")</f>
        <v>https://www.facebook.com/100000007207156</v>
      </c>
      <c r="Q887">
        <v>117</v>
      </c>
      <c r="R887" t="s">
        <v>6067</v>
      </c>
      <c r="S887" t="s">
        <v>6073</v>
      </c>
    </row>
    <row r="888" spans="1:19" ht="14.25" customHeight="1" x14ac:dyDescent="0.3">
      <c r="A888" t="s">
        <v>629</v>
      </c>
      <c r="B888" t="s">
        <v>1360</v>
      </c>
      <c r="C888" t="s">
        <v>95</v>
      </c>
      <c r="D888" t="s">
        <v>667</v>
      </c>
      <c r="E888" t="s">
        <v>668</v>
      </c>
      <c r="F888" t="s">
        <v>6058</v>
      </c>
      <c r="G888" s="2" t="str">
        <f>HYPERLINK("https://www.facebook.com/100002403165193/posts/1644154832341273")</f>
        <v>https://www.facebook.com/100002403165193/posts/1644154832341273</v>
      </c>
      <c r="H888" t="s">
        <v>6062</v>
      </c>
      <c r="I888" t="s">
        <v>1361</v>
      </c>
      <c r="J888" s="2" t="str">
        <f>HYPERLINK("https://www.facebook.com/100002403165193")</f>
        <v>https://www.facebook.com/100002403165193</v>
      </c>
      <c r="K888">
        <v>583</v>
      </c>
      <c r="L888" t="s">
        <v>6063</v>
      </c>
      <c r="N888" t="s">
        <v>13</v>
      </c>
      <c r="O888" t="s">
        <v>1361</v>
      </c>
      <c r="P888" s="2" t="str">
        <f>HYPERLINK("https://www.facebook.com/100002403165193")</f>
        <v>https://www.facebook.com/100002403165193</v>
      </c>
      <c r="Q888">
        <v>583</v>
      </c>
      <c r="R888" t="s">
        <v>6067</v>
      </c>
    </row>
    <row r="889" spans="1:19" ht="14.25" customHeight="1" x14ac:dyDescent="0.3">
      <c r="A889" t="s">
        <v>3527</v>
      </c>
      <c r="B889" t="s">
        <v>1375</v>
      </c>
      <c r="C889" t="s">
        <v>95</v>
      </c>
      <c r="D889" t="s">
        <v>4047</v>
      </c>
      <c r="E889" t="s">
        <v>4048</v>
      </c>
      <c r="F889" t="s">
        <v>6058</v>
      </c>
      <c r="G889" s="2" t="str">
        <f>HYPERLINK("https://www.facebook.com/100014913492279/posts/362224080951372")</f>
        <v>https://www.facebook.com/100014913492279/posts/362224080951372</v>
      </c>
      <c r="H889" t="s">
        <v>6062</v>
      </c>
      <c r="I889" t="s">
        <v>4218</v>
      </c>
      <c r="J889" s="2" t="str">
        <f>HYPERLINK("https://www.facebook.com/100014913492279")</f>
        <v>https://www.facebook.com/100014913492279</v>
      </c>
      <c r="K889">
        <v>0</v>
      </c>
      <c r="L889" t="s">
        <v>6063</v>
      </c>
      <c r="N889" t="s">
        <v>13</v>
      </c>
      <c r="O889" t="s">
        <v>4218</v>
      </c>
      <c r="P889" s="2" t="str">
        <f>HYPERLINK("https://www.facebook.com/100014913492279")</f>
        <v>https://www.facebook.com/100014913492279</v>
      </c>
      <c r="Q889">
        <v>0</v>
      </c>
      <c r="R889" t="s">
        <v>6067</v>
      </c>
    </row>
    <row r="890" spans="1:19" ht="14.25" customHeight="1" x14ac:dyDescent="0.3">
      <c r="A890" t="s">
        <v>3527</v>
      </c>
      <c r="B890" t="s">
        <v>4214</v>
      </c>
      <c r="C890" t="s">
        <v>95</v>
      </c>
      <c r="D890" t="s">
        <v>4216</v>
      </c>
      <c r="E890" t="s">
        <v>4217</v>
      </c>
      <c r="F890" t="s">
        <v>6058</v>
      </c>
      <c r="G890" s="2" t="str">
        <f>HYPERLINK("https://www.facebook.com/100014913492279/posts/362224330951347")</f>
        <v>https://www.facebook.com/100014913492279/posts/362224330951347</v>
      </c>
      <c r="H890" t="s">
        <v>6062</v>
      </c>
      <c r="I890" t="s">
        <v>4218</v>
      </c>
      <c r="J890" s="2" t="str">
        <f>HYPERLINK("https://www.facebook.com/100014913492279")</f>
        <v>https://www.facebook.com/100014913492279</v>
      </c>
      <c r="K890">
        <v>0</v>
      </c>
      <c r="L890" t="s">
        <v>6063</v>
      </c>
      <c r="N890" t="s">
        <v>13</v>
      </c>
      <c r="O890" t="s">
        <v>4218</v>
      </c>
      <c r="P890" s="2" t="str">
        <f>HYPERLINK("https://www.facebook.com/100014913492279")</f>
        <v>https://www.facebook.com/100014913492279</v>
      </c>
      <c r="Q890">
        <v>0</v>
      </c>
      <c r="R890" t="s">
        <v>6067</v>
      </c>
    </row>
    <row r="891" spans="1:19" ht="14.25" customHeight="1" x14ac:dyDescent="0.3">
      <c r="A891" t="s">
        <v>2225</v>
      </c>
      <c r="B891" t="s">
        <v>3169</v>
      </c>
      <c r="C891" t="s">
        <v>95</v>
      </c>
      <c r="D891" t="s">
        <v>2086</v>
      </c>
      <c r="E891" t="s">
        <v>3170</v>
      </c>
      <c r="F891" t="s">
        <v>6059</v>
      </c>
      <c r="G891" s="2" t="str">
        <f>HYPERLINK("https://www.facebook.com/100001463526763/posts/1766213380104096?comment_id=1766340636758037")</f>
        <v>https://www.facebook.com/100001463526763/posts/1766213380104096?comment_id=1766340636758037</v>
      </c>
      <c r="H891" t="s">
        <v>6062</v>
      </c>
      <c r="I891" t="s">
        <v>3171</v>
      </c>
      <c r="J891" s="2" t="str">
        <f>HYPERLINK("https://www.facebook.com/100008892432975")</f>
        <v>https://www.facebook.com/100008892432975</v>
      </c>
      <c r="K891">
        <v>35</v>
      </c>
      <c r="L891" t="s">
        <v>6063</v>
      </c>
      <c r="N891" t="s">
        <v>13</v>
      </c>
      <c r="O891" t="s">
        <v>2089</v>
      </c>
      <c r="P891" s="2" t="str">
        <f>HYPERLINK("https://www.facebook.com/100001463526763")</f>
        <v>https://www.facebook.com/100001463526763</v>
      </c>
      <c r="Q891">
        <v>73186</v>
      </c>
      <c r="R891" t="s">
        <v>6067</v>
      </c>
      <c r="S891" t="s">
        <v>6099</v>
      </c>
    </row>
    <row r="892" spans="1:19" ht="14.25" customHeight="1" x14ac:dyDescent="0.3">
      <c r="A892" t="s">
        <v>629</v>
      </c>
      <c r="B892" t="s">
        <v>1107</v>
      </c>
      <c r="C892" t="s">
        <v>95</v>
      </c>
      <c r="D892" t="s">
        <v>10</v>
      </c>
      <c r="E892" t="s">
        <v>1110</v>
      </c>
      <c r="F892" t="s">
        <v>6059</v>
      </c>
      <c r="G892" s="2" t="str">
        <f>HYPERLINK("https://www.facebook.com/762053551/posts/10156366210158552?comment_id=10156366318778552")</f>
        <v>https://www.facebook.com/762053551/posts/10156366210158552?comment_id=10156366318778552</v>
      </c>
      <c r="H892" t="s">
        <v>6062</v>
      </c>
      <c r="I892" t="s">
        <v>1111</v>
      </c>
      <c r="J892" s="2" t="str">
        <f>HYPERLINK("https://www.facebook.com/100001517355643")</f>
        <v>https://www.facebook.com/100001517355643</v>
      </c>
      <c r="K892">
        <v>160</v>
      </c>
      <c r="L892" t="s">
        <v>6063</v>
      </c>
      <c r="N892" t="s">
        <v>13</v>
      </c>
      <c r="O892" t="s">
        <v>14</v>
      </c>
      <c r="P892" s="2" t="str">
        <f>HYPERLINK("https://www.facebook.com/762053551")</f>
        <v>https://www.facebook.com/762053551</v>
      </c>
      <c r="Q892">
        <v>102347</v>
      </c>
      <c r="R892" t="s">
        <v>6067</v>
      </c>
      <c r="S892" t="s">
        <v>6075</v>
      </c>
    </row>
    <row r="893" spans="1:19" ht="14.25" customHeight="1" x14ac:dyDescent="0.3">
      <c r="A893" t="s">
        <v>629</v>
      </c>
      <c r="B893" t="s">
        <v>1203</v>
      </c>
      <c r="C893" t="s">
        <v>95</v>
      </c>
      <c r="D893" t="s">
        <v>10</v>
      </c>
      <c r="E893" t="s">
        <v>1206</v>
      </c>
      <c r="F893" t="s">
        <v>6059</v>
      </c>
      <c r="G893" s="2" t="str">
        <f>HYPERLINK("https://www.facebook.com/762053551/posts/10156366210158552?comment_id=10156366252888552")</f>
        <v>https://www.facebook.com/762053551/posts/10156366210158552?comment_id=10156366252888552</v>
      </c>
      <c r="H893" t="s">
        <v>6062</v>
      </c>
      <c r="I893" t="s">
        <v>1207</v>
      </c>
      <c r="J893" s="2" t="str">
        <f>HYPERLINK("https://www.facebook.com/1063178051")</f>
        <v>https://www.facebook.com/1063178051</v>
      </c>
      <c r="K893">
        <v>5166</v>
      </c>
      <c r="L893" t="s">
        <v>6063</v>
      </c>
      <c r="N893" t="s">
        <v>13</v>
      </c>
      <c r="O893" t="s">
        <v>14</v>
      </c>
      <c r="P893" s="2" t="str">
        <f>HYPERLINK("https://www.facebook.com/762053551")</f>
        <v>https://www.facebook.com/762053551</v>
      </c>
      <c r="Q893">
        <v>102347</v>
      </c>
      <c r="R893" t="s">
        <v>6067</v>
      </c>
      <c r="S893" t="s">
        <v>6073</v>
      </c>
    </row>
    <row r="894" spans="1:19" ht="14.25" customHeight="1" x14ac:dyDescent="0.3">
      <c r="A894" t="s">
        <v>4439</v>
      </c>
      <c r="B894" t="s">
        <v>2392</v>
      </c>
      <c r="C894" t="s">
        <v>3538</v>
      </c>
      <c r="D894" t="s">
        <v>4318</v>
      </c>
      <c r="E894" t="s">
        <v>4482</v>
      </c>
      <c r="F894" t="s">
        <v>6059</v>
      </c>
      <c r="G894" s="2" t="str">
        <f>HYPERLINK("https://www.facebook.com/554205551637027/posts/691121914612056?comment_id=692683797789201")</f>
        <v>https://www.facebook.com/554205551637027/posts/691121914612056?comment_id=692683797789201</v>
      </c>
      <c r="H894" t="s">
        <v>6062</v>
      </c>
      <c r="I894" t="s">
        <v>4483</v>
      </c>
      <c r="J894" s="2" t="str">
        <f>HYPERLINK("https://www.facebook.com/100011580637358")</f>
        <v>https://www.facebook.com/100011580637358</v>
      </c>
      <c r="K894">
        <v>214</v>
      </c>
      <c r="L894" t="s">
        <v>6063</v>
      </c>
      <c r="N894" t="s">
        <v>13</v>
      </c>
      <c r="O894" t="s">
        <v>4320</v>
      </c>
      <c r="P894" s="2" t="str">
        <f>HYPERLINK("https://www.facebook.com/554205551637027")</f>
        <v>https://www.facebook.com/554205551637027</v>
      </c>
      <c r="Q894">
        <v>7646</v>
      </c>
      <c r="R894" t="s">
        <v>6067</v>
      </c>
      <c r="S894" t="s">
        <v>6073</v>
      </c>
    </row>
    <row r="895" spans="1:19" ht="14.25" customHeight="1" x14ac:dyDescent="0.3">
      <c r="A895" t="s">
        <v>629</v>
      </c>
      <c r="B895" t="s">
        <v>2124</v>
      </c>
      <c r="C895" t="s">
        <v>95</v>
      </c>
      <c r="D895" t="s">
        <v>544</v>
      </c>
      <c r="E895" t="s">
        <v>545</v>
      </c>
      <c r="F895" t="s">
        <v>6058</v>
      </c>
      <c r="G895" s="2" t="str">
        <f>HYPERLINK("https://www.facebook.com/100014588860370/posts/360401851122774")</f>
        <v>https://www.facebook.com/100014588860370/posts/360401851122774</v>
      </c>
      <c r="H895" t="s">
        <v>6062</v>
      </c>
      <c r="I895" t="s">
        <v>1927</v>
      </c>
      <c r="J895" s="2" t="str">
        <f>HYPERLINK("https://www.facebook.com/100014588860370")</f>
        <v>https://www.facebook.com/100014588860370</v>
      </c>
      <c r="K895">
        <v>241</v>
      </c>
      <c r="L895" t="s">
        <v>6063</v>
      </c>
      <c r="N895" t="s">
        <v>13</v>
      </c>
      <c r="O895" t="s">
        <v>1927</v>
      </c>
      <c r="P895" s="2" t="str">
        <f>HYPERLINK("https://www.facebook.com/100014588860370")</f>
        <v>https://www.facebook.com/100014588860370</v>
      </c>
      <c r="Q895">
        <v>241</v>
      </c>
      <c r="R895" t="s">
        <v>6067</v>
      </c>
      <c r="S895" t="s">
        <v>6101</v>
      </c>
    </row>
    <row r="896" spans="1:19" ht="14.25" customHeight="1" x14ac:dyDescent="0.3">
      <c r="A896" t="s">
        <v>629</v>
      </c>
      <c r="B896" t="s">
        <v>1924</v>
      </c>
      <c r="C896" t="s">
        <v>95</v>
      </c>
      <c r="D896" t="s">
        <v>370</v>
      </c>
      <c r="E896" t="s">
        <v>371</v>
      </c>
      <c r="F896" t="s">
        <v>6058</v>
      </c>
      <c r="G896" s="2" t="str">
        <f>HYPERLINK("https://www.facebook.com/100014588860370/posts/360516144444678")</f>
        <v>https://www.facebook.com/100014588860370/posts/360516144444678</v>
      </c>
      <c r="H896" t="s">
        <v>6062</v>
      </c>
      <c r="I896" t="s">
        <v>1927</v>
      </c>
      <c r="J896" s="2" t="str">
        <f>HYPERLINK("https://www.facebook.com/100014588860370")</f>
        <v>https://www.facebook.com/100014588860370</v>
      </c>
      <c r="K896">
        <v>241</v>
      </c>
      <c r="L896" t="s">
        <v>6063</v>
      </c>
      <c r="N896" t="s">
        <v>13</v>
      </c>
      <c r="O896" t="s">
        <v>1927</v>
      </c>
      <c r="P896" s="2" t="str">
        <f>HYPERLINK("https://www.facebook.com/100014588860370")</f>
        <v>https://www.facebook.com/100014588860370</v>
      </c>
      <c r="Q896">
        <v>241</v>
      </c>
      <c r="R896" t="s">
        <v>6067</v>
      </c>
      <c r="S896" t="s">
        <v>6101</v>
      </c>
    </row>
    <row r="897" spans="1:19" ht="14.25" customHeight="1" x14ac:dyDescent="0.3">
      <c r="A897" t="s">
        <v>629</v>
      </c>
      <c r="B897" t="s">
        <v>2125</v>
      </c>
      <c r="C897" t="s">
        <v>95</v>
      </c>
      <c r="D897" t="s">
        <v>853</v>
      </c>
      <c r="E897" t="s">
        <v>2126</v>
      </c>
      <c r="F897" t="s">
        <v>6059</v>
      </c>
      <c r="G897" s="2" t="str">
        <f>HYPERLINK("https://www.facebook.com/100008934274771/posts/1810262525948206?comment_id=1810344359273356")</f>
        <v>https://www.facebook.com/100008934274771/posts/1810262525948206?comment_id=1810344359273356</v>
      </c>
      <c r="H897" t="s">
        <v>6062</v>
      </c>
      <c r="I897" t="s">
        <v>2127</v>
      </c>
      <c r="J897" s="2" t="str">
        <f t="shared" ref="J897:J904" si="23">HYPERLINK("https://www.facebook.com/100004688678996")</f>
        <v>https://www.facebook.com/100004688678996</v>
      </c>
      <c r="K897">
        <v>35</v>
      </c>
      <c r="L897" t="s">
        <v>6063</v>
      </c>
      <c r="N897" t="s">
        <v>13</v>
      </c>
      <c r="O897" t="s">
        <v>856</v>
      </c>
      <c r="P897" s="2" t="str">
        <f t="shared" ref="P897:P904" si="24">HYPERLINK("https://www.facebook.com/100008934274771")</f>
        <v>https://www.facebook.com/100008934274771</v>
      </c>
      <c r="Q897">
        <v>10395</v>
      </c>
      <c r="R897" t="s">
        <v>6067</v>
      </c>
      <c r="S897" t="s">
        <v>6073</v>
      </c>
    </row>
    <row r="898" spans="1:19" ht="14.25" customHeight="1" x14ac:dyDescent="0.3">
      <c r="A898" t="s">
        <v>629</v>
      </c>
      <c r="B898" t="s">
        <v>2140</v>
      </c>
      <c r="C898" t="s">
        <v>95</v>
      </c>
      <c r="D898" t="s">
        <v>853</v>
      </c>
      <c r="E898" t="s">
        <v>2141</v>
      </c>
      <c r="F898" t="s">
        <v>6059</v>
      </c>
      <c r="G898" s="2" t="str">
        <f>HYPERLINK("https://www.facebook.com/100008934274771/posts/1810262525948206?comment_id=1810342865940172")</f>
        <v>https://www.facebook.com/100008934274771/posts/1810262525948206?comment_id=1810342865940172</v>
      </c>
      <c r="H898" t="s">
        <v>6062</v>
      </c>
      <c r="I898" t="s">
        <v>2127</v>
      </c>
      <c r="J898" s="2" t="str">
        <f t="shared" si="23"/>
        <v>https://www.facebook.com/100004688678996</v>
      </c>
      <c r="K898">
        <v>35</v>
      </c>
      <c r="L898" t="s">
        <v>6063</v>
      </c>
      <c r="N898" t="s">
        <v>13</v>
      </c>
      <c r="O898" t="s">
        <v>856</v>
      </c>
      <c r="P898" s="2" t="str">
        <f t="shared" si="24"/>
        <v>https://www.facebook.com/100008934274771</v>
      </c>
      <c r="Q898">
        <v>10395</v>
      </c>
      <c r="R898" t="s">
        <v>6067</v>
      </c>
      <c r="S898" t="s">
        <v>6073</v>
      </c>
    </row>
    <row r="899" spans="1:19" ht="14.25" customHeight="1" x14ac:dyDescent="0.3">
      <c r="A899" t="s">
        <v>629</v>
      </c>
      <c r="B899" t="s">
        <v>2136</v>
      </c>
      <c r="C899" t="s">
        <v>95</v>
      </c>
      <c r="D899" t="s">
        <v>853</v>
      </c>
      <c r="E899" t="s">
        <v>2139</v>
      </c>
      <c r="F899" t="s">
        <v>6059</v>
      </c>
      <c r="G899" s="2" t="str">
        <f>HYPERLINK("https://www.facebook.com/100008934274771/posts/1810262525948206?comment_id=1810343302606795")</f>
        <v>https://www.facebook.com/100008934274771/posts/1810262525948206?comment_id=1810343302606795</v>
      </c>
      <c r="H899" t="s">
        <v>6062</v>
      </c>
      <c r="I899" t="s">
        <v>2127</v>
      </c>
      <c r="J899" s="2" t="str">
        <f t="shared" si="23"/>
        <v>https://www.facebook.com/100004688678996</v>
      </c>
      <c r="K899">
        <v>35</v>
      </c>
      <c r="L899" t="s">
        <v>6063</v>
      </c>
      <c r="N899" t="s">
        <v>13</v>
      </c>
      <c r="O899" t="s">
        <v>856</v>
      </c>
      <c r="P899" s="2" t="str">
        <f t="shared" si="24"/>
        <v>https://www.facebook.com/100008934274771</v>
      </c>
      <c r="Q899">
        <v>10395</v>
      </c>
      <c r="R899" t="s">
        <v>6067</v>
      </c>
      <c r="S899" t="s">
        <v>6073</v>
      </c>
    </row>
    <row r="900" spans="1:19" ht="14.25" customHeight="1" x14ac:dyDescent="0.3">
      <c r="A900" t="s">
        <v>629</v>
      </c>
      <c r="B900" t="s">
        <v>2131</v>
      </c>
      <c r="C900" t="s">
        <v>95</v>
      </c>
      <c r="D900" t="s">
        <v>853</v>
      </c>
      <c r="E900" t="s">
        <v>2132</v>
      </c>
      <c r="F900" t="s">
        <v>6059</v>
      </c>
      <c r="G900" s="2" t="str">
        <f>HYPERLINK("https://www.facebook.com/100008934274771/posts/1810262525948206?comment_id=1810343855940073")</f>
        <v>https://www.facebook.com/100008934274771/posts/1810262525948206?comment_id=1810343855940073</v>
      </c>
      <c r="H900" t="s">
        <v>6062</v>
      </c>
      <c r="I900" t="s">
        <v>2127</v>
      </c>
      <c r="J900" s="2" t="str">
        <f t="shared" si="23"/>
        <v>https://www.facebook.com/100004688678996</v>
      </c>
      <c r="K900">
        <v>35</v>
      </c>
      <c r="L900" t="s">
        <v>6063</v>
      </c>
      <c r="N900" t="s">
        <v>13</v>
      </c>
      <c r="O900" t="s">
        <v>856</v>
      </c>
      <c r="P900" s="2" t="str">
        <f t="shared" si="24"/>
        <v>https://www.facebook.com/100008934274771</v>
      </c>
      <c r="Q900">
        <v>10395</v>
      </c>
      <c r="R900" t="s">
        <v>6067</v>
      </c>
      <c r="S900" t="s">
        <v>6073</v>
      </c>
    </row>
    <row r="901" spans="1:19" ht="14.25" customHeight="1" x14ac:dyDescent="0.3">
      <c r="A901" t="s">
        <v>629</v>
      </c>
      <c r="B901" t="s">
        <v>2125</v>
      </c>
      <c r="C901" t="s">
        <v>95</v>
      </c>
      <c r="D901" t="s">
        <v>853</v>
      </c>
      <c r="E901" t="s">
        <v>2128</v>
      </c>
      <c r="F901" t="s">
        <v>6059</v>
      </c>
      <c r="G901" s="2" t="str">
        <f>HYPERLINK("https://www.facebook.com/100008934274771/posts/1810262525948206?comment_id=1810344289273363")</f>
        <v>https://www.facebook.com/100008934274771/posts/1810262525948206?comment_id=1810344289273363</v>
      </c>
      <c r="H901" t="s">
        <v>6062</v>
      </c>
      <c r="I901" t="s">
        <v>2127</v>
      </c>
      <c r="J901" s="2" t="str">
        <f t="shared" si="23"/>
        <v>https://www.facebook.com/100004688678996</v>
      </c>
      <c r="K901">
        <v>35</v>
      </c>
      <c r="L901" t="s">
        <v>6063</v>
      </c>
      <c r="N901" t="s">
        <v>13</v>
      </c>
      <c r="O901" t="s">
        <v>856</v>
      </c>
      <c r="P901" s="2" t="str">
        <f t="shared" si="24"/>
        <v>https://www.facebook.com/100008934274771</v>
      </c>
      <c r="Q901">
        <v>10395</v>
      </c>
      <c r="R901" t="s">
        <v>6067</v>
      </c>
      <c r="S901" t="s">
        <v>6073</v>
      </c>
    </row>
    <row r="902" spans="1:19" ht="14.25" customHeight="1" x14ac:dyDescent="0.3">
      <c r="A902" t="s">
        <v>629</v>
      </c>
      <c r="B902" t="s">
        <v>2136</v>
      </c>
      <c r="C902" t="s">
        <v>95</v>
      </c>
      <c r="D902" t="s">
        <v>853</v>
      </c>
      <c r="E902" t="s">
        <v>2137</v>
      </c>
      <c r="F902" t="s">
        <v>6059</v>
      </c>
      <c r="G902" s="2" t="str">
        <f>HYPERLINK("https://www.facebook.com/100008934274771/posts/1810262525948206?comment_id=1810343369273455")</f>
        <v>https://www.facebook.com/100008934274771/posts/1810262525948206?comment_id=1810343369273455</v>
      </c>
      <c r="H902" t="s">
        <v>6062</v>
      </c>
      <c r="I902" t="s">
        <v>2127</v>
      </c>
      <c r="J902" s="2" t="str">
        <f t="shared" si="23"/>
        <v>https://www.facebook.com/100004688678996</v>
      </c>
      <c r="K902">
        <v>35</v>
      </c>
      <c r="L902" t="s">
        <v>6063</v>
      </c>
      <c r="N902" t="s">
        <v>13</v>
      </c>
      <c r="O902" t="s">
        <v>856</v>
      </c>
      <c r="P902" s="2" t="str">
        <f t="shared" si="24"/>
        <v>https://www.facebook.com/100008934274771</v>
      </c>
      <c r="Q902">
        <v>10395</v>
      </c>
      <c r="R902" t="s">
        <v>6067</v>
      </c>
      <c r="S902" t="s">
        <v>6073</v>
      </c>
    </row>
    <row r="903" spans="1:19" ht="14.25" customHeight="1" x14ac:dyDescent="0.3">
      <c r="A903" t="s">
        <v>629</v>
      </c>
      <c r="B903" t="s">
        <v>2131</v>
      </c>
      <c r="C903" t="s">
        <v>95</v>
      </c>
      <c r="D903" t="s">
        <v>853</v>
      </c>
      <c r="E903" t="s">
        <v>2133</v>
      </c>
      <c r="F903" t="s">
        <v>6059</v>
      </c>
      <c r="G903" s="2" t="str">
        <f>HYPERLINK("https://www.facebook.com/100008934274771/posts/1810262525948206?comment_id=1810343792606746")</f>
        <v>https://www.facebook.com/100008934274771/posts/1810262525948206?comment_id=1810343792606746</v>
      </c>
      <c r="H903" t="s">
        <v>6062</v>
      </c>
      <c r="I903" t="s">
        <v>2127</v>
      </c>
      <c r="J903" s="2" t="str">
        <f t="shared" si="23"/>
        <v>https://www.facebook.com/100004688678996</v>
      </c>
      <c r="K903">
        <v>35</v>
      </c>
      <c r="L903" t="s">
        <v>6063</v>
      </c>
      <c r="N903" t="s">
        <v>13</v>
      </c>
      <c r="O903" t="s">
        <v>856</v>
      </c>
      <c r="P903" s="2" t="str">
        <f t="shared" si="24"/>
        <v>https://www.facebook.com/100008934274771</v>
      </c>
      <c r="Q903">
        <v>10395</v>
      </c>
      <c r="R903" t="s">
        <v>6067</v>
      </c>
      <c r="S903" t="s">
        <v>6073</v>
      </c>
    </row>
    <row r="904" spans="1:19" ht="14.25" customHeight="1" x14ac:dyDescent="0.3">
      <c r="A904" t="s">
        <v>629</v>
      </c>
      <c r="B904" t="s">
        <v>2129</v>
      </c>
      <c r="C904" t="s">
        <v>95</v>
      </c>
      <c r="D904" t="s">
        <v>853</v>
      </c>
      <c r="E904" t="s">
        <v>2130</v>
      </c>
      <c r="F904" t="s">
        <v>6059</v>
      </c>
      <c r="G904" s="2" t="str">
        <f>HYPERLINK("https://www.facebook.com/100008934274771/posts/1810262525948206?comment_id=1810344152606710")</f>
        <v>https://www.facebook.com/100008934274771/posts/1810262525948206?comment_id=1810344152606710</v>
      </c>
      <c r="H904" t="s">
        <v>6062</v>
      </c>
      <c r="I904" t="s">
        <v>2127</v>
      </c>
      <c r="J904" s="2" t="str">
        <f t="shared" si="23"/>
        <v>https://www.facebook.com/100004688678996</v>
      </c>
      <c r="K904">
        <v>35</v>
      </c>
      <c r="L904" t="s">
        <v>6063</v>
      </c>
      <c r="N904" t="s">
        <v>13</v>
      </c>
      <c r="O904" t="s">
        <v>856</v>
      </c>
      <c r="P904" s="2" t="str">
        <f t="shared" si="24"/>
        <v>https://www.facebook.com/100008934274771</v>
      </c>
      <c r="Q904">
        <v>10395</v>
      </c>
      <c r="R904" t="s">
        <v>6067</v>
      </c>
      <c r="S904" t="s">
        <v>6073</v>
      </c>
    </row>
    <row r="905" spans="1:19" ht="14.25" customHeight="1" x14ac:dyDescent="0.3">
      <c r="A905" t="s">
        <v>1</v>
      </c>
      <c r="B905" t="s">
        <v>572</v>
      </c>
      <c r="C905" t="s">
        <v>95</v>
      </c>
      <c r="D905" t="s">
        <v>10</v>
      </c>
      <c r="E905" t="s">
        <v>576</v>
      </c>
      <c r="F905" t="s">
        <v>6059</v>
      </c>
      <c r="G905" s="2" t="str">
        <f>HYPERLINK("https://www.facebook.com/1070092426/posts/10213398046920195?comment_id=10213399444355130")</f>
        <v>https://www.facebook.com/1070092426/posts/10213398046920195?comment_id=10213399444355130</v>
      </c>
      <c r="H905" t="s">
        <v>6062</v>
      </c>
      <c r="I905" t="s">
        <v>577</v>
      </c>
      <c r="J905" s="2" t="str">
        <f>HYPERLINK("https://www.facebook.com/100001858962303")</f>
        <v>https://www.facebook.com/100001858962303</v>
      </c>
      <c r="K905">
        <v>0</v>
      </c>
      <c r="L905" t="s">
        <v>6064</v>
      </c>
      <c r="N905" t="s">
        <v>13</v>
      </c>
      <c r="O905" t="s">
        <v>314</v>
      </c>
      <c r="P905" s="2" t="str">
        <f>HYPERLINK("https://www.facebook.com/1070092426")</f>
        <v>https://www.facebook.com/1070092426</v>
      </c>
      <c r="Q905">
        <v>5892</v>
      </c>
      <c r="R905" t="s">
        <v>6067</v>
      </c>
      <c r="S905" t="s">
        <v>6087</v>
      </c>
    </row>
    <row r="906" spans="1:19" ht="14.25" customHeight="1" x14ac:dyDescent="0.3">
      <c r="A906" t="s">
        <v>2225</v>
      </c>
      <c r="B906" t="s">
        <v>3006</v>
      </c>
      <c r="C906" t="s">
        <v>95</v>
      </c>
      <c r="D906" t="s">
        <v>2321</v>
      </c>
      <c r="E906" t="s">
        <v>3007</v>
      </c>
      <c r="F906" t="s">
        <v>6056</v>
      </c>
      <c r="G906" s="2" t="str">
        <f>HYPERLINK("https://www.facebook.com/100001318918653/posts/1597197460334202")</f>
        <v>https://www.facebook.com/100001318918653/posts/1597197460334202</v>
      </c>
      <c r="H906" t="s">
        <v>6062</v>
      </c>
      <c r="I906" t="s">
        <v>3008</v>
      </c>
      <c r="J906" s="2" t="str">
        <f>HYPERLINK("https://www.facebook.com/100001318918653")</f>
        <v>https://www.facebook.com/100001318918653</v>
      </c>
      <c r="K906">
        <v>74</v>
      </c>
      <c r="L906" t="s">
        <v>6063</v>
      </c>
      <c r="N906" t="s">
        <v>13</v>
      </c>
      <c r="O906" t="s">
        <v>3008</v>
      </c>
      <c r="P906" s="2" t="str">
        <f>HYPERLINK("https://www.facebook.com/100001318918653")</f>
        <v>https://www.facebook.com/100001318918653</v>
      </c>
      <c r="Q906">
        <v>74</v>
      </c>
      <c r="R906" t="s">
        <v>6067</v>
      </c>
      <c r="S906" t="s">
        <v>6073</v>
      </c>
    </row>
    <row r="907" spans="1:19" ht="14.25" customHeight="1" x14ac:dyDescent="0.3">
      <c r="A907" t="s">
        <v>2225</v>
      </c>
      <c r="B907" t="s">
        <v>2448</v>
      </c>
      <c r="C907" t="s">
        <v>95</v>
      </c>
      <c r="D907" t="s">
        <v>853</v>
      </c>
      <c r="E907" t="s">
        <v>2455</v>
      </c>
      <c r="F907" t="s">
        <v>6059</v>
      </c>
      <c r="G907" s="2" t="str">
        <f>HYPERLINK("https://www.facebook.com/100008934274771/posts/1810262525948206?comment_id=1810294179278374")</f>
        <v>https://www.facebook.com/100008934274771/posts/1810262525948206?comment_id=1810294179278374</v>
      </c>
      <c r="H907" t="s">
        <v>6062</v>
      </c>
      <c r="I907" t="s">
        <v>2456</v>
      </c>
      <c r="J907" s="2" t="str">
        <f>HYPERLINK("https://www.facebook.com/100007419632379")</f>
        <v>https://www.facebook.com/100007419632379</v>
      </c>
      <c r="K907">
        <v>88</v>
      </c>
      <c r="L907" t="s">
        <v>6064</v>
      </c>
      <c r="N907" t="s">
        <v>13</v>
      </c>
      <c r="O907" t="s">
        <v>856</v>
      </c>
      <c r="P907" s="2" t="str">
        <f>HYPERLINK("https://www.facebook.com/100008934274771")</f>
        <v>https://www.facebook.com/100008934274771</v>
      </c>
      <c r="Q907">
        <v>10395</v>
      </c>
      <c r="R907" t="s">
        <v>6067</v>
      </c>
      <c r="S907" t="s">
        <v>6073</v>
      </c>
    </row>
    <row r="908" spans="1:19" ht="14.25" customHeight="1" x14ac:dyDescent="0.3">
      <c r="A908" t="s">
        <v>4439</v>
      </c>
      <c r="B908" t="s">
        <v>845</v>
      </c>
      <c r="C908" t="s">
        <v>3538</v>
      </c>
      <c r="D908" t="s">
        <v>4554</v>
      </c>
      <c r="E908" t="s">
        <v>4555</v>
      </c>
      <c r="F908" t="s">
        <v>6058</v>
      </c>
      <c r="G908" s="2" t="str">
        <f>HYPERLINK("https://www.facebook.com/100008392937331/posts/2074689692820775")</f>
        <v>https://www.facebook.com/100008392937331/posts/2074689692820775</v>
      </c>
      <c r="H908" t="s">
        <v>6062</v>
      </c>
      <c r="I908" t="s">
        <v>4556</v>
      </c>
      <c r="J908" s="2" t="str">
        <f>HYPERLINK("https://www.facebook.com/100008392937331")</f>
        <v>https://www.facebook.com/100008392937331</v>
      </c>
      <c r="K908">
        <v>3461</v>
      </c>
      <c r="L908" t="s">
        <v>6063</v>
      </c>
      <c r="N908" t="s">
        <v>13</v>
      </c>
      <c r="O908" t="s">
        <v>4556</v>
      </c>
      <c r="P908" s="2" t="str">
        <f>HYPERLINK("https://www.facebook.com/100008392937331")</f>
        <v>https://www.facebook.com/100008392937331</v>
      </c>
      <c r="Q908">
        <v>3461</v>
      </c>
      <c r="R908" t="s">
        <v>6067</v>
      </c>
    </row>
    <row r="909" spans="1:19" ht="14.25" customHeight="1" x14ac:dyDescent="0.3">
      <c r="A909" t="s">
        <v>5409</v>
      </c>
      <c r="B909" t="s">
        <v>5992</v>
      </c>
      <c r="C909" t="s">
        <v>3538</v>
      </c>
      <c r="D909" t="s">
        <v>3780</v>
      </c>
      <c r="E909" t="s">
        <v>5696</v>
      </c>
      <c r="F909" t="s">
        <v>6058</v>
      </c>
      <c r="G909" s="2" t="str">
        <f>HYPERLINK("https://www.facebook.com/100021891817331/posts/225988941474165")</f>
        <v>https://www.facebook.com/100021891817331/posts/225988941474165</v>
      </c>
      <c r="H909" t="s">
        <v>6062</v>
      </c>
      <c r="I909" t="s">
        <v>5993</v>
      </c>
      <c r="J909" s="2" t="str">
        <f>HYPERLINK("https://www.facebook.com/100021891817331")</f>
        <v>https://www.facebook.com/100021891817331</v>
      </c>
      <c r="K909">
        <v>787</v>
      </c>
      <c r="L909" t="s">
        <v>6064</v>
      </c>
      <c r="N909" t="s">
        <v>13</v>
      </c>
      <c r="O909" t="s">
        <v>5993</v>
      </c>
      <c r="P909" s="2" t="str">
        <f>HYPERLINK("https://www.facebook.com/100021891817331")</f>
        <v>https://www.facebook.com/100021891817331</v>
      </c>
      <c r="Q909">
        <v>787</v>
      </c>
      <c r="R909" t="s">
        <v>6067</v>
      </c>
    </row>
    <row r="910" spans="1:19" ht="14.25" customHeight="1" x14ac:dyDescent="0.3">
      <c r="A910" t="s">
        <v>629</v>
      </c>
      <c r="B910" t="s">
        <v>1077</v>
      </c>
      <c r="C910" t="s">
        <v>95</v>
      </c>
      <c r="D910" t="s">
        <v>10</v>
      </c>
      <c r="E910" t="s">
        <v>1078</v>
      </c>
      <c r="F910" t="s">
        <v>6059</v>
      </c>
      <c r="G910" s="2" t="str">
        <f>HYPERLINK("https://www.facebook.com/762053551/posts/10156366210158552?comment_id=10156366336923552")</f>
        <v>https://www.facebook.com/762053551/posts/10156366210158552?comment_id=10156366336923552</v>
      </c>
      <c r="H910" t="s">
        <v>6062</v>
      </c>
      <c r="I910" t="s">
        <v>1079</v>
      </c>
      <c r="J910" s="2" t="str">
        <f>HYPERLINK("https://www.facebook.com/100000241130795")</f>
        <v>https://www.facebook.com/100000241130795</v>
      </c>
      <c r="K910">
        <v>0</v>
      </c>
      <c r="L910" t="s">
        <v>6063</v>
      </c>
      <c r="N910" t="s">
        <v>13</v>
      </c>
      <c r="O910" t="s">
        <v>14</v>
      </c>
      <c r="P910" s="2" t="str">
        <f>HYPERLINK("https://www.facebook.com/762053551")</f>
        <v>https://www.facebook.com/762053551</v>
      </c>
      <c r="Q910">
        <v>102347</v>
      </c>
      <c r="R910" t="s">
        <v>6067</v>
      </c>
      <c r="S910" t="s">
        <v>6073</v>
      </c>
    </row>
    <row r="911" spans="1:19" ht="14.25" customHeight="1" x14ac:dyDescent="0.3">
      <c r="A911" t="s">
        <v>4439</v>
      </c>
      <c r="B911" t="s">
        <v>2147</v>
      </c>
      <c r="C911" t="s">
        <v>3538</v>
      </c>
      <c r="D911" t="s">
        <v>4943</v>
      </c>
      <c r="E911" t="s">
        <v>4944</v>
      </c>
      <c r="F911" t="s">
        <v>6059</v>
      </c>
      <c r="G911" s="2" t="str">
        <f>HYPERLINK("https://www.facebook.com/1181011217/posts/10215757430106998?comment_id=10215775753485071")</f>
        <v>https://www.facebook.com/1181011217/posts/10215757430106998?comment_id=10215775753485071</v>
      </c>
      <c r="H911" t="s">
        <v>6062</v>
      </c>
      <c r="I911" t="s">
        <v>4945</v>
      </c>
      <c r="J911" s="2" t="str">
        <f>HYPERLINK("https://www.facebook.com/1181011217")</f>
        <v>https://www.facebook.com/1181011217</v>
      </c>
      <c r="K911">
        <v>0</v>
      </c>
      <c r="N911" t="s">
        <v>13</v>
      </c>
      <c r="O911" t="s">
        <v>4945</v>
      </c>
      <c r="P911" s="2" t="str">
        <f>HYPERLINK("https://www.facebook.com/1181011217")</f>
        <v>https://www.facebook.com/1181011217</v>
      </c>
      <c r="Q911">
        <v>0</v>
      </c>
      <c r="R911" t="s">
        <v>6067</v>
      </c>
      <c r="S911" t="s">
        <v>6073</v>
      </c>
    </row>
    <row r="912" spans="1:19" ht="14.25" customHeight="1" x14ac:dyDescent="0.3">
      <c r="A912" t="s">
        <v>5409</v>
      </c>
      <c r="B912" t="s">
        <v>2134</v>
      </c>
      <c r="C912" t="s">
        <v>3538</v>
      </c>
      <c r="D912" t="s">
        <v>4943</v>
      </c>
      <c r="E912" t="s">
        <v>6007</v>
      </c>
      <c r="F912" t="s">
        <v>6056</v>
      </c>
      <c r="G912" s="2" t="str">
        <f>HYPERLINK("https://www.facebook.com/1181011217/posts/10215757430106998")</f>
        <v>https://www.facebook.com/1181011217/posts/10215757430106998</v>
      </c>
      <c r="H912" t="s">
        <v>6062</v>
      </c>
      <c r="I912" t="s">
        <v>4945</v>
      </c>
      <c r="J912" s="2" t="str">
        <f>HYPERLINK("https://www.facebook.com/1181011217")</f>
        <v>https://www.facebook.com/1181011217</v>
      </c>
      <c r="K912">
        <v>0</v>
      </c>
      <c r="N912" t="s">
        <v>13</v>
      </c>
      <c r="O912" t="s">
        <v>4945</v>
      </c>
      <c r="P912" s="2" t="str">
        <f>HYPERLINK("https://www.facebook.com/1181011217")</f>
        <v>https://www.facebook.com/1181011217</v>
      </c>
      <c r="Q912">
        <v>0</v>
      </c>
      <c r="R912" t="s">
        <v>6067</v>
      </c>
      <c r="S912" t="s">
        <v>6073</v>
      </c>
    </row>
    <row r="913" spans="1:19" ht="14.25" customHeight="1" x14ac:dyDescent="0.3">
      <c r="A913" t="s">
        <v>629</v>
      </c>
      <c r="B913" t="s">
        <v>1370</v>
      </c>
      <c r="C913" t="s">
        <v>95</v>
      </c>
      <c r="D913" t="s">
        <v>1371</v>
      </c>
      <c r="E913" t="s">
        <v>1372</v>
      </c>
      <c r="F913" t="s">
        <v>6056</v>
      </c>
      <c r="G913" s="2" t="str">
        <f>HYPERLINK("https://www.facebook.com/100002699729252/posts/1348351168598194")</f>
        <v>https://www.facebook.com/100002699729252/posts/1348351168598194</v>
      </c>
      <c r="H913" t="s">
        <v>6062</v>
      </c>
      <c r="I913" t="s">
        <v>1373</v>
      </c>
      <c r="J913" s="2" t="str">
        <f>HYPERLINK("https://www.facebook.com/100002699729252")</f>
        <v>https://www.facebook.com/100002699729252</v>
      </c>
      <c r="K913">
        <v>0</v>
      </c>
      <c r="L913" t="s">
        <v>6063</v>
      </c>
      <c r="N913" t="s">
        <v>13</v>
      </c>
      <c r="O913" t="s">
        <v>1373</v>
      </c>
      <c r="P913" s="2" t="str">
        <f>HYPERLINK("https://www.facebook.com/100002699729252")</f>
        <v>https://www.facebook.com/100002699729252</v>
      </c>
      <c r="Q913">
        <v>0</v>
      </c>
      <c r="R913" t="s">
        <v>6067</v>
      </c>
      <c r="S913" t="s">
        <v>6073</v>
      </c>
    </row>
    <row r="914" spans="1:19" ht="14.25" customHeight="1" x14ac:dyDescent="0.3">
      <c r="A914" t="s">
        <v>629</v>
      </c>
      <c r="B914" t="s">
        <v>1302</v>
      </c>
      <c r="C914" t="s">
        <v>95</v>
      </c>
      <c r="D914" t="s">
        <v>10</v>
      </c>
      <c r="E914" t="s">
        <v>1305</v>
      </c>
      <c r="F914" t="s">
        <v>6059</v>
      </c>
      <c r="G914" s="2" t="str">
        <f>HYPERLINK("https://www.facebook.com/762053551/posts/10156366210158552?comment_id=10156366210768552")</f>
        <v>https://www.facebook.com/762053551/posts/10156366210158552?comment_id=10156366210768552</v>
      </c>
      <c r="H914" t="s">
        <v>6062</v>
      </c>
      <c r="I914" t="s">
        <v>1306</v>
      </c>
      <c r="J914" s="2" t="str">
        <f>HYPERLINK("https://www.facebook.com/1035605516")</f>
        <v>https://www.facebook.com/1035605516</v>
      </c>
      <c r="K914">
        <v>6419</v>
      </c>
      <c r="L914" t="s">
        <v>6063</v>
      </c>
      <c r="N914" t="s">
        <v>13</v>
      </c>
      <c r="O914" t="s">
        <v>14</v>
      </c>
      <c r="P914" s="2" t="str">
        <f>HYPERLINK("https://www.facebook.com/762053551")</f>
        <v>https://www.facebook.com/762053551</v>
      </c>
      <c r="Q914">
        <v>102347</v>
      </c>
      <c r="R914" t="s">
        <v>6067</v>
      </c>
      <c r="S914" t="s">
        <v>6073</v>
      </c>
    </row>
    <row r="915" spans="1:19" ht="14.25" customHeight="1" x14ac:dyDescent="0.3">
      <c r="A915" t="s">
        <v>5409</v>
      </c>
      <c r="B915" t="s">
        <v>2933</v>
      </c>
      <c r="C915" t="s">
        <v>3538</v>
      </c>
      <c r="D915" t="s">
        <v>4468</v>
      </c>
      <c r="E915" t="s">
        <v>5513</v>
      </c>
      <c r="F915" t="s">
        <v>6059</v>
      </c>
      <c r="G915" s="2" t="str">
        <f>HYPERLINK("https://www.facebook.com/1529329267308888/posts/2058827921025684?comment_id=2058835327691610")</f>
        <v>https://www.facebook.com/1529329267308888/posts/2058827921025684?comment_id=2058835327691610</v>
      </c>
      <c r="H915" t="s">
        <v>6062</v>
      </c>
      <c r="I915" t="s">
        <v>5419</v>
      </c>
      <c r="J915" s="2" t="str">
        <f t="shared" ref="J915:J923" si="25">HYPERLINK("https://www.facebook.com/100001269247572")</f>
        <v>https://www.facebook.com/100001269247572</v>
      </c>
      <c r="K915">
        <v>191</v>
      </c>
      <c r="L915" t="s">
        <v>6063</v>
      </c>
      <c r="N915" t="s">
        <v>13</v>
      </c>
      <c r="O915" t="s">
        <v>4471</v>
      </c>
      <c r="P915" s="2" t="str">
        <f>HYPERLINK("https://www.facebook.com/1529329267308888")</f>
        <v>https://www.facebook.com/1529329267308888</v>
      </c>
      <c r="R915" t="s">
        <v>6067</v>
      </c>
    </row>
    <row r="916" spans="1:19" ht="14.25" customHeight="1" x14ac:dyDescent="0.3">
      <c r="A916" t="s">
        <v>5409</v>
      </c>
      <c r="B916" t="s">
        <v>3762</v>
      </c>
      <c r="C916" t="s">
        <v>3538</v>
      </c>
      <c r="D916" t="s">
        <v>4468</v>
      </c>
      <c r="E916" t="s">
        <v>5510</v>
      </c>
      <c r="F916" t="s">
        <v>6059</v>
      </c>
      <c r="G916" s="2" t="str">
        <f>HYPERLINK("https://www.facebook.com/100001269247572/posts/1766589733393318?comment_id=1766775220041436")</f>
        <v>https://www.facebook.com/100001269247572/posts/1766589733393318?comment_id=1766775220041436</v>
      </c>
      <c r="H916" t="s">
        <v>6062</v>
      </c>
      <c r="I916" t="s">
        <v>5419</v>
      </c>
      <c r="J916" s="2" t="str">
        <f t="shared" si="25"/>
        <v>https://www.facebook.com/100001269247572</v>
      </c>
      <c r="K916">
        <v>191</v>
      </c>
      <c r="L916" t="s">
        <v>6063</v>
      </c>
      <c r="N916" t="s">
        <v>13</v>
      </c>
      <c r="O916" t="s">
        <v>5419</v>
      </c>
      <c r="P916" s="2" t="str">
        <f>HYPERLINK("https://www.facebook.com/100001269247572")</f>
        <v>https://www.facebook.com/100001269247572</v>
      </c>
      <c r="Q916">
        <v>191</v>
      </c>
      <c r="R916" t="s">
        <v>6067</v>
      </c>
    </row>
    <row r="917" spans="1:19" ht="14.25" customHeight="1" x14ac:dyDescent="0.3">
      <c r="A917" t="s">
        <v>5409</v>
      </c>
      <c r="B917" t="s">
        <v>907</v>
      </c>
      <c r="C917" t="s">
        <v>3538</v>
      </c>
      <c r="D917" t="s">
        <v>5311</v>
      </c>
      <c r="E917" t="s">
        <v>5577</v>
      </c>
      <c r="F917" t="s">
        <v>6056</v>
      </c>
      <c r="G917" s="2" t="str">
        <f>HYPERLINK("https://www.facebook.com/1529329267308888/posts/2058800057695137")</f>
        <v>https://www.facebook.com/1529329267308888/posts/2058800057695137</v>
      </c>
      <c r="H917" t="s">
        <v>6062</v>
      </c>
      <c r="I917" t="s">
        <v>5419</v>
      </c>
      <c r="J917" s="2" t="str">
        <f t="shared" si="25"/>
        <v>https://www.facebook.com/100001269247572</v>
      </c>
      <c r="K917">
        <v>191</v>
      </c>
      <c r="L917" t="s">
        <v>6063</v>
      </c>
      <c r="N917" t="s">
        <v>13</v>
      </c>
      <c r="O917" t="s">
        <v>4471</v>
      </c>
      <c r="P917" s="2" t="str">
        <f>HYPERLINK("https://www.facebook.com/1529329267308888")</f>
        <v>https://www.facebook.com/1529329267308888</v>
      </c>
      <c r="R917" t="s">
        <v>6067</v>
      </c>
    </row>
    <row r="918" spans="1:19" ht="14.25" customHeight="1" x14ac:dyDescent="0.3">
      <c r="A918" t="s">
        <v>5409</v>
      </c>
      <c r="B918" t="s">
        <v>4617</v>
      </c>
      <c r="C918" t="s">
        <v>3538</v>
      </c>
      <c r="D918" t="s">
        <v>5416</v>
      </c>
      <c r="E918" t="s">
        <v>5643</v>
      </c>
      <c r="F918" t="s">
        <v>6056</v>
      </c>
      <c r="G918" s="2" t="str">
        <f>HYPERLINK("https://www.facebook.com/100001269247572/posts/1766562900062668")</f>
        <v>https://www.facebook.com/100001269247572/posts/1766562900062668</v>
      </c>
      <c r="H918" t="s">
        <v>6062</v>
      </c>
      <c r="I918" t="s">
        <v>5419</v>
      </c>
      <c r="J918" s="2" t="str">
        <f t="shared" si="25"/>
        <v>https://www.facebook.com/100001269247572</v>
      </c>
      <c r="K918">
        <v>191</v>
      </c>
      <c r="L918" t="s">
        <v>6063</v>
      </c>
      <c r="N918" t="s">
        <v>13</v>
      </c>
      <c r="O918" t="s">
        <v>5419</v>
      </c>
      <c r="P918" s="2" t="str">
        <f>HYPERLINK("https://www.facebook.com/100001269247572")</f>
        <v>https://www.facebook.com/100001269247572</v>
      </c>
      <c r="Q918">
        <v>191</v>
      </c>
      <c r="R918" t="s">
        <v>6067</v>
      </c>
    </row>
    <row r="919" spans="1:19" ht="14.25" customHeight="1" x14ac:dyDescent="0.3">
      <c r="A919" t="s">
        <v>5409</v>
      </c>
      <c r="B919" t="s">
        <v>3814</v>
      </c>
      <c r="C919" t="s">
        <v>3538</v>
      </c>
      <c r="D919" t="s">
        <v>4468</v>
      </c>
      <c r="E919" t="s">
        <v>5531</v>
      </c>
      <c r="F919" t="s">
        <v>6056</v>
      </c>
      <c r="G919" s="2" t="str">
        <f>HYPERLINK("https://www.facebook.com/1529329267308888/posts/2058827921025684")</f>
        <v>https://www.facebook.com/1529329267308888/posts/2058827921025684</v>
      </c>
      <c r="H919" t="s">
        <v>6062</v>
      </c>
      <c r="I919" t="s">
        <v>5419</v>
      </c>
      <c r="J919" s="2" t="str">
        <f t="shared" si="25"/>
        <v>https://www.facebook.com/100001269247572</v>
      </c>
      <c r="K919">
        <v>191</v>
      </c>
      <c r="L919" t="s">
        <v>6063</v>
      </c>
      <c r="N919" t="s">
        <v>13</v>
      </c>
      <c r="O919" t="s">
        <v>4471</v>
      </c>
      <c r="P919" s="2" t="str">
        <f>HYPERLINK("https://www.facebook.com/1529329267308888")</f>
        <v>https://www.facebook.com/1529329267308888</v>
      </c>
      <c r="R919" t="s">
        <v>6067</v>
      </c>
    </row>
    <row r="920" spans="1:19" ht="14.25" customHeight="1" x14ac:dyDescent="0.3">
      <c r="A920" t="s">
        <v>5409</v>
      </c>
      <c r="B920" t="s">
        <v>3117</v>
      </c>
      <c r="C920" t="s">
        <v>3538</v>
      </c>
      <c r="D920" t="s">
        <v>4468</v>
      </c>
      <c r="E920" t="s">
        <v>5531</v>
      </c>
      <c r="F920" t="s">
        <v>6056</v>
      </c>
      <c r="G920" s="2" t="str">
        <f>HYPERLINK("https://www.facebook.com/100001269247572/posts/1766589733393318")</f>
        <v>https://www.facebook.com/100001269247572/posts/1766589733393318</v>
      </c>
      <c r="H920" t="s">
        <v>6062</v>
      </c>
      <c r="I920" t="s">
        <v>5419</v>
      </c>
      <c r="J920" s="2" t="str">
        <f t="shared" si="25"/>
        <v>https://www.facebook.com/100001269247572</v>
      </c>
      <c r="K920">
        <v>191</v>
      </c>
      <c r="L920" t="s">
        <v>6063</v>
      </c>
      <c r="N920" t="s">
        <v>13</v>
      </c>
      <c r="O920" t="s">
        <v>5419</v>
      </c>
      <c r="P920" s="2" t="str">
        <f>HYPERLINK("https://www.facebook.com/100001269247572")</f>
        <v>https://www.facebook.com/100001269247572</v>
      </c>
      <c r="Q920">
        <v>191</v>
      </c>
      <c r="R920" t="s">
        <v>6067</v>
      </c>
    </row>
    <row r="921" spans="1:19" ht="14.25" customHeight="1" x14ac:dyDescent="0.3">
      <c r="A921" t="s">
        <v>5409</v>
      </c>
      <c r="B921" t="s">
        <v>3804</v>
      </c>
      <c r="C921" t="s">
        <v>3538</v>
      </c>
      <c r="D921" t="s">
        <v>4468</v>
      </c>
      <c r="E921" t="s">
        <v>5530</v>
      </c>
      <c r="F921" t="s">
        <v>6059</v>
      </c>
      <c r="G921" s="2" t="str">
        <f>HYPERLINK("https://www.facebook.com/100001269247572/posts/1766589733393318?comment_id=1766755623376729")</f>
        <v>https://www.facebook.com/100001269247572/posts/1766589733393318?comment_id=1766755623376729</v>
      </c>
      <c r="H921" t="s">
        <v>6062</v>
      </c>
      <c r="I921" t="s">
        <v>5419</v>
      </c>
      <c r="J921" s="2" t="str">
        <f t="shared" si="25"/>
        <v>https://www.facebook.com/100001269247572</v>
      </c>
      <c r="K921">
        <v>191</v>
      </c>
      <c r="L921" t="s">
        <v>6063</v>
      </c>
      <c r="N921" t="s">
        <v>13</v>
      </c>
      <c r="O921" t="s">
        <v>5419</v>
      </c>
      <c r="P921" s="2" t="str">
        <f>HYPERLINK("https://www.facebook.com/100001269247572")</f>
        <v>https://www.facebook.com/100001269247572</v>
      </c>
      <c r="Q921">
        <v>191</v>
      </c>
      <c r="R921" t="s">
        <v>6067</v>
      </c>
    </row>
    <row r="922" spans="1:19" ht="14.25" customHeight="1" x14ac:dyDescent="0.3">
      <c r="A922" t="s">
        <v>5409</v>
      </c>
      <c r="B922" t="s">
        <v>2750</v>
      </c>
      <c r="C922" t="s">
        <v>3538</v>
      </c>
      <c r="D922" t="s">
        <v>4468</v>
      </c>
      <c r="E922" t="s">
        <v>5478</v>
      </c>
      <c r="F922" t="s">
        <v>6059</v>
      </c>
      <c r="G922" s="2" t="str">
        <f>HYPERLINK("https://www.facebook.com/100001269247572/posts/1766589733393318?comment_id=1766808760038082")</f>
        <v>https://www.facebook.com/100001269247572/posts/1766589733393318?comment_id=1766808760038082</v>
      </c>
      <c r="H922" t="s">
        <v>6062</v>
      </c>
      <c r="I922" t="s">
        <v>5419</v>
      </c>
      <c r="J922" s="2" t="str">
        <f t="shared" si="25"/>
        <v>https://www.facebook.com/100001269247572</v>
      </c>
      <c r="K922">
        <v>191</v>
      </c>
      <c r="L922" t="s">
        <v>6063</v>
      </c>
      <c r="N922" t="s">
        <v>13</v>
      </c>
      <c r="O922" t="s">
        <v>5419</v>
      </c>
      <c r="P922" s="2" t="str">
        <f>HYPERLINK("https://www.facebook.com/100001269247572")</f>
        <v>https://www.facebook.com/100001269247572</v>
      </c>
      <c r="Q922">
        <v>191</v>
      </c>
      <c r="R922" t="s">
        <v>6067</v>
      </c>
    </row>
    <row r="923" spans="1:19" ht="14.25" customHeight="1" x14ac:dyDescent="0.3">
      <c r="A923" t="s">
        <v>5409</v>
      </c>
      <c r="B923" t="s">
        <v>814</v>
      </c>
      <c r="C923" t="s">
        <v>3538</v>
      </c>
      <c r="D923" t="s">
        <v>4468</v>
      </c>
      <c r="E923" t="s">
        <v>5509</v>
      </c>
      <c r="F923" t="s">
        <v>6059</v>
      </c>
      <c r="G923" s="2" t="str">
        <f>HYPERLINK("https://www.facebook.com/1529329267308888/posts/2058827921025684?comment_id=2058836011024875")</f>
        <v>https://www.facebook.com/1529329267308888/posts/2058827921025684?comment_id=2058836011024875</v>
      </c>
      <c r="H923" t="s">
        <v>6062</v>
      </c>
      <c r="I923" t="s">
        <v>5419</v>
      </c>
      <c r="J923" s="2" t="str">
        <f t="shared" si="25"/>
        <v>https://www.facebook.com/100001269247572</v>
      </c>
      <c r="K923">
        <v>191</v>
      </c>
      <c r="L923" t="s">
        <v>6063</v>
      </c>
      <c r="N923" t="s">
        <v>13</v>
      </c>
      <c r="O923" t="s">
        <v>4471</v>
      </c>
      <c r="P923" s="2" t="str">
        <f>HYPERLINK("https://www.facebook.com/1529329267308888")</f>
        <v>https://www.facebook.com/1529329267308888</v>
      </c>
      <c r="R923" t="s">
        <v>6067</v>
      </c>
    </row>
    <row r="924" spans="1:19" ht="14.25" customHeight="1" x14ac:dyDescent="0.3">
      <c r="A924" t="s">
        <v>4995</v>
      </c>
      <c r="B924" t="s">
        <v>1346</v>
      </c>
      <c r="C924" t="s">
        <v>3538</v>
      </c>
      <c r="D924" t="s">
        <v>3780</v>
      </c>
      <c r="E924" t="s">
        <v>4672</v>
      </c>
      <c r="F924" t="s">
        <v>6058</v>
      </c>
      <c r="G924" s="2" t="str">
        <f>HYPERLINK("https://www.facebook.com/100001398210853/posts/1737801449609779")</f>
        <v>https://www.facebook.com/100001398210853/posts/1737801449609779</v>
      </c>
      <c r="H924" t="s">
        <v>6062</v>
      </c>
      <c r="I924" t="s">
        <v>5219</v>
      </c>
      <c r="J924" s="2" t="str">
        <f>HYPERLINK("https://www.facebook.com/100001398210853")</f>
        <v>https://www.facebook.com/100001398210853</v>
      </c>
      <c r="K924">
        <v>133</v>
      </c>
      <c r="L924" t="s">
        <v>6063</v>
      </c>
      <c r="N924" t="s">
        <v>13</v>
      </c>
      <c r="O924" t="s">
        <v>5219</v>
      </c>
      <c r="P924" s="2" t="str">
        <f>HYPERLINK("https://www.facebook.com/100001398210853")</f>
        <v>https://www.facebook.com/100001398210853</v>
      </c>
      <c r="Q924">
        <v>133</v>
      </c>
      <c r="R924" t="s">
        <v>6067</v>
      </c>
      <c r="S924" t="s">
        <v>6073</v>
      </c>
    </row>
    <row r="925" spans="1:19" ht="14.25" customHeight="1" x14ac:dyDescent="0.3">
      <c r="A925" t="s">
        <v>2225</v>
      </c>
      <c r="B925" t="s">
        <v>2614</v>
      </c>
      <c r="C925" t="s">
        <v>95</v>
      </c>
      <c r="D925" t="s">
        <v>544</v>
      </c>
      <c r="E925" t="s">
        <v>545</v>
      </c>
      <c r="F925" t="s">
        <v>6058</v>
      </c>
      <c r="G925" s="2" t="str">
        <f>HYPERLINK("https://www.facebook.com/100003725515963/posts/1212732665527572")</f>
        <v>https://www.facebook.com/100003725515963/posts/1212732665527572</v>
      </c>
      <c r="H925" t="s">
        <v>6062</v>
      </c>
      <c r="I925" t="s">
        <v>2618</v>
      </c>
      <c r="J925" s="2" t="str">
        <f>HYPERLINK("https://www.facebook.com/100003725515963")</f>
        <v>https://www.facebook.com/100003725515963</v>
      </c>
      <c r="K925">
        <v>296</v>
      </c>
      <c r="L925" t="s">
        <v>6063</v>
      </c>
      <c r="N925" t="s">
        <v>13</v>
      </c>
      <c r="O925" t="s">
        <v>2618</v>
      </c>
      <c r="P925" s="2" t="str">
        <f>HYPERLINK("https://www.facebook.com/100003725515963")</f>
        <v>https://www.facebook.com/100003725515963</v>
      </c>
      <c r="Q925">
        <v>296</v>
      </c>
      <c r="R925" t="s">
        <v>6067</v>
      </c>
      <c r="S925" t="s">
        <v>6073</v>
      </c>
    </row>
    <row r="926" spans="1:19" ht="14.25" customHeight="1" x14ac:dyDescent="0.3">
      <c r="A926" t="s">
        <v>1</v>
      </c>
      <c r="B926" t="s">
        <v>145</v>
      </c>
      <c r="C926" t="s">
        <v>95</v>
      </c>
      <c r="D926" t="s">
        <v>146</v>
      </c>
      <c r="E926" t="s">
        <v>147</v>
      </c>
      <c r="F926" t="s">
        <v>6059</v>
      </c>
      <c r="G926" s="2" t="str">
        <f>HYPERLINK("https://www.facebook.com/100007600845702/posts/2040630392866969?comment_id=2052716578325017")</f>
        <v>https://www.facebook.com/100007600845702/posts/2040630392866969?comment_id=2052716578325017</v>
      </c>
      <c r="H926" t="s">
        <v>6062</v>
      </c>
      <c r="I926" t="s">
        <v>148</v>
      </c>
      <c r="J926" s="2" t="str">
        <f>HYPERLINK("https://www.facebook.com/100001178023432")</f>
        <v>https://www.facebook.com/100001178023432</v>
      </c>
      <c r="K926">
        <v>381</v>
      </c>
      <c r="L926" t="s">
        <v>6063</v>
      </c>
      <c r="N926" t="s">
        <v>13</v>
      </c>
      <c r="O926" t="s">
        <v>149</v>
      </c>
      <c r="P926" s="2" t="str">
        <f>HYPERLINK("https://www.facebook.com/100007600845702")</f>
        <v>https://www.facebook.com/100007600845702</v>
      </c>
      <c r="Q926">
        <v>0</v>
      </c>
      <c r="R926" t="s">
        <v>6067</v>
      </c>
      <c r="S926" t="s">
        <v>6073</v>
      </c>
    </row>
    <row r="927" spans="1:19" ht="14.25" customHeight="1" x14ac:dyDescent="0.3">
      <c r="A927" t="s">
        <v>2225</v>
      </c>
      <c r="B927" t="s">
        <v>290</v>
      </c>
      <c r="C927" t="s">
        <v>95</v>
      </c>
      <c r="D927" t="s">
        <v>3206</v>
      </c>
      <c r="E927" t="s">
        <v>3365</v>
      </c>
      <c r="F927" t="s">
        <v>6059</v>
      </c>
      <c r="G927" s="2" t="str">
        <f>HYPERLINK("https://www.facebook.com/100008934274771/posts/1810029789304813?comment_id=1810043099303482")</f>
        <v>https://www.facebook.com/100008934274771/posts/1810029789304813?comment_id=1810043099303482</v>
      </c>
      <c r="H927" t="s">
        <v>6062</v>
      </c>
      <c r="I927" t="s">
        <v>3362</v>
      </c>
      <c r="J927" s="2" t="str">
        <f>HYPERLINK("https://www.facebook.com/100006666121352")</f>
        <v>https://www.facebook.com/100006666121352</v>
      </c>
      <c r="K927">
        <v>113</v>
      </c>
      <c r="L927" t="s">
        <v>6063</v>
      </c>
      <c r="N927" t="s">
        <v>13</v>
      </c>
      <c r="O927" t="s">
        <v>856</v>
      </c>
      <c r="P927" s="2" t="str">
        <f>HYPERLINK("https://www.facebook.com/100008934274771")</f>
        <v>https://www.facebook.com/100008934274771</v>
      </c>
      <c r="Q927">
        <v>10395</v>
      </c>
      <c r="R927" t="s">
        <v>6067</v>
      </c>
      <c r="S927" t="s">
        <v>6073</v>
      </c>
    </row>
    <row r="928" spans="1:19" ht="14.25" customHeight="1" x14ac:dyDescent="0.3">
      <c r="A928" t="s">
        <v>5409</v>
      </c>
      <c r="B928" t="s">
        <v>3779</v>
      </c>
      <c r="C928" t="s">
        <v>3538</v>
      </c>
      <c r="D928" t="s">
        <v>5517</v>
      </c>
      <c r="E928" t="s">
        <v>5518</v>
      </c>
      <c r="F928" t="s">
        <v>6059</v>
      </c>
      <c r="G928" s="2" t="str">
        <f>HYPERLINK("https://www.facebook.com/100002388320217/posts/1633916853364576?comment_id=1634262269996701")</f>
        <v>https://www.facebook.com/100002388320217/posts/1633916853364576?comment_id=1634262269996701</v>
      </c>
      <c r="H928" t="s">
        <v>6062</v>
      </c>
      <c r="I928" t="s">
        <v>5519</v>
      </c>
      <c r="J928" s="2" t="str">
        <f>HYPERLINK("https://www.facebook.com/100002388320217")</f>
        <v>https://www.facebook.com/100002388320217</v>
      </c>
      <c r="K928">
        <v>1240</v>
      </c>
      <c r="L928" t="s">
        <v>6063</v>
      </c>
      <c r="N928" t="s">
        <v>13</v>
      </c>
      <c r="O928" t="s">
        <v>5519</v>
      </c>
      <c r="P928" s="2" t="str">
        <f>HYPERLINK("https://www.facebook.com/100002388320217")</f>
        <v>https://www.facebook.com/100002388320217</v>
      </c>
      <c r="Q928">
        <v>1240</v>
      </c>
      <c r="R928" t="s">
        <v>6067</v>
      </c>
      <c r="S928" t="s">
        <v>6073</v>
      </c>
    </row>
    <row r="929" spans="1:19" ht="14.25" customHeight="1" x14ac:dyDescent="0.3">
      <c r="A929" t="s">
        <v>5409</v>
      </c>
      <c r="B929" t="s">
        <v>5668</v>
      </c>
      <c r="C929" t="s">
        <v>3538</v>
      </c>
      <c r="D929" t="s">
        <v>5517</v>
      </c>
      <c r="E929" t="s">
        <v>5669</v>
      </c>
      <c r="F929" t="s">
        <v>6056</v>
      </c>
      <c r="G929" s="2" t="str">
        <f>HYPERLINK("https://www.facebook.com/100002388320217/posts/1633916853364576")</f>
        <v>https://www.facebook.com/100002388320217/posts/1633916853364576</v>
      </c>
      <c r="H929" t="s">
        <v>6062</v>
      </c>
      <c r="I929" t="s">
        <v>5519</v>
      </c>
      <c r="J929" s="2" t="str">
        <f>HYPERLINK("https://www.facebook.com/100002388320217")</f>
        <v>https://www.facebook.com/100002388320217</v>
      </c>
      <c r="K929">
        <v>1240</v>
      </c>
      <c r="L929" t="s">
        <v>6063</v>
      </c>
      <c r="N929" t="s">
        <v>13</v>
      </c>
      <c r="O929" t="s">
        <v>5519</v>
      </c>
      <c r="P929" s="2" t="str">
        <f>HYPERLINK("https://www.facebook.com/100002388320217")</f>
        <v>https://www.facebook.com/100002388320217</v>
      </c>
      <c r="Q929">
        <v>1240</v>
      </c>
      <c r="R929" t="s">
        <v>6067</v>
      </c>
      <c r="S929" t="s">
        <v>6073</v>
      </c>
    </row>
    <row r="930" spans="1:19" ht="14.25" customHeight="1" x14ac:dyDescent="0.3">
      <c r="A930" t="s">
        <v>5409</v>
      </c>
      <c r="B930" t="s">
        <v>3906</v>
      </c>
      <c r="C930" t="s">
        <v>3538</v>
      </c>
      <c r="D930" t="s">
        <v>5187</v>
      </c>
      <c r="E930" t="s">
        <v>5581</v>
      </c>
      <c r="F930" t="s">
        <v>6059</v>
      </c>
      <c r="G930" s="2" t="str">
        <f>HYPERLINK("https://www.facebook.com/100000749205618/posts/1872163949485227?comment_id=1872226306145658")</f>
        <v>https://www.facebook.com/100000749205618/posts/1872163949485227?comment_id=1872226306145658</v>
      </c>
      <c r="H930" t="s">
        <v>6062</v>
      </c>
      <c r="I930" t="s">
        <v>5582</v>
      </c>
      <c r="J930" s="2" t="str">
        <f>HYPERLINK("https://www.facebook.com/100004360330041")</f>
        <v>https://www.facebook.com/100004360330041</v>
      </c>
      <c r="K930">
        <v>404</v>
      </c>
      <c r="L930" t="s">
        <v>6063</v>
      </c>
      <c r="N930" t="s">
        <v>13</v>
      </c>
      <c r="O930" t="s">
        <v>5189</v>
      </c>
      <c r="P930" s="2" t="str">
        <f>HYPERLINK("https://www.facebook.com/100000749205618")</f>
        <v>https://www.facebook.com/100000749205618</v>
      </c>
      <c r="Q930">
        <v>545</v>
      </c>
      <c r="R930" t="s">
        <v>6067</v>
      </c>
      <c r="S930" t="s">
        <v>6073</v>
      </c>
    </row>
    <row r="931" spans="1:19" ht="14.25" customHeight="1" x14ac:dyDescent="0.3">
      <c r="A931" t="s">
        <v>2225</v>
      </c>
      <c r="B931" t="s">
        <v>764</v>
      </c>
      <c r="C931" t="s">
        <v>95</v>
      </c>
      <c r="D931" t="s">
        <v>853</v>
      </c>
      <c r="E931" t="s">
        <v>2864</v>
      </c>
      <c r="F931" t="s">
        <v>6059</v>
      </c>
      <c r="G931" s="2" t="str">
        <f>HYPERLINK("https://www.facebook.com/100008934274771/posts/1810262525948206?comment_id=1810265929281199")</f>
        <v>https://www.facebook.com/100008934274771/posts/1810262525948206?comment_id=1810265929281199</v>
      </c>
      <c r="H931" t="s">
        <v>6062</v>
      </c>
      <c r="I931" t="s">
        <v>2850</v>
      </c>
      <c r="J931" s="2" t="str">
        <f>HYPERLINK("https://www.facebook.com/100004257346248")</f>
        <v>https://www.facebook.com/100004257346248</v>
      </c>
      <c r="K931">
        <v>798</v>
      </c>
      <c r="L931" t="s">
        <v>6063</v>
      </c>
      <c r="N931" t="s">
        <v>13</v>
      </c>
      <c r="O931" t="s">
        <v>856</v>
      </c>
      <c r="P931" s="2" t="str">
        <f>HYPERLINK("https://www.facebook.com/100008934274771")</f>
        <v>https://www.facebook.com/100008934274771</v>
      </c>
      <c r="Q931">
        <v>10395</v>
      </c>
      <c r="R931" t="s">
        <v>6067</v>
      </c>
      <c r="S931" t="s">
        <v>6073</v>
      </c>
    </row>
    <row r="932" spans="1:19" ht="14.25" customHeight="1" x14ac:dyDescent="0.3">
      <c r="A932" t="s">
        <v>2225</v>
      </c>
      <c r="B932" t="s">
        <v>2847</v>
      </c>
      <c r="C932" t="s">
        <v>95</v>
      </c>
      <c r="D932" t="s">
        <v>853</v>
      </c>
      <c r="E932" t="s">
        <v>2849</v>
      </c>
      <c r="F932" t="s">
        <v>6059</v>
      </c>
      <c r="G932" s="2" t="str">
        <f>HYPERLINK("https://www.facebook.com/100008934274771/posts/1810262525948206?comment_id=1810266389281153")</f>
        <v>https://www.facebook.com/100008934274771/posts/1810262525948206?comment_id=1810266389281153</v>
      </c>
      <c r="H932" t="s">
        <v>6062</v>
      </c>
      <c r="I932" t="s">
        <v>2850</v>
      </c>
      <c r="J932" s="2" t="str">
        <f>HYPERLINK("https://www.facebook.com/100004257346248")</f>
        <v>https://www.facebook.com/100004257346248</v>
      </c>
      <c r="K932">
        <v>798</v>
      </c>
      <c r="L932" t="s">
        <v>6063</v>
      </c>
      <c r="N932" t="s">
        <v>13</v>
      </c>
      <c r="O932" t="s">
        <v>856</v>
      </c>
      <c r="P932" s="2" t="str">
        <f>HYPERLINK("https://www.facebook.com/100008934274771")</f>
        <v>https://www.facebook.com/100008934274771</v>
      </c>
      <c r="Q932">
        <v>10395</v>
      </c>
      <c r="R932" t="s">
        <v>6067</v>
      </c>
      <c r="S932" t="s">
        <v>6073</v>
      </c>
    </row>
    <row r="933" spans="1:19" ht="14.25" customHeight="1" x14ac:dyDescent="0.3">
      <c r="A933" t="s">
        <v>2225</v>
      </c>
      <c r="B933" t="s">
        <v>2887</v>
      </c>
      <c r="C933" t="s">
        <v>95</v>
      </c>
      <c r="D933" t="s">
        <v>853</v>
      </c>
      <c r="E933" t="s">
        <v>2889</v>
      </c>
      <c r="F933" t="s">
        <v>6059</v>
      </c>
      <c r="G933" s="2" t="str">
        <f>HYPERLINK("https://www.facebook.com/100008934274771/posts/1810262525948206?comment_id=1810264772614648")</f>
        <v>https://www.facebook.com/100008934274771/posts/1810262525948206?comment_id=1810264772614648</v>
      </c>
      <c r="H933" t="s">
        <v>6062</v>
      </c>
      <c r="I933" t="s">
        <v>2850</v>
      </c>
      <c r="J933" s="2" t="str">
        <f>HYPERLINK("https://www.facebook.com/100004257346248")</f>
        <v>https://www.facebook.com/100004257346248</v>
      </c>
      <c r="K933">
        <v>798</v>
      </c>
      <c r="L933" t="s">
        <v>6063</v>
      </c>
      <c r="N933" t="s">
        <v>13</v>
      </c>
      <c r="O933" t="s">
        <v>856</v>
      </c>
      <c r="P933" s="2" t="str">
        <f>HYPERLINK("https://www.facebook.com/100008934274771")</f>
        <v>https://www.facebook.com/100008934274771</v>
      </c>
      <c r="Q933">
        <v>10395</v>
      </c>
      <c r="R933" t="s">
        <v>6067</v>
      </c>
      <c r="S933" t="s">
        <v>6073</v>
      </c>
    </row>
    <row r="934" spans="1:19" ht="14.25" customHeight="1" x14ac:dyDescent="0.3">
      <c r="A934" t="s">
        <v>2225</v>
      </c>
      <c r="B934" t="s">
        <v>2887</v>
      </c>
      <c r="C934" t="s">
        <v>95</v>
      </c>
      <c r="D934" t="s">
        <v>853</v>
      </c>
      <c r="E934" t="s">
        <v>2888</v>
      </c>
      <c r="F934" t="s">
        <v>6059</v>
      </c>
      <c r="G934" s="2" t="str">
        <f>HYPERLINK("https://www.facebook.com/100008934274771/posts/1810262525948206?comment_id=1810264859281306")</f>
        <v>https://www.facebook.com/100008934274771/posts/1810262525948206?comment_id=1810264859281306</v>
      </c>
      <c r="H934" t="s">
        <v>6062</v>
      </c>
      <c r="I934" t="s">
        <v>2850</v>
      </c>
      <c r="J934" s="2" t="str">
        <f>HYPERLINK("https://www.facebook.com/100004257346248")</f>
        <v>https://www.facebook.com/100004257346248</v>
      </c>
      <c r="K934">
        <v>798</v>
      </c>
      <c r="L934" t="s">
        <v>6063</v>
      </c>
      <c r="N934" t="s">
        <v>13</v>
      </c>
      <c r="O934" t="s">
        <v>856</v>
      </c>
      <c r="P934" s="2" t="str">
        <f>HYPERLINK("https://www.facebook.com/100008934274771")</f>
        <v>https://www.facebook.com/100008934274771</v>
      </c>
      <c r="Q934">
        <v>10395</v>
      </c>
      <c r="R934" t="s">
        <v>6067</v>
      </c>
      <c r="S934" t="s">
        <v>6073</v>
      </c>
    </row>
    <row r="935" spans="1:19" ht="14.25" customHeight="1" x14ac:dyDescent="0.3">
      <c r="A935" t="s">
        <v>629</v>
      </c>
      <c r="B935" t="s">
        <v>1164</v>
      </c>
      <c r="C935" t="s">
        <v>95</v>
      </c>
      <c r="D935" t="s">
        <v>10</v>
      </c>
      <c r="E935" t="s">
        <v>1168</v>
      </c>
      <c r="F935" t="s">
        <v>6059</v>
      </c>
      <c r="G935" s="2" t="str">
        <f>HYPERLINK("https://www.facebook.com/762053551/posts/10156366210158552?comment_id=10156366272278552")</f>
        <v>https://www.facebook.com/762053551/posts/10156366210158552?comment_id=10156366272278552</v>
      </c>
      <c r="H935" t="s">
        <v>6062</v>
      </c>
      <c r="I935" t="s">
        <v>1169</v>
      </c>
      <c r="J935" s="2" t="str">
        <f>HYPERLINK("https://www.facebook.com/100001845244549")</f>
        <v>https://www.facebook.com/100001845244549</v>
      </c>
      <c r="K935">
        <v>227</v>
      </c>
      <c r="L935" t="s">
        <v>6063</v>
      </c>
      <c r="N935" t="s">
        <v>13</v>
      </c>
      <c r="O935" t="s">
        <v>14</v>
      </c>
      <c r="P935" s="2" t="str">
        <f>HYPERLINK("https://www.facebook.com/762053551")</f>
        <v>https://www.facebook.com/762053551</v>
      </c>
      <c r="Q935">
        <v>102347</v>
      </c>
      <c r="R935" t="s">
        <v>6067</v>
      </c>
      <c r="S935" t="s">
        <v>6073</v>
      </c>
    </row>
    <row r="936" spans="1:19" ht="14.25" customHeight="1" x14ac:dyDescent="0.3">
      <c r="A936" t="s">
        <v>629</v>
      </c>
      <c r="B936" t="s">
        <v>459</v>
      </c>
      <c r="C936" t="s">
        <v>95</v>
      </c>
      <c r="D936" t="s">
        <v>370</v>
      </c>
      <c r="E936" t="s">
        <v>371</v>
      </c>
      <c r="F936" t="s">
        <v>6058</v>
      </c>
      <c r="G936" s="2" t="str">
        <f>HYPERLINK("https://www.facebook.com/100001275175249/posts/1803035203082301")</f>
        <v>https://www.facebook.com/100001275175249/posts/1803035203082301</v>
      </c>
      <c r="H936" t="s">
        <v>6062</v>
      </c>
      <c r="I936" t="s">
        <v>1896</v>
      </c>
      <c r="J936" s="2" t="str">
        <f>HYPERLINK("https://www.facebook.com/100001275175249")</f>
        <v>https://www.facebook.com/100001275175249</v>
      </c>
      <c r="K936">
        <v>732</v>
      </c>
      <c r="L936" t="s">
        <v>6063</v>
      </c>
      <c r="N936" t="s">
        <v>13</v>
      </c>
      <c r="O936" t="s">
        <v>1896</v>
      </c>
      <c r="P936" s="2" t="str">
        <f>HYPERLINK("https://www.facebook.com/100001275175249")</f>
        <v>https://www.facebook.com/100001275175249</v>
      </c>
      <c r="Q936">
        <v>732</v>
      </c>
      <c r="R936" t="s">
        <v>6067</v>
      </c>
      <c r="S936" t="s">
        <v>6073</v>
      </c>
    </row>
    <row r="937" spans="1:19" ht="14.25" customHeight="1" x14ac:dyDescent="0.3">
      <c r="A937" t="s">
        <v>2225</v>
      </c>
      <c r="B937" t="s">
        <v>730</v>
      </c>
      <c r="C937" t="s">
        <v>95</v>
      </c>
      <c r="D937" t="s">
        <v>853</v>
      </c>
      <c r="E937" t="s">
        <v>2470</v>
      </c>
      <c r="F937" t="s">
        <v>6059</v>
      </c>
      <c r="G937" s="2" t="str">
        <f>HYPERLINK("https://www.facebook.com/100008934274771/posts/1810262525948206?comment_id=1810293155945143")</f>
        <v>https://www.facebook.com/100008934274771/posts/1810262525948206?comment_id=1810293155945143</v>
      </c>
      <c r="H937" t="s">
        <v>6062</v>
      </c>
      <c r="I937" t="s">
        <v>2454</v>
      </c>
      <c r="J937" s="2" t="str">
        <f>HYPERLINK("https://www.facebook.com/100002903915768")</f>
        <v>https://www.facebook.com/100002903915768</v>
      </c>
      <c r="K937">
        <v>0</v>
      </c>
      <c r="L937" t="s">
        <v>6063</v>
      </c>
      <c r="N937" t="s">
        <v>13</v>
      </c>
      <c r="O937" t="s">
        <v>856</v>
      </c>
      <c r="P937" s="2" t="str">
        <f>HYPERLINK("https://www.facebook.com/100008934274771")</f>
        <v>https://www.facebook.com/100008934274771</v>
      </c>
      <c r="Q937">
        <v>10395</v>
      </c>
      <c r="R937" t="s">
        <v>6067</v>
      </c>
      <c r="S937" t="s">
        <v>6073</v>
      </c>
    </row>
    <row r="938" spans="1:19" ht="14.25" customHeight="1" x14ac:dyDescent="0.3">
      <c r="A938" t="s">
        <v>2225</v>
      </c>
      <c r="B938" t="s">
        <v>2448</v>
      </c>
      <c r="C938" t="s">
        <v>95</v>
      </c>
      <c r="D938" t="s">
        <v>853</v>
      </c>
      <c r="E938" t="s">
        <v>2453</v>
      </c>
      <c r="F938" t="s">
        <v>6059</v>
      </c>
      <c r="G938" s="2" t="str">
        <f>HYPERLINK("https://www.facebook.com/100008934274771/posts/1810262525948206?comment_id=1810294182611707")</f>
        <v>https://www.facebook.com/100008934274771/posts/1810262525948206?comment_id=1810294182611707</v>
      </c>
      <c r="H938" t="s">
        <v>6062</v>
      </c>
      <c r="I938" t="s">
        <v>2454</v>
      </c>
      <c r="J938" s="2" t="str">
        <f>HYPERLINK("https://www.facebook.com/100002903915768")</f>
        <v>https://www.facebook.com/100002903915768</v>
      </c>
      <c r="K938">
        <v>0</v>
      </c>
      <c r="L938" t="s">
        <v>6063</v>
      </c>
      <c r="N938" t="s">
        <v>13</v>
      </c>
      <c r="O938" t="s">
        <v>856</v>
      </c>
      <c r="P938" s="2" t="str">
        <f>HYPERLINK("https://www.facebook.com/100008934274771")</f>
        <v>https://www.facebook.com/100008934274771</v>
      </c>
      <c r="Q938">
        <v>10395</v>
      </c>
      <c r="R938" t="s">
        <v>6067</v>
      </c>
      <c r="S938" t="s">
        <v>6073</v>
      </c>
    </row>
    <row r="939" spans="1:19" ht="14.25" customHeight="1" x14ac:dyDescent="0.3">
      <c r="A939" t="s">
        <v>4439</v>
      </c>
      <c r="B939" t="s">
        <v>3152</v>
      </c>
      <c r="C939" t="s">
        <v>3538</v>
      </c>
      <c r="D939" t="s">
        <v>4619</v>
      </c>
      <c r="E939" t="s">
        <v>4620</v>
      </c>
      <c r="F939" t="s">
        <v>6056</v>
      </c>
      <c r="G939" s="2" t="str">
        <f>HYPERLINK("https://www.facebook.com/100000323758866/posts/1786030964751011")</f>
        <v>https://www.facebook.com/100000323758866/posts/1786030964751011</v>
      </c>
      <c r="H939" t="s">
        <v>6062</v>
      </c>
      <c r="I939" t="s">
        <v>4621</v>
      </c>
      <c r="J939" s="2" t="str">
        <f>HYPERLINK("https://www.facebook.com/100000323758866")</f>
        <v>https://www.facebook.com/100000323758866</v>
      </c>
      <c r="K939">
        <v>230</v>
      </c>
      <c r="L939" t="s">
        <v>6063</v>
      </c>
      <c r="N939" t="s">
        <v>13</v>
      </c>
      <c r="O939" t="s">
        <v>4621</v>
      </c>
      <c r="P939" s="2" t="str">
        <f>HYPERLINK("https://www.facebook.com/100000323758866")</f>
        <v>https://www.facebook.com/100000323758866</v>
      </c>
      <c r="Q939">
        <v>230</v>
      </c>
      <c r="R939" t="s">
        <v>6067</v>
      </c>
      <c r="S939" t="s">
        <v>6073</v>
      </c>
    </row>
    <row r="940" spans="1:19" ht="14.25" customHeight="1" x14ac:dyDescent="0.3">
      <c r="A940" t="s">
        <v>5409</v>
      </c>
      <c r="B940" t="s">
        <v>1377</v>
      </c>
      <c r="C940" t="s">
        <v>3538</v>
      </c>
      <c r="D940" t="s">
        <v>5743</v>
      </c>
      <c r="E940" t="s">
        <v>5744</v>
      </c>
      <c r="F940" t="s">
        <v>6056</v>
      </c>
      <c r="G940" s="2" t="str">
        <f>HYPERLINK("https://www.facebook.com/100001356187763/posts/1668756753179515")</f>
        <v>https://www.facebook.com/100001356187763/posts/1668756753179515</v>
      </c>
      <c r="H940" t="s">
        <v>6062</v>
      </c>
      <c r="I940" t="s">
        <v>5745</v>
      </c>
      <c r="J940" s="2" t="str">
        <f>HYPERLINK("https://www.facebook.com/100001356187763")</f>
        <v>https://www.facebook.com/100001356187763</v>
      </c>
      <c r="K940">
        <v>517</v>
      </c>
      <c r="L940" t="s">
        <v>6063</v>
      </c>
      <c r="N940" t="s">
        <v>13</v>
      </c>
      <c r="O940" t="s">
        <v>5745</v>
      </c>
      <c r="P940" s="2" t="str">
        <f>HYPERLINK("https://www.facebook.com/100001356187763")</f>
        <v>https://www.facebook.com/100001356187763</v>
      </c>
      <c r="Q940">
        <v>517</v>
      </c>
      <c r="R940" t="s">
        <v>6067</v>
      </c>
      <c r="S940" t="s">
        <v>6073</v>
      </c>
    </row>
    <row r="941" spans="1:19" ht="14.25" customHeight="1" x14ac:dyDescent="0.3">
      <c r="A941" t="s">
        <v>4439</v>
      </c>
      <c r="B941" t="s">
        <v>2381</v>
      </c>
      <c r="C941" t="s">
        <v>3538</v>
      </c>
      <c r="D941" t="s">
        <v>4477</v>
      </c>
      <c r="E941" t="s">
        <v>4478</v>
      </c>
      <c r="F941" t="s">
        <v>6059</v>
      </c>
      <c r="G941" s="2" t="str">
        <f>HYPERLINK("https://www.facebook.com/1108038995/posts/10210745914619810?comment_id=10210752398461902")</f>
        <v>https://www.facebook.com/1108038995/posts/10210745914619810?comment_id=10210752398461902</v>
      </c>
      <c r="H941" t="s">
        <v>6062</v>
      </c>
      <c r="I941" t="s">
        <v>4479</v>
      </c>
      <c r="J941" s="2" t="str">
        <f>HYPERLINK("https://www.facebook.com/100001407861059")</f>
        <v>https://www.facebook.com/100001407861059</v>
      </c>
      <c r="K941">
        <v>116</v>
      </c>
      <c r="L941" t="s">
        <v>6063</v>
      </c>
      <c r="N941" t="s">
        <v>13</v>
      </c>
      <c r="O941" t="s">
        <v>4480</v>
      </c>
      <c r="P941" s="2" t="str">
        <f>HYPERLINK("https://www.facebook.com/1108038995")</f>
        <v>https://www.facebook.com/1108038995</v>
      </c>
      <c r="Q941">
        <v>0</v>
      </c>
      <c r="R941" t="s">
        <v>6067</v>
      </c>
      <c r="S941" t="s">
        <v>6073</v>
      </c>
    </row>
    <row r="942" spans="1:19" ht="14.25" customHeight="1" x14ac:dyDescent="0.3">
      <c r="A942" t="s">
        <v>3527</v>
      </c>
      <c r="B942" t="s">
        <v>4079</v>
      </c>
      <c r="C942" t="s">
        <v>95</v>
      </c>
      <c r="D942" t="s">
        <v>2196</v>
      </c>
      <c r="E942" t="s">
        <v>4080</v>
      </c>
      <c r="F942" t="s">
        <v>6059</v>
      </c>
      <c r="G942" s="2" t="str">
        <f>HYPERLINK("https://www.facebook.com/100001415260849/posts/1744734525583706?comment_id=1744863435570815")</f>
        <v>https://www.facebook.com/100001415260849/posts/1744734525583706?comment_id=1744863435570815</v>
      </c>
      <c r="H942" t="s">
        <v>6062</v>
      </c>
      <c r="I942" t="s">
        <v>4081</v>
      </c>
      <c r="J942" s="2" t="str">
        <f>HYPERLINK("https://www.facebook.com/100001464084580")</f>
        <v>https://www.facebook.com/100001464084580</v>
      </c>
      <c r="K942">
        <v>0</v>
      </c>
      <c r="L942" t="s">
        <v>6063</v>
      </c>
      <c r="N942" t="s">
        <v>13</v>
      </c>
      <c r="O942" t="s">
        <v>2199</v>
      </c>
      <c r="P942" s="2" t="str">
        <f>HYPERLINK("https://www.facebook.com/100001415260849")</f>
        <v>https://www.facebook.com/100001415260849</v>
      </c>
      <c r="Q942">
        <v>0</v>
      </c>
      <c r="R942" t="s">
        <v>6067</v>
      </c>
      <c r="S942" t="s">
        <v>6073</v>
      </c>
    </row>
    <row r="943" spans="1:19" ht="14.25" customHeight="1" x14ac:dyDescent="0.3">
      <c r="A943" t="s">
        <v>1</v>
      </c>
      <c r="B943" t="s">
        <v>422</v>
      </c>
      <c r="C943" t="s">
        <v>27</v>
      </c>
      <c r="D943" t="s">
        <v>28</v>
      </c>
      <c r="E943" t="s">
        <v>426</v>
      </c>
      <c r="F943" t="s">
        <v>6059</v>
      </c>
      <c r="G943" s="2" t="str">
        <f>HYPERLINK("https://www.facebook.com/100001652702200/posts/1834613723270367?comment_id=1834969903234749")</f>
        <v>https://www.facebook.com/100001652702200/posts/1834613723270367?comment_id=1834969903234749</v>
      </c>
      <c r="H943" t="s">
        <v>6062</v>
      </c>
      <c r="I943" t="s">
        <v>31</v>
      </c>
      <c r="J943" s="2" t="str">
        <f>HYPERLINK("https://www.facebook.com/100001652702200")</f>
        <v>https://www.facebook.com/100001652702200</v>
      </c>
      <c r="K943">
        <v>0</v>
      </c>
      <c r="L943" t="s">
        <v>6063</v>
      </c>
      <c r="N943" t="s">
        <v>13</v>
      </c>
      <c r="O943" t="s">
        <v>31</v>
      </c>
      <c r="P943" s="2" t="str">
        <f>HYPERLINK("https://www.facebook.com/100001652702200")</f>
        <v>https://www.facebook.com/100001652702200</v>
      </c>
      <c r="Q943">
        <v>0</v>
      </c>
      <c r="R943" t="s">
        <v>6067</v>
      </c>
      <c r="S943" t="s">
        <v>6073</v>
      </c>
    </row>
    <row r="944" spans="1:19" ht="14.25" customHeight="1" x14ac:dyDescent="0.3">
      <c r="A944" t="s">
        <v>1</v>
      </c>
      <c r="B944" t="s">
        <v>107</v>
      </c>
      <c r="C944" t="s">
        <v>27</v>
      </c>
      <c r="D944" t="s">
        <v>28</v>
      </c>
      <c r="E944" t="s">
        <v>108</v>
      </c>
      <c r="F944" t="s">
        <v>6059</v>
      </c>
      <c r="G944" s="2" t="str">
        <f>HYPERLINK("https://www.facebook.com/100001652702200/posts/1834613723270367?comment_id=1835120783219661")</f>
        <v>https://www.facebook.com/100001652702200/posts/1834613723270367?comment_id=1835120783219661</v>
      </c>
      <c r="H944" t="s">
        <v>6062</v>
      </c>
      <c r="I944" t="s">
        <v>31</v>
      </c>
      <c r="J944" s="2" t="str">
        <f>HYPERLINK("https://www.facebook.com/100001652702200")</f>
        <v>https://www.facebook.com/100001652702200</v>
      </c>
      <c r="K944">
        <v>0</v>
      </c>
      <c r="L944" t="s">
        <v>6063</v>
      </c>
      <c r="N944" t="s">
        <v>13</v>
      </c>
      <c r="O944" t="s">
        <v>31</v>
      </c>
      <c r="P944" s="2" t="str">
        <f>HYPERLINK("https://www.facebook.com/100001652702200")</f>
        <v>https://www.facebook.com/100001652702200</v>
      </c>
      <c r="Q944">
        <v>0</v>
      </c>
      <c r="R944" t="s">
        <v>6067</v>
      </c>
      <c r="S944" t="s">
        <v>6073</v>
      </c>
    </row>
    <row r="945" spans="1:19" ht="14.25" customHeight="1" x14ac:dyDescent="0.3">
      <c r="A945" t="s">
        <v>5409</v>
      </c>
      <c r="B945" t="s">
        <v>2161</v>
      </c>
      <c r="C945" t="s">
        <v>3538</v>
      </c>
      <c r="D945" t="s">
        <v>5791</v>
      </c>
      <c r="E945" t="s">
        <v>6012</v>
      </c>
      <c r="F945" t="s">
        <v>6059</v>
      </c>
      <c r="G945" s="2" t="str">
        <f>HYPERLINK("https://www.facebook.com/100000198309538/posts/2151468578203065?comment_id=2152816741401582")</f>
        <v>https://www.facebook.com/100000198309538/posts/2151468578203065?comment_id=2152816741401582</v>
      </c>
      <c r="H945" t="s">
        <v>6062</v>
      </c>
      <c r="I945" t="s">
        <v>498</v>
      </c>
      <c r="J945" s="2" t="str">
        <f>HYPERLINK("https://www.facebook.com/100000198309538")</f>
        <v>https://www.facebook.com/100000198309538</v>
      </c>
      <c r="K945">
        <v>329</v>
      </c>
      <c r="L945" t="s">
        <v>6063</v>
      </c>
      <c r="N945" t="s">
        <v>13</v>
      </c>
      <c r="O945" t="s">
        <v>498</v>
      </c>
      <c r="P945" s="2" t="str">
        <f>HYPERLINK("https://www.facebook.com/100000198309538")</f>
        <v>https://www.facebook.com/100000198309538</v>
      </c>
      <c r="Q945">
        <v>329</v>
      </c>
      <c r="R945" t="s">
        <v>6067</v>
      </c>
      <c r="S945" t="s">
        <v>6073</v>
      </c>
    </row>
    <row r="946" spans="1:19" ht="14.25" customHeight="1" x14ac:dyDescent="0.3">
      <c r="A946" t="s">
        <v>5409</v>
      </c>
      <c r="B946" t="s">
        <v>1573</v>
      </c>
      <c r="C946" t="s">
        <v>3538</v>
      </c>
      <c r="D946" t="s">
        <v>3757</v>
      </c>
      <c r="E946" t="s">
        <v>5851</v>
      </c>
      <c r="F946" t="s">
        <v>6059</v>
      </c>
      <c r="G946" s="2" t="str">
        <f>HYPERLINK("https://www.facebook.com/1676376791/posts/10209685538090004?comment_id=10209686149665293")</f>
        <v>https://www.facebook.com/1676376791/posts/10209685538090004?comment_id=10209686149665293</v>
      </c>
      <c r="H946" t="s">
        <v>6062</v>
      </c>
      <c r="I946" t="s">
        <v>5836</v>
      </c>
      <c r="J946" s="2" t="str">
        <f>HYPERLINK("https://www.facebook.com/100001637242834")</f>
        <v>https://www.facebook.com/100001637242834</v>
      </c>
      <c r="K946">
        <v>388</v>
      </c>
      <c r="L946" t="s">
        <v>6063</v>
      </c>
      <c r="N946" t="s">
        <v>13</v>
      </c>
      <c r="O946" t="s">
        <v>3760</v>
      </c>
      <c r="P946" s="2" t="str">
        <f>HYPERLINK("https://www.facebook.com/1676376791")</f>
        <v>https://www.facebook.com/1676376791</v>
      </c>
      <c r="Q946">
        <v>4013</v>
      </c>
      <c r="R946" t="s">
        <v>6067</v>
      </c>
      <c r="S946" t="s">
        <v>6073</v>
      </c>
    </row>
    <row r="947" spans="1:19" ht="14.25" customHeight="1" x14ac:dyDescent="0.3">
      <c r="A947" t="s">
        <v>5409</v>
      </c>
      <c r="B947" t="s">
        <v>340</v>
      </c>
      <c r="C947" t="s">
        <v>3538</v>
      </c>
      <c r="D947" t="s">
        <v>3757</v>
      </c>
      <c r="E947" t="s">
        <v>5843</v>
      </c>
      <c r="F947" t="s">
        <v>6059</v>
      </c>
      <c r="G947" s="2" t="str">
        <f>HYPERLINK("https://www.facebook.com/1676376791/posts/10209685538090004?comment_id=10209686184506164")</f>
        <v>https://www.facebook.com/1676376791/posts/10209685538090004?comment_id=10209686184506164</v>
      </c>
      <c r="H947" t="s">
        <v>6062</v>
      </c>
      <c r="I947" t="s">
        <v>5836</v>
      </c>
      <c r="J947" s="2" t="str">
        <f>HYPERLINK("https://www.facebook.com/100001637242834")</f>
        <v>https://www.facebook.com/100001637242834</v>
      </c>
      <c r="K947">
        <v>388</v>
      </c>
      <c r="L947" t="s">
        <v>6063</v>
      </c>
      <c r="N947" t="s">
        <v>13</v>
      </c>
      <c r="O947" t="s">
        <v>3760</v>
      </c>
      <c r="P947" s="2" t="str">
        <f>HYPERLINK("https://www.facebook.com/1676376791")</f>
        <v>https://www.facebook.com/1676376791</v>
      </c>
      <c r="Q947">
        <v>4013</v>
      </c>
      <c r="R947" t="s">
        <v>6067</v>
      </c>
      <c r="S947" t="s">
        <v>6073</v>
      </c>
    </row>
    <row r="948" spans="1:19" ht="14.25" customHeight="1" x14ac:dyDescent="0.3">
      <c r="A948" t="s">
        <v>5409</v>
      </c>
      <c r="B948" t="s">
        <v>1546</v>
      </c>
      <c r="C948" t="s">
        <v>3538</v>
      </c>
      <c r="D948" t="s">
        <v>3757</v>
      </c>
      <c r="E948" t="s">
        <v>5839</v>
      </c>
      <c r="F948" t="s">
        <v>6059</v>
      </c>
      <c r="G948" s="2" t="str">
        <f>HYPERLINK("https://www.facebook.com/1676376791/posts/10209685538090004?comment_id=10209686192066353")</f>
        <v>https://www.facebook.com/1676376791/posts/10209685538090004?comment_id=10209686192066353</v>
      </c>
      <c r="H948" t="s">
        <v>6062</v>
      </c>
      <c r="I948" t="s">
        <v>5836</v>
      </c>
      <c r="J948" s="2" t="str">
        <f>HYPERLINK("https://www.facebook.com/100001637242834")</f>
        <v>https://www.facebook.com/100001637242834</v>
      </c>
      <c r="K948">
        <v>388</v>
      </c>
      <c r="L948" t="s">
        <v>6063</v>
      </c>
      <c r="N948" t="s">
        <v>13</v>
      </c>
      <c r="O948" t="s">
        <v>3760</v>
      </c>
      <c r="P948" s="2" t="str">
        <f>HYPERLINK("https://www.facebook.com/1676376791")</f>
        <v>https://www.facebook.com/1676376791</v>
      </c>
      <c r="Q948">
        <v>4013</v>
      </c>
      <c r="R948" t="s">
        <v>6067</v>
      </c>
      <c r="S948" t="s">
        <v>6073</v>
      </c>
    </row>
    <row r="949" spans="1:19" ht="14.25" customHeight="1" x14ac:dyDescent="0.3">
      <c r="A949" t="s">
        <v>5409</v>
      </c>
      <c r="B949" t="s">
        <v>4354</v>
      </c>
      <c r="C949" t="s">
        <v>3538</v>
      </c>
      <c r="D949" t="s">
        <v>3757</v>
      </c>
      <c r="E949" t="s">
        <v>5955</v>
      </c>
      <c r="F949" t="s">
        <v>6059</v>
      </c>
      <c r="G949" s="2" t="str">
        <f>HYPERLINK("https://www.facebook.com/1676376791/posts/10209685538090004?comment_id=10209685605291684")</f>
        <v>https://www.facebook.com/1676376791/posts/10209685538090004?comment_id=10209685605291684</v>
      </c>
      <c r="H949" t="s">
        <v>6062</v>
      </c>
      <c r="I949" t="s">
        <v>5836</v>
      </c>
      <c r="J949" s="2" t="str">
        <f>HYPERLINK("https://www.facebook.com/100001637242834")</f>
        <v>https://www.facebook.com/100001637242834</v>
      </c>
      <c r="K949">
        <v>388</v>
      </c>
      <c r="L949" t="s">
        <v>6063</v>
      </c>
      <c r="N949" t="s">
        <v>13</v>
      </c>
      <c r="O949" t="s">
        <v>3760</v>
      </c>
      <c r="P949" s="2" t="str">
        <f>HYPERLINK("https://www.facebook.com/1676376791")</f>
        <v>https://www.facebook.com/1676376791</v>
      </c>
      <c r="Q949">
        <v>4013</v>
      </c>
      <c r="R949" t="s">
        <v>6067</v>
      </c>
      <c r="S949" t="s">
        <v>6073</v>
      </c>
    </row>
    <row r="950" spans="1:19" ht="14.25" customHeight="1" x14ac:dyDescent="0.3">
      <c r="A950" t="s">
        <v>629</v>
      </c>
      <c r="B950" t="s">
        <v>1707</v>
      </c>
      <c r="C950" t="s">
        <v>95</v>
      </c>
      <c r="D950" t="s">
        <v>370</v>
      </c>
      <c r="E950" t="s">
        <v>371</v>
      </c>
      <c r="F950" t="s">
        <v>6058</v>
      </c>
      <c r="G950" s="2" t="str">
        <f>HYPERLINK("https://www.facebook.com/100008629418627/posts/1852239888406974")</f>
        <v>https://www.facebook.com/100008629418627/posts/1852239888406974</v>
      </c>
      <c r="H950" t="s">
        <v>6062</v>
      </c>
      <c r="I950" t="s">
        <v>1708</v>
      </c>
      <c r="J950" s="2" t="str">
        <f>HYPERLINK("https://www.facebook.com/100008629418627")</f>
        <v>https://www.facebook.com/100008629418627</v>
      </c>
      <c r="K950">
        <v>204</v>
      </c>
      <c r="L950" t="s">
        <v>6063</v>
      </c>
      <c r="N950" t="s">
        <v>13</v>
      </c>
      <c r="O950" t="s">
        <v>1708</v>
      </c>
      <c r="P950" s="2" t="str">
        <f>HYPERLINK("https://www.facebook.com/100008629418627")</f>
        <v>https://www.facebook.com/100008629418627</v>
      </c>
      <c r="Q950">
        <v>204</v>
      </c>
      <c r="R950" t="s">
        <v>6067</v>
      </c>
      <c r="S950" t="s">
        <v>6073</v>
      </c>
    </row>
    <row r="951" spans="1:19" ht="14.25" customHeight="1" x14ac:dyDescent="0.3">
      <c r="A951" t="s">
        <v>2225</v>
      </c>
      <c r="B951" t="s">
        <v>2836</v>
      </c>
      <c r="C951" t="s">
        <v>95</v>
      </c>
      <c r="D951" t="s">
        <v>544</v>
      </c>
      <c r="E951" t="s">
        <v>545</v>
      </c>
      <c r="F951" t="s">
        <v>6058</v>
      </c>
      <c r="G951" s="2" t="str">
        <f>HYPERLINK("https://www.facebook.com/100022209912018/posts/214250392658623")</f>
        <v>https://www.facebook.com/100022209912018/posts/214250392658623</v>
      </c>
      <c r="H951" t="s">
        <v>6062</v>
      </c>
      <c r="I951" t="s">
        <v>1376</v>
      </c>
      <c r="J951" s="2" t="str">
        <f>HYPERLINK("https://www.facebook.com/100022209912018")</f>
        <v>https://www.facebook.com/100022209912018</v>
      </c>
      <c r="K951">
        <v>362</v>
      </c>
      <c r="L951" t="s">
        <v>6063</v>
      </c>
      <c r="N951" t="s">
        <v>13</v>
      </c>
      <c r="O951" t="s">
        <v>1376</v>
      </c>
      <c r="P951" s="2" t="str">
        <f>HYPERLINK("https://www.facebook.com/100022209912018")</f>
        <v>https://www.facebook.com/100022209912018</v>
      </c>
      <c r="Q951">
        <v>362</v>
      </c>
      <c r="R951" t="s">
        <v>6067</v>
      </c>
    </row>
    <row r="952" spans="1:19" ht="14.25" customHeight="1" x14ac:dyDescent="0.3">
      <c r="A952" t="s">
        <v>629</v>
      </c>
      <c r="B952" t="s">
        <v>1375</v>
      </c>
      <c r="C952" t="s">
        <v>95</v>
      </c>
      <c r="D952" t="s">
        <v>370</v>
      </c>
      <c r="E952" t="s">
        <v>371</v>
      </c>
      <c r="F952" t="s">
        <v>6058</v>
      </c>
      <c r="G952" s="2" t="str">
        <f>HYPERLINK("https://www.facebook.com/100022209912018/posts/214508859299443")</f>
        <v>https://www.facebook.com/100022209912018/posts/214508859299443</v>
      </c>
      <c r="H952" t="s">
        <v>6062</v>
      </c>
      <c r="I952" t="s">
        <v>1376</v>
      </c>
      <c r="J952" s="2" t="str">
        <f>HYPERLINK("https://www.facebook.com/100022209912018")</f>
        <v>https://www.facebook.com/100022209912018</v>
      </c>
      <c r="K952">
        <v>362</v>
      </c>
      <c r="L952" t="s">
        <v>6063</v>
      </c>
      <c r="N952" t="s">
        <v>13</v>
      </c>
      <c r="O952" t="s">
        <v>1376</v>
      </c>
      <c r="P952" s="2" t="str">
        <f>HYPERLINK("https://www.facebook.com/100022209912018")</f>
        <v>https://www.facebook.com/100022209912018</v>
      </c>
      <c r="Q952">
        <v>362</v>
      </c>
      <c r="R952" t="s">
        <v>6067</v>
      </c>
    </row>
    <row r="953" spans="1:19" ht="14.25" customHeight="1" x14ac:dyDescent="0.3">
      <c r="A953" t="s">
        <v>629</v>
      </c>
      <c r="B953" t="s">
        <v>422</v>
      </c>
      <c r="C953" t="s">
        <v>95</v>
      </c>
      <c r="D953" t="s">
        <v>667</v>
      </c>
      <c r="E953" t="s">
        <v>668</v>
      </c>
      <c r="F953" t="s">
        <v>6056</v>
      </c>
      <c r="G953" s="2" t="str">
        <f>HYPERLINK("https://www.facebook.com/218843318500440/posts/571376973247071")</f>
        <v>https://www.facebook.com/218843318500440/posts/571376973247071</v>
      </c>
      <c r="H953" t="s">
        <v>6062</v>
      </c>
      <c r="I953" t="s">
        <v>424</v>
      </c>
      <c r="J953" s="2" t="str">
        <f>HYPERLINK("https://www.facebook.com/218843318500440")</f>
        <v>https://www.facebook.com/218843318500440</v>
      </c>
      <c r="K953">
        <v>28144</v>
      </c>
      <c r="L953" t="s">
        <v>6065</v>
      </c>
      <c r="N953" t="s">
        <v>13</v>
      </c>
      <c r="O953" t="s">
        <v>424</v>
      </c>
      <c r="P953" s="2" t="str">
        <f>HYPERLINK("https://www.facebook.com/218843318500440")</f>
        <v>https://www.facebook.com/218843318500440</v>
      </c>
      <c r="Q953">
        <v>28144</v>
      </c>
      <c r="R953" t="s">
        <v>6067</v>
      </c>
      <c r="S953" t="s">
        <v>6073</v>
      </c>
    </row>
    <row r="954" spans="1:19" ht="14.25" customHeight="1" x14ac:dyDescent="0.3">
      <c r="A954" t="s">
        <v>2225</v>
      </c>
      <c r="B954" t="s">
        <v>723</v>
      </c>
      <c r="C954" t="s">
        <v>95</v>
      </c>
      <c r="D954" t="s">
        <v>544</v>
      </c>
      <c r="E954" t="s">
        <v>545</v>
      </c>
      <c r="F954" t="s">
        <v>6058</v>
      </c>
      <c r="G954" s="2" t="str">
        <f>HYPERLINK("https://www.facebook.com/100006432614204/posts/2523648751192854")</f>
        <v>https://www.facebook.com/100006432614204/posts/2523648751192854</v>
      </c>
      <c r="H954" t="s">
        <v>6062</v>
      </c>
      <c r="I954" t="s">
        <v>2443</v>
      </c>
      <c r="J954" s="2" t="str">
        <f>HYPERLINK("https://www.facebook.com/100006432614204")</f>
        <v>https://www.facebook.com/100006432614204</v>
      </c>
      <c r="K954">
        <v>816</v>
      </c>
      <c r="L954" t="s">
        <v>6063</v>
      </c>
      <c r="N954" t="s">
        <v>13</v>
      </c>
      <c r="O954" t="s">
        <v>2443</v>
      </c>
      <c r="P954" s="2" t="str">
        <f>HYPERLINK("https://www.facebook.com/100006432614204")</f>
        <v>https://www.facebook.com/100006432614204</v>
      </c>
      <c r="Q954">
        <v>816</v>
      </c>
      <c r="R954" t="s">
        <v>6067</v>
      </c>
      <c r="S954" t="s">
        <v>6073</v>
      </c>
    </row>
    <row r="955" spans="1:19" ht="14.25" customHeight="1" x14ac:dyDescent="0.3">
      <c r="A955" t="s">
        <v>5409</v>
      </c>
      <c r="B955" t="s">
        <v>2381</v>
      </c>
      <c r="C955" t="s">
        <v>3538</v>
      </c>
      <c r="D955" t="s">
        <v>5425</v>
      </c>
      <c r="E955" t="s">
        <v>5468</v>
      </c>
      <c r="F955" t="s">
        <v>6059</v>
      </c>
      <c r="G955" s="2" t="str">
        <f>HYPERLINK("https://www.facebook.com/1717320447/posts/10204642291893366?comment_id=10204646841127094")</f>
        <v>https://www.facebook.com/1717320447/posts/10204642291893366?comment_id=10204646841127094</v>
      </c>
      <c r="H955" t="s">
        <v>6062</v>
      </c>
      <c r="I955" t="s">
        <v>5427</v>
      </c>
      <c r="J955" s="2" t="str">
        <f>HYPERLINK("https://www.facebook.com/1717320447")</f>
        <v>https://www.facebook.com/1717320447</v>
      </c>
      <c r="K955">
        <v>0</v>
      </c>
      <c r="L955" t="s">
        <v>6063</v>
      </c>
      <c r="N955" t="s">
        <v>13</v>
      </c>
      <c r="O955" t="s">
        <v>5427</v>
      </c>
      <c r="P955" s="2" t="str">
        <f>HYPERLINK("https://www.facebook.com/1717320447")</f>
        <v>https://www.facebook.com/1717320447</v>
      </c>
      <c r="Q955">
        <v>0</v>
      </c>
      <c r="R955" t="s">
        <v>6067</v>
      </c>
      <c r="S955" t="s">
        <v>6073</v>
      </c>
    </row>
    <row r="956" spans="1:19" ht="14.25" customHeight="1" x14ac:dyDescent="0.3">
      <c r="A956" t="s">
        <v>5409</v>
      </c>
      <c r="B956" t="s">
        <v>369</v>
      </c>
      <c r="C956" t="s">
        <v>3538</v>
      </c>
      <c r="D956" t="s">
        <v>5425</v>
      </c>
      <c r="E956" t="s">
        <v>5863</v>
      </c>
      <c r="F956" t="s">
        <v>6059</v>
      </c>
      <c r="G956" s="2" t="str">
        <f>HYPERLINK("https://www.facebook.com/1717320447/posts/10204642291893366?comment_id=10204642294293426")</f>
        <v>https://www.facebook.com/1717320447/posts/10204642291893366?comment_id=10204642294293426</v>
      </c>
      <c r="H956" t="s">
        <v>6062</v>
      </c>
      <c r="I956" t="s">
        <v>5427</v>
      </c>
      <c r="J956" s="2" t="str">
        <f>HYPERLINK("https://www.facebook.com/1717320447")</f>
        <v>https://www.facebook.com/1717320447</v>
      </c>
      <c r="K956">
        <v>0</v>
      </c>
      <c r="L956" t="s">
        <v>6063</v>
      </c>
      <c r="N956" t="s">
        <v>13</v>
      </c>
      <c r="O956" t="s">
        <v>5427</v>
      </c>
      <c r="P956" s="2" t="str">
        <f>HYPERLINK("https://www.facebook.com/1717320447")</f>
        <v>https://www.facebook.com/1717320447</v>
      </c>
      <c r="Q956">
        <v>0</v>
      </c>
      <c r="R956" t="s">
        <v>6067</v>
      </c>
      <c r="S956" t="s">
        <v>6073</v>
      </c>
    </row>
    <row r="957" spans="1:19" ht="14.25" customHeight="1" x14ac:dyDescent="0.3">
      <c r="A957" t="s">
        <v>5409</v>
      </c>
      <c r="B957" t="s">
        <v>661</v>
      </c>
      <c r="C957" t="s">
        <v>3538</v>
      </c>
      <c r="D957" t="s">
        <v>5425</v>
      </c>
      <c r="E957" t="s">
        <v>5426</v>
      </c>
      <c r="F957" t="s">
        <v>6059</v>
      </c>
      <c r="G957" s="2" t="str">
        <f>HYPERLINK("https://www.facebook.com/1717320447/posts/10204642291893366?comment_id=10204646976010466")</f>
        <v>https://www.facebook.com/1717320447/posts/10204642291893366?comment_id=10204646976010466</v>
      </c>
      <c r="H957" t="s">
        <v>6062</v>
      </c>
      <c r="I957" t="s">
        <v>5427</v>
      </c>
      <c r="J957" s="2" t="str">
        <f>HYPERLINK("https://www.facebook.com/1717320447")</f>
        <v>https://www.facebook.com/1717320447</v>
      </c>
      <c r="K957">
        <v>0</v>
      </c>
      <c r="L957" t="s">
        <v>6063</v>
      </c>
      <c r="N957" t="s">
        <v>13</v>
      </c>
      <c r="O957" t="s">
        <v>5427</v>
      </c>
      <c r="P957" s="2" t="str">
        <f>HYPERLINK("https://www.facebook.com/1717320447")</f>
        <v>https://www.facebook.com/1717320447</v>
      </c>
      <c r="Q957">
        <v>0</v>
      </c>
      <c r="R957" t="s">
        <v>6067</v>
      </c>
      <c r="S957" t="s">
        <v>6073</v>
      </c>
    </row>
    <row r="958" spans="1:19" ht="14.25" customHeight="1" x14ac:dyDescent="0.3">
      <c r="A958" t="s">
        <v>5409</v>
      </c>
      <c r="B958" t="s">
        <v>1640</v>
      </c>
      <c r="C958" t="s">
        <v>3538</v>
      </c>
      <c r="D958" t="s">
        <v>5425</v>
      </c>
      <c r="E958" t="s">
        <v>5856</v>
      </c>
      <c r="F958" t="s">
        <v>6059</v>
      </c>
      <c r="G958" s="2" t="str">
        <f>HYPERLINK("https://www.facebook.com/1717320447/posts/10204642291893366?comment_id=10204642302853640")</f>
        <v>https://www.facebook.com/1717320447/posts/10204642291893366?comment_id=10204642302853640</v>
      </c>
      <c r="H958" t="s">
        <v>6062</v>
      </c>
      <c r="I958" t="s">
        <v>5427</v>
      </c>
      <c r="J958" s="2" t="str">
        <f>HYPERLINK("https://www.facebook.com/1717320447")</f>
        <v>https://www.facebook.com/1717320447</v>
      </c>
      <c r="K958">
        <v>0</v>
      </c>
      <c r="L958" t="s">
        <v>6063</v>
      </c>
      <c r="N958" t="s">
        <v>13</v>
      </c>
      <c r="O958" t="s">
        <v>5427</v>
      </c>
      <c r="P958" s="2" t="str">
        <f>HYPERLINK("https://www.facebook.com/1717320447")</f>
        <v>https://www.facebook.com/1717320447</v>
      </c>
      <c r="Q958">
        <v>0</v>
      </c>
      <c r="R958" t="s">
        <v>6067</v>
      </c>
      <c r="S958" t="s">
        <v>6073</v>
      </c>
    </row>
    <row r="959" spans="1:19" ht="14.25" customHeight="1" x14ac:dyDescent="0.3">
      <c r="A959" t="s">
        <v>629</v>
      </c>
      <c r="B959" t="s">
        <v>288</v>
      </c>
      <c r="C959" t="s">
        <v>95</v>
      </c>
      <c r="D959" t="s">
        <v>667</v>
      </c>
      <c r="E959" t="s">
        <v>668</v>
      </c>
      <c r="F959" t="s">
        <v>6058</v>
      </c>
      <c r="G959" s="2" t="str">
        <f>HYPERLINK("https://www.facebook.com/100003341871027/posts/1581460025308711")</f>
        <v>https://www.facebook.com/100003341871027/posts/1581460025308711</v>
      </c>
      <c r="H959" t="s">
        <v>6062</v>
      </c>
      <c r="I959" t="s">
        <v>1517</v>
      </c>
      <c r="J959" s="2" t="str">
        <f>HYPERLINK("https://www.facebook.com/100003341871027")</f>
        <v>https://www.facebook.com/100003341871027</v>
      </c>
      <c r="K959">
        <v>310</v>
      </c>
      <c r="L959" t="s">
        <v>6063</v>
      </c>
      <c r="N959" t="s">
        <v>13</v>
      </c>
      <c r="O959" t="s">
        <v>1517</v>
      </c>
      <c r="P959" s="2" t="str">
        <f>HYPERLINK("https://www.facebook.com/100003341871027")</f>
        <v>https://www.facebook.com/100003341871027</v>
      </c>
      <c r="Q959">
        <v>310</v>
      </c>
      <c r="R959" t="s">
        <v>6067</v>
      </c>
    </row>
    <row r="960" spans="1:19" ht="14.25" customHeight="1" x14ac:dyDescent="0.3">
      <c r="A960" t="s">
        <v>2225</v>
      </c>
      <c r="B960" t="s">
        <v>709</v>
      </c>
      <c r="C960" t="s">
        <v>95</v>
      </c>
      <c r="D960" t="s">
        <v>853</v>
      </c>
      <c r="E960" t="s">
        <v>2335</v>
      </c>
      <c r="F960" t="s">
        <v>6059</v>
      </c>
      <c r="G960" s="2" t="str">
        <f>HYPERLINK("https://www.facebook.com/100008934274771/posts/1810262525948206?comment_id=1810303872610738")</f>
        <v>https://www.facebook.com/100008934274771/posts/1810262525948206?comment_id=1810303872610738</v>
      </c>
      <c r="H960" t="s">
        <v>6062</v>
      </c>
      <c r="I960" t="s">
        <v>2336</v>
      </c>
      <c r="J960" s="2" t="str">
        <f>HYPERLINK("https://www.facebook.com/100022673409339")</f>
        <v>https://www.facebook.com/100022673409339</v>
      </c>
      <c r="K960">
        <v>159</v>
      </c>
      <c r="L960" t="s">
        <v>6064</v>
      </c>
      <c r="N960" t="s">
        <v>13</v>
      </c>
      <c r="O960" t="s">
        <v>856</v>
      </c>
      <c r="P960" s="2" t="str">
        <f>HYPERLINK("https://www.facebook.com/100008934274771")</f>
        <v>https://www.facebook.com/100008934274771</v>
      </c>
      <c r="Q960">
        <v>10395</v>
      </c>
      <c r="R960" t="s">
        <v>6067</v>
      </c>
      <c r="S960" t="s">
        <v>6073</v>
      </c>
    </row>
    <row r="961" spans="1:19" ht="14.25" customHeight="1" x14ac:dyDescent="0.3">
      <c r="A961" t="s">
        <v>2225</v>
      </c>
      <c r="B961" t="s">
        <v>3272</v>
      </c>
      <c r="C961" t="s">
        <v>95</v>
      </c>
      <c r="D961" t="s">
        <v>2086</v>
      </c>
      <c r="E961" t="s">
        <v>3273</v>
      </c>
      <c r="F961" t="s">
        <v>6059</v>
      </c>
      <c r="G961" s="2" t="str">
        <f>HYPERLINK("https://www.facebook.com/100001463526763/posts/1766213380104096?comment_id=1766213803437387")</f>
        <v>https://www.facebook.com/100001463526763/posts/1766213380104096?comment_id=1766213803437387</v>
      </c>
      <c r="H961" t="s">
        <v>6062</v>
      </c>
      <c r="I961" t="s">
        <v>3274</v>
      </c>
      <c r="J961" s="2" t="str">
        <f>HYPERLINK("https://www.facebook.com/100006855183348")</f>
        <v>https://www.facebook.com/100006855183348</v>
      </c>
      <c r="K961">
        <v>47</v>
      </c>
      <c r="L961" t="s">
        <v>6064</v>
      </c>
      <c r="N961" t="s">
        <v>13</v>
      </c>
      <c r="O961" t="s">
        <v>2089</v>
      </c>
      <c r="P961" s="2" t="str">
        <f>HYPERLINK("https://www.facebook.com/100001463526763")</f>
        <v>https://www.facebook.com/100001463526763</v>
      </c>
      <c r="Q961">
        <v>73186</v>
      </c>
      <c r="R961" t="s">
        <v>6067</v>
      </c>
      <c r="S961" t="s">
        <v>6073</v>
      </c>
    </row>
    <row r="962" spans="1:19" ht="14.25" customHeight="1" x14ac:dyDescent="0.3">
      <c r="A962" t="s">
        <v>629</v>
      </c>
      <c r="B962" t="s">
        <v>750</v>
      </c>
      <c r="C962" t="s">
        <v>95</v>
      </c>
      <c r="D962" t="s">
        <v>10</v>
      </c>
      <c r="E962" t="s">
        <v>751</v>
      </c>
      <c r="F962" t="s">
        <v>6059</v>
      </c>
      <c r="G962" s="2" t="str">
        <f>HYPERLINK("https://www.facebook.com/762053551/posts/10156366210158552?comment_id=10156366965323552")</f>
        <v>https://www.facebook.com/762053551/posts/10156366210158552?comment_id=10156366965323552</v>
      </c>
      <c r="H962" t="s">
        <v>6062</v>
      </c>
      <c r="I962" t="s">
        <v>752</v>
      </c>
      <c r="J962" s="2" t="str">
        <f>HYPERLINK("https://www.facebook.com/100000731403363")</f>
        <v>https://www.facebook.com/100000731403363</v>
      </c>
      <c r="K962">
        <v>0</v>
      </c>
      <c r="L962" t="s">
        <v>6063</v>
      </c>
      <c r="N962" t="s">
        <v>13</v>
      </c>
      <c r="O962" t="s">
        <v>14</v>
      </c>
      <c r="P962" s="2" t="str">
        <f>HYPERLINK("https://www.facebook.com/762053551")</f>
        <v>https://www.facebook.com/762053551</v>
      </c>
      <c r="Q962">
        <v>102347</v>
      </c>
      <c r="R962" t="s">
        <v>6067</v>
      </c>
      <c r="S962" t="s">
        <v>6073</v>
      </c>
    </row>
    <row r="963" spans="1:19" ht="14.25" customHeight="1" x14ac:dyDescent="0.3">
      <c r="A963" t="s">
        <v>5409</v>
      </c>
      <c r="B963" t="s">
        <v>2696</v>
      </c>
      <c r="C963" t="s">
        <v>3538</v>
      </c>
      <c r="D963" t="s">
        <v>4468</v>
      </c>
      <c r="E963" t="s">
        <v>5476</v>
      </c>
      <c r="F963" t="s">
        <v>6059</v>
      </c>
      <c r="G963" s="2" t="str">
        <f>HYPERLINK("https://www.facebook.com/1529329267308888/posts/2058827921025684?comment_id=2058880621020414")</f>
        <v>https://www.facebook.com/1529329267308888/posts/2058827921025684?comment_id=2058880621020414</v>
      </c>
      <c r="H963" t="s">
        <v>6062</v>
      </c>
      <c r="I963" t="s">
        <v>5477</v>
      </c>
      <c r="J963" s="2" t="str">
        <f>HYPERLINK("https://www.facebook.com/100001964549085")</f>
        <v>https://www.facebook.com/100001964549085</v>
      </c>
      <c r="K963">
        <v>414</v>
      </c>
      <c r="L963" t="s">
        <v>6063</v>
      </c>
      <c r="N963" t="s">
        <v>13</v>
      </c>
      <c r="O963" t="s">
        <v>4471</v>
      </c>
      <c r="P963" s="2" t="str">
        <f>HYPERLINK("https://www.facebook.com/1529329267308888")</f>
        <v>https://www.facebook.com/1529329267308888</v>
      </c>
      <c r="R963" t="s">
        <v>6067</v>
      </c>
      <c r="S963" t="s">
        <v>6073</v>
      </c>
    </row>
    <row r="964" spans="1:19" ht="14.25" customHeight="1" x14ac:dyDescent="0.3">
      <c r="A964" t="s">
        <v>1</v>
      </c>
      <c r="B964" t="s">
        <v>332</v>
      </c>
      <c r="C964" t="s">
        <v>95</v>
      </c>
      <c r="D964" t="s">
        <v>330</v>
      </c>
      <c r="E964" t="s">
        <v>333</v>
      </c>
      <c r="F964" t="s">
        <v>6056</v>
      </c>
      <c r="G964" s="2" t="str">
        <f>HYPERLINK("https://www.facebook.com/100001427805771/posts/1713574738700103")</f>
        <v>https://www.facebook.com/100001427805771/posts/1713574738700103</v>
      </c>
      <c r="H964" t="s">
        <v>6062</v>
      </c>
      <c r="I964" t="s">
        <v>334</v>
      </c>
      <c r="J964" s="2" t="str">
        <f>HYPERLINK("https://www.facebook.com/100001427805771")</f>
        <v>https://www.facebook.com/100001427805771</v>
      </c>
      <c r="K964">
        <v>3108</v>
      </c>
      <c r="L964" t="s">
        <v>6063</v>
      </c>
      <c r="N964" t="s">
        <v>13</v>
      </c>
      <c r="O964" t="s">
        <v>334</v>
      </c>
      <c r="P964" s="2" t="str">
        <f>HYPERLINK("https://www.facebook.com/100001427805771")</f>
        <v>https://www.facebook.com/100001427805771</v>
      </c>
      <c r="Q964">
        <v>3108</v>
      </c>
      <c r="R964" t="s">
        <v>6067</v>
      </c>
      <c r="S964" t="s">
        <v>6073</v>
      </c>
    </row>
    <row r="965" spans="1:19" ht="14.25" customHeight="1" x14ac:dyDescent="0.3">
      <c r="A965" t="s">
        <v>5409</v>
      </c>
      <c r="B965" t="s">
        <v>290</v>
      </c>
      <c r="C965" t="s">
        <v>3538</v>
      </c>
      <c r="D965" t="s">
        <v>4318</v>
      </c>
      <c r="E965" t="s">
        <v>5429</v>
      </c>
      <c r="F965" t="s">
        <v>6058</v>
      </c>
      <c r="G965" s="2" t="str">
        <f>HYPERLINK("https://www.facebook.com/100007063908813/posts/2068785323366911")</f>
        <v>https://www.facebook.com/100007063908813/posts/2068785323366911</v>
      </c>
      <c r="H965" t="s">
        <v>6062</v>
      </c>
      <c r="I965" t="s">
        <v>5826</v>
      </c>
      <c r="J965" s="2" t="str">
        <f>HYPERLINK("https://www.facebook.com/100007063908813")</f>
        <v>https://www.facebook.com/100007063908813</v>
      </c>
      <c r="K965">
        <v>627</v>
      </c>
      <c r="L965" t="s">
        <v>6063</v>
      </c>
      <c r="N965" t="s">
        <v>13</v>
      </c>
      <c r="O965" t="s">
        <v>5826</v>
      </c>
      <c r="P965" s="2" t="str">
        <f>HYPERLINK("https://www.facebook.com/100007063908813")</f>
        <v>https://www.facebook.com/100007063908813</v>
      </c>
      <c r="Q965">
        <v>627</v>
      </c>
      <c r="R965" t="s">
        <v>6067</v>
      </c>
      <c r="S965" t="s">
        <v>6073</v>
      </c>
    </row>
    <row r="966" spans="1:19" ht="14.25" customHeight="1" x14ac:dyDescent="0.3">
      <c r="A966" t="s">
        <v>4995</v>
      </c>
      <c r="B966" t="s">
        <v>3083</v>
      </c>
      <c r="C966" t="s">
        <v>3538</v>
      </c>
      <c r="D966" t="s">
        <v>5154</v>
      </c>
      <c r="E966" t="s">
        <v>5155</v>
      </c>
      <c r="F966" t="s">
        <v>6057</v>
      </c>
      <c r="G966" s="2" t="str">
        <f>HYPERLINK("https://www.facebook.com/999923173364791/posts/1913349828688783")</f>
        <v>https://www.facebook.com/999923173364791/posts/1913349828688783</v>
      </c>
      <c r="H966" t="s">
        <v>6062</v>
      </c>
      <c r="I966" t="s">
        <v>5156</v>
      </c>
      <c r="J966" s="2" t="str">
        <f>HYPERLINK("https://www.facebook.com/999923173364791")</f>
        <v>https://www.facebook.com/999923173364791</v>
      </c>
      <c r="K966">
        <v>14041</v>
      </c>
      <c r="L966" t="s">
        <v>6065</v>
      </c>
      <c r="N966" t="s">
        <v>13</v>
      </c>
      <c r="O966" t="s">
        <v>5156</v>
      </c>
      <c r="P966" s="2" t="str">
        <f>HYPERLINK("https://www.facebook.com/999923173364791")</f>
        <v>https://www.facebook.com/999923173364791</v>
      </c>
      <c r="Q966">
        <v>14041</v>
      </c>
      <c r="R966" t="s">
        <v>6067</v>
      </c>
      <c r="S966" t="s">
        <v>6103</v>
      </c>
    </row>
    <row r="967" spans="1:19" ht="14.25" customHeight="1" x14ac:dyDescent="0.3">
      <c r="A967" t="s">
        <v>2225</v>
      </c>
      <c r="B967" t="s">
        <v>2836</v>
      </c>
      <c r="C967" t="s">
        <v>95</v>
      </c>
      <c r="D967" t="s">
        <v>853</v>
      </c>
      <c r="E967" t="s">
        <v>2845</v>
      </c>
      <c r="F967" t="s">
        <v>6059</v>
      </c>
      <c r="G967" s="2" t="str">
        <f>HYPERLINK("https://www.facebook.com/100008934274771/posts/1810262525948206?comment_id=1810266479281144")</f>
        <v>https://www.facebook.com/100008934274771/posts/1810262525948206?comment_id=1810266479281144</v>
      </c>
      <c r="H967" t="s">
        <v>6062</v>
      </c>
      <c r="I967" t="s">
        <v>2310</v>
      </c>
      <c r="J967" s="2" t="str">
        <f>HYPERLINK("https://www.facebook.com/100024862097366")</f>
        <v>https://www.facebook.com/100024862097366</v>
      </c>
      <c r="K967">
        <v>4</v>
      </c>
      <c r="L967" t="s">
        <v>6063</v>
      </c>
      <c r="N967" t="s">
        <v>13</v>
      </c>
      <c r="O967" t="s">
        <v>856</v>
      </c>
      <c r="P967" s="2" t="str">
        <f>HYPERLINK("https://www.facebook.com/100008934274771")</f>
        <v>https://www.facebook.com/100008934274771</v>
      </c>
      <c r="Q967">
        <v>10395</v>
      </c>
      <c r="R967" t="s">
        <v>6067</v>
      </c>
      <c r="S967" t="s">
        <v>6073</v>
      </c>
    </row>
    <row r="968" spans="1:19" ht="14.25" customHeight="1" x14ac:dyDescent="0.3">
      <c r="A968" t="s">
        <v>2225</v>
      </c>
      <c r="B968" t="s">
        <v>2831</v>
      </c>
      <c r="C968" t="s">
        <v>95</v>
      </c>
      <c r="D968" t="s">
        <v>853</v>
      </c>
      <c r="E968" t="s">
        <v>2833</v>
      </c>
      <c r="F968" t="s">
        <v>6059</v>
      </c>
      <c r="G968" s="2" t="str">
        <f>HYPERLINK("https://www.facebook.com/100008934274771/posts/1810262525948206?comment_id=1810267182614407")</f>
        <v>https://www.facebook.com/100008934274771/posts/1810262525948206?comment_id=1810267182614407</v>
      </c>
      <c r="H968" t="s">
        <v>6062</v>
      </c>
      <c r="I968" t="s">
        <v>2310</v>
      </c>
      <c r="J968" s="2" t="str">
        <f>HYPERLINK("https://www.facebook.com/100024862097366")</f>
        <v>https://www.facebook.com/100024862097366</v>
      </c>
      <c r="K968">
        <v>4</v>
      </c>
      <c r="L968" t="s">
        <v>6063</v>
      </c>
      <c r="N968" t="s">
        <v>13</v>
      </c>
      <c r="O968" t="s">
        <v>856</v>
      </c>
      <c r="P968" s="2" t="str">
        <f>HYPERLINK("https://www.facebook.com/100008934274771")</f>
        <v>https://www.facebook.com/100008934274771</v>
      </c>
      <c r="Q968">
        <v>10395</v>
      </c>
      <c r="R968" t="s">
        <v>6067</v>
      </c>
      <c r="S968" t="s">
        <v>6073</v>
      </c>
    </row>
    <row r="969" spans="1:19" ht="14.25" customHeight="1" x14ac:dyDescent="0.3">
      <c r="A969" t="s">
        <v>2225</v>
      </c>
      <c r="B969" t="s">
        <v>2306</v>
      </c>
      <c r="C969" t="s">
        <v>95</v>
      </c>
      <c r="D969" t="s">
        <v>853</v>
      </c>
      <c r="E969" t="s">
        <v>2309</v>
      </c>
      <c r="F969" t="s">
        <v>6059</v>
      </c>
      <c r="G969" s="2" t="str">
        <f>HYPERLINK("https://www.facebook.com/100008934274771/posts/1810262525948206?comment_id=1810307655943693")</f>
        <v>https://www.facebook.com/100008934274771/posts/1810262525948206?comment_id=1810307655943693</v>
      </c>
      <c r="H969" t="s">
        <v>6062</v>
      </c>
      <c r="I969" t="s">
        <v>2310</v>
      </c>
      <c r="J969" s="2" t="str">
        <f>HYPERLINK("https://www.facebook.com/100024862097366")</f>
        <v>https://www.facebook.com/100024862097366</v>
      </c>
      <c r="K969">
        <v>4</v>
      </c>
      <c r="L969" t="s">
        <v>6063</v>
      </c>
      <c r="N969" t="s">
        <v>13</v>
      </c>
      <c r="O969" t="s">
        <v>856</v>
      </c>
      <c r="P969" s="2" t="str">
        <f>HYPERLINK("https://www.facebook.com/100008934274771")</f>
        <v>https://www.facebook.com/100008934274771</v>
      </c>
      <c r="Q969">
        <v>10395</v>
      </c>
      <c r="R969" t="s">
        <v>6067</v>
      </c>
      <c r="S969" t="s">
        <v>6073</v>
      </c>
    </row>
    <row r="970" spans="1:19" ht="14.25" customHeight="1" x14ac:dyDescent="0.3">
      <c r="A970" t="s">
        <v>2225</v>
      </c>
      <c r="B970" t="s">
        <v>2433</v>
      </c>
      <c r="C970" t="s">
        <v>95</v>
      </c>
      <c r="D970" t="s">
        <v>853</v>
      </c>
      <c r="E970" t="s">
        <v>2440</v>
      </c>
      <c r="F970" t="s">
        <v>6059</v>
      </c>
      <c r="G970" s="2" t="str">
        <f>HYPERLINK("https://www.facebook.com/100008934274771/posts/1810262525948206?comment_id=1810294942611631")</f>
        <v>https://www.facebook.com/100008934274771/posts/1810262525948206?comment_id=1810294942611631</v>
      </c>
      <c r="H970" t="s">
        <v>6062</v>
      </c>
      <c r="I970" t="s">
        <v>2310</v>
      </c>
      <c r="J970" s="2" t="str">
        <f>HYPERLINK("https://www.facebook.com/100024862097366")</f>
        <v>https://www.facebook.com/100024862097366</v>
      </c>
      <c r="K970">
        <v>4</v>
      </c>
      <c r="L970" t="s">
        <v>6063</v>
      </c>
      <c r="N970" t="s">
        <v>13</v>
      </c>
      <c r="O970" t="s">
        <v>856</v>
      </c>
      <c r="P970" s="2" t="str">
        <f>HYPERLINK("https://www.facebook.com/100008934274771")</f>
        <v>https://www.facebook.com/100008934274771</v>
      </c>
      <c r="Q970">
        <v>10395</v>
      </c>
      <c r="R970" t="s">
        <v>6067</v>
      </c>
      <c r="S970" t="s">
        <v>6073</v>
      </c>
    </row>
    <row r="971" spans="1:19" ht="14.25" customHeight="1" x14ac:dyDescent="0.3">
      <c r="A971" t="s">
        <v>2225</v>
      </c>
      <c r="B971" t="s">
        <v>2781</v>
      </c>
      <c r="C971" t="s">
        <v>95</v>
      </c>
      <c r="D971" t="s">
        <v>853</v>
      </c>
      <c r="E971" t="s">
        <v>2783</v>
      </c>
      <c r="F971" t="s">
        <v>6059</v>
      </c>
      <c r="G971" s="2" t="str">
        <f>HYPERLINK("https://www.facebook.com/100008934274771/posts/1810262525948206?comment_id=1810270385947420")</f>
        <v>https://www.facebook.com/100008934274771/posts/1810262525948206?comment_id=1810270385947420</v>
      </c>
      <c r="H971" t="s">
        <v>6062</v>
      </c>
      <c r="I971" t="s">
        <v>2310</v>
      </c>
      <c r="J971" s="2" t="str">
        <f>HYPERLINK("https://www.facebook.com/100024862097366")</f>
        <v>https://www.facebook.com/100024862097366</v>
      </c>
      <c r="K971">
        <v>4</v>
      </c>
      <c r="L971" t="s">
        <v>6063</v>
      </c>
      <c r="N971" t="s">
        <v>13</v>
      </c>
      <c r="O971" t="s">
        <v>856</v>
      </c>
      <c r="P971" s="2" t="str">
        <f>HYPERLINK("https://www.facebook.com/100008934274771")</f>
        <v>https://www.facebook.com/100008934274771</v>
      </c>
      <c r="Q971">
        <v>10395</v>
      </c>
      <c r="R971" t="s">
        <v>6067</v>
      </c>
      <c r="S971" t="s">
        <v>6073</v>
      </c>
    </row>
    <row r="972" spans="1:19" ht="14.25" customHeight="1" x14ac:dyDescent="0.3">
      <c r="A972" t="s">
        <v>629</v>
      </c>
      <c r="B972" t="s">
        <v>1292</v>
      </c>
      <c r="C972" t="s">
        <v>95</v>
      </c>
      <c r="D972" t="s">
        <v>10</v>
      </c>
      <c r="E972" t="s">
        <v>1295</v>
      </c>
      <c r="F972" t="s">
        <v>6059</v>
      </c>
      <c r="G972" s="2" t="str">
        <f>HYPERLINK("https://www.facebook.com/762053551/posts/10156366210158552?comment_id=10156366215853552")</f>
        <v>https://www.facebook.com/762053551/posts/10156366210158552?comment_id=10156366215853552</v>
      </c>
      <c r="H972" t="s">
        <v>6062</v>
      </c>
      <c r="I972" t="s">
        <v>1296</v>
      </c>
      <c r="J972" s="2" t="str">
        <f>HYPERLINK("https://www.facebook.com/1797468578")</f>
        <v>https://www.facebook.com/1797468578</v>
      </c>
      <c r="K972">
        <v>0</v>
      </c>
      <c r="L972" t="s">
        <v>6063</v>
      </c>
      <c r="N972" t="s">
        <v>13</v>
      </c>
      <c r="O972" t="s">
        <v>14</v>
      </c>
      <c r="P972" s="2" t="str">
        <f>HYPERLINK("https://www.facebook.com/762053551")</f>
        <v>https://www.facebook.com/762053551</v>
      </c>
      <c r="Q972">
        <v>102347</v>
      </c>
      <c r="R972" t="s">
        <v>6067</v>
      </c>
      <c r="S972" t="s">
        <v>6073</v>
      </c>
    </row>
    <row r="973" spans="1:19" ht="14.25" customHeight="1" x14ac:dyDescent="0.3">
      <c r="A973" t="s">
        <v>629</v>
      </c>
      <c r="B973" t="s">
        <v>1667</v>
      </c>
      <c r="C973" t="s">
        <v>95</v>
      </c>
      <c r="D973" t="s">
        <v>370</v>
      </c>
      <c r="E973" t="s">
        <v>371</v>
      </c>
      <c r="F973" t="s">
        <v>6058</v>
      </c>
      <c r="G973" s="2" t="str">
        <f>HYPERLINK("https://www.facebook.com/100007724052870/posts/2416135525320559")</f>
        <v>https://www.facebook.com/100007724052870/posts/2416135525320559</v>
      </c>
      <c r="H973" t="s">
        <v>6062</v>
      </c>
      <c r="I973" t="s">
        <v>1668</v>
      </c>
      <c r="J973" s="2" t="str">
        <f>HYPERLINK("https://www.facebook.com/100007724052870")</f>
        <v>https://www.facebook.com/100007724052870</v>
      </c>
      <c r="K973">
        <v>325</v>
      </c>
      <c r="L973" t="s">
        <v>6064</v>
      </c>
      <c r="N973" t="s">
        <v>13</v>
      </c>
      <c r="O973" t="s">
        <v>1668</v>
      </c>
      <c r="P973" s="2" t="str">
        <f>HYPERLINK("https://www.facebook.com/100007724052870")</f>
        <v>https://www.facebook.com/100007724052870</v>
      </c>
      <c r="Q973">
        <v>325</v>
      </c>
      <c r="R973" t="s">
        <v>6067</v>
      </c>
      <c r="S973" t="s">
        <v>6073</v>
      </c>
    </row>
    <row r="974" spans="1:19" ht="14.25" customHeight="1" x14ac:dyDescent="0.3">
      <c r="A974" t="s">
        <v>2225</v>
      </c>
      <c r="B974" t="s">
        <v>2573</v>
      </c>
      <c r="C974" t="s">
        <v>95</v>
      </c>
      <c r="D974" t="s">
        <v>853</v>
      </c>
      <c r="E974" t="s">
        <v>2577</v>
      </c>
      <c r="F974" t="s">
        <v>6059</v>
      </c>
      <c r="G974" s="2" t="str">
        <f>HYPERLINK("https://www.facebook.com/100008934274771/posts/1810262525948206?comment_id=1810288565945602")</f>
        <v>https://www.facebook.com/100008934274771/posts/1810262525948206?comment_id=1810288565945602</v>
      </c>
      <c r="H974" t="s">
        <v>6062</v>
      </c>
      <c r="I974" t="s">
        <v>2578</v>
      </c>
      <c r="J974" s="2" t="str">
        <f>HYPERLINK("https://www.facebook.com/100001811384696")</f>
        <v>https://www.facebook.com/100001811384696</v>
      </c>
      <c r="K974">
        <v>0</v>
      </c>
      <c r="L974" t="s">
        <v>6064</v>
      </c>
      <c r="N974" t="s">
        <v>13</v>
      </c>
      <c r="O974" t="s">
        <v>856</v>
      </c>
      <c r="P974" s="2" t="str">
        <f>HYPERLINK("https://www.facebook.com/100008934274771")</f>
        <v>https://www.facebook.com/100008934274771</v>
      </c>
      <c r="Q974">
        <v>10395</v>
      </c>
      <c r="R974" t="s">
        <v>6067</v>
      </c>
      <c r="S974" t="s">
        <v>6073</v>
      </c>
    </row>
    <row r="975" spans="1:19" ht="14.25" customHeight="1" x14ac:dyDescent="0.3">
      <c r="A975" t="s">
        <v>629</v>
      </c>
      <c r="B975" t="s">
        <v>1258</v>
      </c>
      <c r="C975" t="s">
        <v>95</v>
      </c>
      <c r="D975" t="s">
        <v>370</v>
      </c>
      <c r="E975" t="s">
        <v>371</v>
      </c>
      <c r="F975" t="s">
        <v>6058</v>
      </c>
      <c r="G975" s="2" t="str">
        <f>HYPERLINK("https://www.facebook.com/239038942922840/posts/937665233060204")</f>
        <v>https://www.facebook.com/239038942922840/posts/937665233060204</v>
      </c>
      <c r="H975" t="s">
        <v>6062</v>
      </c>
      <c r="I975" t="s">
        <v>1261</v>
      </c>
      <c r="J975" s="2" t="str">
        <f t="shared" ref="J975:J1007" si="26">HYPERLINK("https://www.facebook.com/100002745134656")</f>
        <v>https://www.facebook.com/100002745134656</v>
      </c>
      <c r="K975">
        <v>307</v>
      </c>
      <c r="L975" t="s">
        <v>6064</v>
      </c>
      <c r="N975" t="s">
        <v>13</v>
      </c>
      <c r="O975" t="s">
        <v>968</v>
      </c>
      <c r="P975" s="2" t="str">
        <f>HYPERLINK("https://www.facebook.com/239038942922840")</f>
        <v>https://www.facebook.com/239038942922840</v>
      </c>
      <c r="Q975">
        <v>4756</v>
      </c>
      <c r="R975" t="s">
        <v>6067</v>
      </c>
      <c r="S975" t="s">
        <v>6073</v>
      </c>
    </row>
    <row r="976" spans="1:19" ht="14.25" customHeight="1" x14ac:dyDescent="0.3">
      <c r="A976" t="s">
        <v>629</v>
      </c>
      <c r="B976" t="s">
        <v>1338</v>
      </c>
      <c r="C976" t="s">
        <v>95</v>
      </c>
      <c r="D976" t="s">
        <v>370</v>
      </c>
      <c r="E976" t="s">
        <v>371</v>
      </c>
      <c r="F976" t="s">
        <v>6058</v>
      </c>
      <c r="G976" s="2" t="str">
        <f>HYPERLINK("https://www.facebook.com/1664658427178296/posts/1331076516993840")</f>
        <v>https://www.facebook.com/1664658427178296/posts/1331076516993840</v>
      </c>
      <c r="H976" t="s">
        <v>6062</v>
      </c>
      <c r="I976" t="s">
        <v>1261</v>
      </c>
      <c r="J976" s="2" t="str">
        <f t="shared" si="26"/>
        <v>https://www.facebook.com/100002745134656</v>
      </c>
      <c r="K976">
        <v>307</v>
      </c>
      <c r="L976" t="s">
        <v>6064</v>
      </c>
      <c r="N976" t="s">
        <v>13</v>
      </c>
      <c r="O976" t="s">
        <v>1339</v>
      </c>
      <c r="P976" s="2" t="str">
        <f>HYPERLINK("https://www.facebook.com/1664658427178296")</f>
        <v>https://www.facebook.com/1664658427178296</v>
      </c>
      <c r="R976" t="s">
        <v>6067</v>
      </c>
      <c r="S976" t="s">
        <v>6073</v>
      </c>
    </row>
    <row r="977" spans="1:19" ht="14.25" customHeight="1" x14ac:dyDescent="0.3">
      <c r="A977" t="s">
        <v>629</v>
      </c>
      <c r="B977" t="s">
        <v>1340</v>
      </c>
      <c r="C977" t="s">
        <v>95</v>
      </c>
      <c r="D977" t="s">
        <v>370</v>
      </c>
      <c r="E977" t="s">
        <v>371</v>
      </c>
      <c r="F977" t="s">
        <v>6058</v>
      </c>
      <c r="G977" s="2" t="str">
        <f>HYPERLINK("https://www.facebook.com/621203891251210/posts/1674327492605506")</f>
        <v>https://www.facebook.com/621203891251210/posts/1674327492605506</v>
      </c>
      <c r="H977" t="s">
        <v>6062</v>
      </c>
      <c r="I977" t="s">
        <v>1261</v>
      </c>
      <c r="J977" s="2" t="str">
        <f t="shared" si="26"/>
        <v>https://www.facebook.com/100002745134656</v>
      </c>
      <c r="K977">
        <v>307</v>
      </c>
      <c r="L977" t="s">
        <v>6064</v>
      </c>
      <c r="N977" t="s">
        <v>13</v>
      </c>
      <c r="O977" t="s">
        <v>1341</v>
      </c>
      <c r="P977" s="2" t="str">
        <f>HYPERLINK("https://www.facebook.com/621203891251210")</f>
        <v>https://www.facebook.com/621203891251210</v>
      </c>
      <c r="R977" t="s">
        <v>6067</v>
      </c>
      <c r="S977" t="s">
        <v>6073</v>
      </c>
    </row>
    <row r="978" spans="1:19" ht="14.25" customHeight="1" x14ac:dyDescent="0.3">
      <c r="A978" t="s">
        <v>629</v>
      </c>
      <c r="B978" t="s">
        <v>1340</v>
      </c>
      <c r="C978" t="s">
        <v>95</v>
      </c>
      <c r="D978" t="s">
        <v>370</v>
      </c>
      <c r="E978" t="s">
        <v>371</v>
      </c>
      <c r="F978" t="s">
        <v>6058</v>
      </c>
      <c r="G978" s="2" t="str">
        <f>HYPERLINK("https://www.facebook.com/621203891251210/posts/1331076150327210")</f>
        <v>https://www.facebook.com/621203891251210/posts/1331076150327210</v>
      </c>
      <c r="H978" t="s">
        <v>6062</v>
      </c>
      <c r="I978" t="s">
        <v>1261</v>
      </c>
      <c r="J978" s="2" t="str">
        <f t="shared" si="26"/>
        <v>https://www.facebook.com/100002745134656</v>
      </c>
      <c r="K978">
        <v>307</v>
      </c>
      <c r="L978" t="s">
        <v>6064</v>
      </c>
      <c r="N978" t="s">
        <v>13</v>
      </c>
      <c r="O978" t="s">
        <v>1341</v>
      </c>
      <c r="P978" s="2" t="str">
        <f>HYPERLINK("https://www.facebook.com/621203891251210")</f>
        <v>https://www.facebook.com/621203891251210</v>
      </c>
      <c r="R978" t="s">
        <v>6067</v>
      </c>
      <c r="S978" t="s">
        <v>6073</v>
      </c>
    </row>
    <row r="979" spans="1:19" ht="14.25" customHeight="1" x14ac:dyDescent="0.3">
      <c r="A979" t="s">
        <v>629</v>
      </c>
      <c r="B979" t="s">
        <v>1340</v>
      </c>
      <c r="C979" t="s">
        <v>95</v>
      </c>
      <c r="D979" t="s">
        <v>370</v>
      </c>
      <c r="E979" t="s">
        <v>371</v>
      </c>
      <c r="F979" t="s">
        <v>6058</v>
      </c>
      <c r="G979" s="2" t="str">
        <f>HYPERLINK("https://www.facebook.com/633839013396313/posts/1331076093660549")</f>
        <v>https://www.facebook.com/633839013396313/posts/1331076093660549</v>
      </c>
      <c r="H979" t="s">
        <v>6062</v>
      </c>
      <c r="I979" t="s">
        <v>1261</v>
      </c>
      <c r="J979" s="2" t="str">
        <f t="shared" si="26"/>
        <v>https://www.facebook.com/100002745134656</v>
      </c>
      <c r="K979">
        <v>307</v>
      </c>
      <c r="L979" t="s">
        <v>6064</v>
      </c>
      <c r="N979" t="s">
        <v>13</v>
      </c>
      <c r="O979" t="s">
        <v>1342</v>
      </c>
      <c r="P979" s="2" t="str">
        <f>HYPERLINK("https://www.facebook.com/633839013396313")</f>
        <v>https://www.facebook.com/633839013396313</v>
      </c>
      <c r="R979" t="s">
        <v>6067</v>
      </c>
      <c r="S979" t="s">
        <v>6073</v>
      </c>
    </row>
    <row r="980" spans="1:19" ht="14.25" customHeight="1" x14ac:dyDescent="0.3">
      <c r="A980" t="s">
        <v>629</v>
      </c>
      <c r="B980" t="s">
        <v>1340</v>
      </c>
      <c r="C980" t="s">
        <v>95</v>
      </c>
      <c r="D980" t="s">
        <v>370</v>
      </c>
      <c r="E980" t="s">
        <v>371</v>
      </c>
      <c r="F980" t="s">
        <v>6058</v>
      </c>
      <c r="G980" s="2" t="str">
        <f>HYPERLINK("https://www.facebook.com/633839013396313/posts/1623734484406756")</f>
        <v>https://www.facebook.com/633839013396313/posts/1623734484406756</v>
      </c>
      <c r="H980" t="s">
        <v>6062</v>
      </c>
      <c r="I980" t="s">
        <v>1261</v>
      </c>
      <c r="J980" s="2" t="str">
        <f t="shared" si="26"/>
        <v>https://www.facebook.com/100002745134656</v>
      </c>
      <c r="K980">
        <v>307</v>
      </c>
      <c r="L980" t="s">
        <v>6064</v>
      </c>
      <c r="N980" t="s">
        <v>13</v>
      </c>
      <c r="O980" t="s">
        <v>1342</v>
      </c>
      <c r="P980" s="2" t="str">
        <f>HYPERLINK("https://www.facebook.com/633839013396313")</f>
        <v>https://www.facebook.com/633839013396313</v>
      </c>
      <c r="R980" t="s">
        <v>6067</v>
      </c>
      <c r="S980" t="s">
        <v>6073</v>
      </c>
    </row>
    <row r="981" spans="1:19" ht="14.25" customHeight="1" x14ac:dyDescent="0.3">
      <c r="A981" t="s">
        <v>629</v>
      </c>
      <c r="B981" t="s">
        <v>1340</v>
      </c>
      <c r="C981" t="s">
        <v>95</v>
      </c>
      <c r="D981" t="s">
        <v>370</v>
      </c>
      <c r="E981" t="s">
        <v>371</v>
      </c>
      <c r="F981" t="s">
        <v>6058</v>
      </c>
      <c r="G981" s="2" t="str">
        <f>HYPERLINK("https://www.facebook.com/666125930111669/posts/1717997511591167")</f>
        <v>https://www.facebook.com/666125930111669/posts/1717997511591167</v>
      </c>
      <c r="H981" t="s">
        <v>6062</v>
      </c>
      <c r="I981" t="s">
        <v>1261</v>
      </c>
      <c r="J981" s="2" t="str">
        <f t="shared" si="26"/>
        <v>https://www.facebook.com/100002745134656</v>
      </c>
      <c r="K981">
        <v>307</v>
      </c>
      <c r="L981" t="s">
        <v>6064</v>
      </c>
      <c r="N981" t="s">
        <v>13</v>
      </c>
      <c r="O981" t="s">
        <v>1343</v>
      </c>
      <c r="P981" s="2" t="str">
        <f>HYPERLINK("https://www.facebook.com/666125930111669")</f>
        <v>https://www.facebook.com/666125930111669</v>
      </c>
      <c r="Q981">
        <v>49</v>
      </c>
      <c r="R981" t="s">
        <v>6067</v>
      </c>
      <c r="S981" t="s">
        <v>6073</v>
      </c>
    </row>
    <row r="982" spans="1:19" ht="14.25" customHeight="1" x14ac:dyDescent="0.3">
      <c r="A982" t="s">
        <v>629</v>
      </c>
      <c r="B982" t="s">
        <v>1340</v>
      </c>
      <c r="C982" t="s">
        <v>95</v>
      </c>
      <c r="D982" t="s">
        <v>370</v>
      </c>
      <c r="E982" t="s">
        <v>371</v>
      </c>
      <c r="F982" t="s">
        <v>6058</v>
      </c>
      <c r="G982" s="2" t="str">
        <f>HYPERLINK("https://www.facebook.com/666125930111669/posts/1331076063660552")</f>
        <v>https://www.facebook.com/666125930111669/posts/1331076063660552</v>
      </c>
      <c r="H982" t="s">
        <v>6062</v>
      </c>
      <c r="I982" t="s">
        <v>1261</v>
      </c>
      <c r="J982" s="2" t="str">
        <f t="shared" si="26"/>
        <v>https://www.facebook.com/100002745134656</v>
      </c>
      <c r="K982">
        <v>307</v>
      </c>
      <c r="L982" t="s">
        <v>6064</v>
      </c>
      <c r="N982" t="s">
        <v>13</v>
      </c>
      <c r="O982" t="s">
        <v>1343</v>
      </c>
      <c r="P982" s="2" t="str">
        <f>HYPERLINK("https://www.facebook.com/666125930111669")</f>
        <v>https://www.facebook.com/666125930111669</v>
      </c>
      <c r="Q982">
        <v>49</v>
      </c>
      <c r="R982" t="s">
        <v>6067</v>
      </c>
      <c r="S982" t="s">
        <v>6073</v>
      </c>
    </row>
    <row r="983" spans="1:19" ht="14.25" customHeight="1" x14ac:dyDescent="0.3">
      <c r="A983" t="s">
        <v>629</v>
      </c>
      <c r="B983" t="s">
        <v>1340</v>
      </c>
      <c r="C983" t="s">
        <v>95</v>
      </c>
      <c r="D983" t="s">
        <v>370</v>
      </c>
      <c r="E983" t="s">
        <v>371</v>
      </c>
      <c r="F983" t="s">
        <v>6058</v>
      </c>
      <c r="G983" s="2" t="str">
        <f>HYPERLINK("https://www.facebook.com/1398315370455318/posts/1331075890327236")</f>
        <v>https://www.facebook.com/1398315370455318/posts/1331075890327236</v>
      </c>
      <c r="H983" t="s">
        <v>6062</v>
      </c>
      <c r="I983" t="s">
        <v>1261</v>
      </c>
      <c r="J983" s="2" t="str">
        <f t="shared" si="26"/>
        <v>https://www.facebook.com/100002745134656</v>
      </c>
      <c r="K983">
        <v>307</v>
      </c>
      <c r="L983" t="s">
        <v>6064</v>
      </c>
      <c r="N983" t="s">
        <v>13</v>
      </c>
      <c r="O983" t="s">
        <v>1344</v>
      </c>
      <c r="P983" s="2" t="str">
        <f>HYPERLINK("https://www.facebook.com/1398315370455318")</f>
        <v>https://www.facebook.com/1398315370455318</v>
      </c>
      <c r="R983" t="s">
        <v>6067</v>
      </c>
      <c r="S983" t="s">
        <v>6073</v>
      </c>
    </row>
    <row r="984" spans="1:19" ht="14.25" customHeight="1" x14ac:dyDescent="0.3">
      <c r="A984" t="s">
        <v>629</v>
      </c>
      <c r="B984" t="s">
        <v>1340</v>
      </c>
      <c r="C984" t="s">
        <v>95</v>
      </c>
      <c r="D984" t="s">
        <v>370</v>
      </c>
      <c r="E984" t="s">
        <v>371</v>
      </c>
      <c r="F984" t="s">
        <v>6058</v>
      </c>
      <c r="G984" s="2" t="str">
        <f>HYPERLINK("https://www.facebook.com/1398315370455318/posts/2098632647090250")</f>
        <v>https://www.facebook.com/1398315370455318/posts/2098632647090250</v>
      </c>
      <c r="H984" t="s">
        <v>6062</v>
      </c>
      <c r="I984" t="s">
        <v>1261</v>
      </c>
      <c r="J984" s="2" t="str">
        <f t="shared" si="26"/>
        <v>https://www.facebook.com/100002745134656</v>
      </c>
      <c r="K984">
        <v>307</v>
      </c>
      <c r="L984" t="s">
        <v>6064</v>
      </c>
      <c r="N984" t="s">
        <v>13</v>
      </c>
      <c r="O984" t="s">
        <v>1344</v>
      </c>
      <c r="P984" s="2" t="str">
        <f>HYPERLINK("https://www.facebook.com/1398315370455318")</f>
        <v>https://www.facebook.com/1398315370455318</v>
      </c>
      <c r="R984" t="s">
        <v>6067</v>
      </c>
      <c r="S984" t="s">
        <v>6073</v>
      </c>
    </row>
    <row r="985" spans="1:19" ht="14.25" customHeight="1" x14ac:dyDescent="0.3">
      <c r="A985" t="s">
        <v>629</v>
      </c>
      <c r="B985" t="s">
        <v>1340</v>
      </c>
      <c r="C985" t="s">
        <v>95</v>
      </c>
      <c r="D985" t="s">
        <v>370</v>
      </c>
      <c r="E985" t="s">
        <v>371</v>
      </c>
      <c r="F985" t="s">
        <v>6058</v>
      </c>
      <c r="G985" s="2" t="str">
        <f>HYPERLINK("https://www.facebook.com/189805601569572/posts/1331075596993932")</f>
        <v>https://www.facebook.com/189805601569572/posts/1331075596993932</v>
      </c>
      <c r="H985" t="s">
        <v>6062</v>
      </c>
      <c r="I985" t="s">
        <v>1261</v>
      </c>
      <c r="J985" s="2" t="str">
        <f t="shared" si="26"/>
        <v>https://www.facebook.com/100002745134656</v>
      </c>
      <c r="K985">
        <v>307</v>
      </c>
      <c r="L985" t="s">
        <v>6064</v>
      </c>
      <c r="N985" t="s">
        <v>13</v>
      </c>
      <c r="O985" t="s">
        <v>1345</v>
      </c>
      <c r="P985" s="2" t="str">
        <f>HYPERLINK("https://www.facebook.com/189805601569572")</f>
        <v>https://www.facebook.com/189805601569572</v>
      </c>
      <c r="R985" t="s">
        <v>6067</v>
      </c>
      <c r="S985" t="s">
        <v>6073</v>
      </c>
    </row>
    <row r="986" spans="1:19" ht="14.25" customHeight="1" x14ac:dyDescent="0.3">
      <c r="A986" t="s">
        <v>629</v>
      </c>
      <c r="B986" t="s">
        <v>1346</v>
      </c>
      <c r="C986" t="s">
        <v>95</v>
      </c>
      <c r="D986" t="s">
        <v>370</v>
      </c>
      <c r="E986" t="s">
        <v>371</v>
      </c>
      <c r="F986" t="s">
        <v>6058</v>
      </c>
      <c r="G986" s="2" t="str">
        <f>HYPERLINK("https://www.facebook.com/849822995037227/posts/1865942336758616")</f>
        <v>https://www.facebook.com/849822995037227/posts/1865942336758616</v>
      </c>
      <c r="H986" t="s">
        <v>6062</v>
      </c>
      <c r="I986" t="s">
        <v>1261</v>
      </c>
      <c r="J986" s="2" t="str">
        <f t="shared" si="26"/>
        <v>https://www.facebook.com/100002745134656</v>
      </c>
      <c r="K986">
        <v>307</v>
      </c>
      <c r="L986" t="s">
        <v>6064</v>
      </c>
      <c r="N986" t="s">
        <v>13</v>
      </c>
      <c r="O986" t="s">
        <v>1347</v>
      </c>
      <c r="P986" s="2" t="str">
        <f>HYPERLINK("https://www.facebook.com/849822995037227")</f>
        <v>https://www.facebook.com/849822995037227</v>
      </c>
      <c r="Q986">
        <v>119</v>
      </c>
      <c r="R986" t="s">
        <v>6067</v>
      </c>
      <c r="S986" t="s">
        <v>6073</v>
      </c>
    </row>
    <row r="987" spans="1:19" ht="14.25" customHeight="1" x14ac:dyDescent="0.3">
      <c r="A987" t="s">
        <v>629</v>
      </c>
      <c r="B987" t="s">
        <v>1346</v>
      </c>
      <c r="C987" t="s">
        <v>95</v>
      </c>
      <c r="D987" t="s">
        <v>370</v>
      </c>
      <c r="E987" t="s">
        <v>371</v>
      </c>
      <c r="F987" t="s">
        <v>6058</v>
      </c>
      <c r="G987" s="2" t="str">
        <f>HYPERLINK("https://www.facebook.com/849822995037227/posts/1331075470327278")</f>
        <v>https://www.facebook.com/849822995037227/posts/1331075470327278</v>
      </c>
      <c r="H987" t="s">
        <v>6062</v>
      </c>
      <c r="I987" t="s">
        <v>1261</v>
      </c>
      <c r="J987" s="2" t="str">
        <f t="shared" si="26"/>
        <v>https://www.facebook.com/100002745134656</v>
      </c>
      <c r="K987">
        <v>307</v>
      </c>
      <c r="L987" t="s">
        <v>6064</v>
      </c>
      <c r="N987" t="s">
        <v>13</v>
      </c>
      <c r="O987" t="s">
        <v>1347</v>
      </c>
      <c r="P987" s="2" t="str">
        <f>HYPERLINK("https://www.facebook.com/849822995037227")</f>
        <v>https://www.facebook.com/849822995037227</v>
      </c>
      <c r="Q987">
        <v>119</v>
      </c>
      <c r="R987" t="s">
        <v>6067</v>
      </c>
      <c r="S987" t="s">
        <v>6073</v>
      </c>
    </row>
    <row r="988" spans="1:19" ht="14.25" customHeight="1" x14ac:dyDescent="0.3">
      <c r="A988" t="s">
        <v>629</v>
      </c>
      <c r="B988" t="s">
        <v>1346</v>
      </c>
      <c r="C988" t="s">
        <v>95</v>
      </c>
      <c r="D988" t="s">
        <v>370</v>
      </c>
      <c r="E988" t="s">
        <v>371</v>
      </c>
      <c r="F988" t="s">
        <v>6058</v>
      </c>
      <c r="G988" s="2" t="str">
        <f>HYPERLINK("https://www.facebook.com/200178897136936/posts/1331075400327285")</f>
        <v>https://www.facebook.com/200178897136936/posts/1331075400327285</v>
      </c>
      <c r="H988" t="s">
        <v>6062</v>
      </c>
      <c r="I988" t="s">
        <v>1261</v>
      </c>
      <c r="J988" s="2" t="str">
        <f t="shared" si="26"/>
        <v>https://www.facebook.com/100002745134656</v>
      </c>
      <c r="K988">
        <v>307</v>
      </c>
      <c r="L988" t="s">
        <v>6064</v>
      </c>
      <c r="N988" t="s">
        <v>13</v>
      </c>
      <c r="O988" t="s">
        <v>1348</v>
      </c>
      <c r="P988" s="2" t="str">
        <f>HYPERLINK("https://www.facebook.com/200178897136936")</f>
        <v>https://www.facebook.com/200178897136936</v>
      </c>
      <c r="R988" t="s">
        <v>6067</v>
      </c>
      <c r="S988" t="s">
        <v>6073</v>
      </c>
    </row>
    <row r="989" spans="1:19" ht="14.25" customHeight="1" x14ac:dyDescent="0.3">
      <c r="A989" t="s">
        <v>629</v>
      </c>
      <c r="B989" t="s">
        <v>1346</v>
      </c>
      <c r="C989" t="s">
        <v>95</v>
      </c>
      <c r="D989" t="s">
        <v>370</v>
      </c>
      <c r="E989" t="s">
        <v>371</v>
      </c>
      <c r="F989" t="s">
        <v>6058</v>
      </c>
      <c r="G989" s="2" t="str">
        <f>HYPERLINK("https://www.facebook.com/1455841364648541/posts/2115980738634597")</f>
        <v>https://www.facebook.com/1455841364648541/posts/2115980738634597</v>
      </c>
      <c r="H989" t="s">
        <v>6062</v>
      </c>
      <c r="I989" t="s">
        <v>1261</v>
      </c>
      <c r="J989" s="2" t="str">
        <f t="shared" si="26"/>
        <v>https://www.facebook.com/100002745134656</v>
      </c>
      <c r="K989">
        <v>307</v>
      </c>
      <c r="L989" t="s">
        <v>6064</v>
      </c>
      <c r="N989" t="s">
        <v>13</v>
      </c>
      <c r="O989" t="s">
        <v>1349</v>
      </c>
      <c r="P989" s="2" t="str">
        <f>HYPERLINK("https://www.facebook.com/1455841364648541")</f>
        <v>https://www.facebook.com/1455841364648541</v>
      </c>
      <c r="Q989">
        <v>277</v>
      </c>
      <c r="R989" t="s">
        <v>6067</v>
      </c>
      <c r="S989" t="s">
        <v>6073</v>
      </c>
    </row>
    <row r="990" spans="1:19" ht="14.25" customHeight="1" x14ac:dyDescent="0.3">
      <c r="A990" t="s">
        <v>629</v>
      </c>
      <c r="B990" t="s">
        <v>1346</v>
      </c>
      <c r="C990" t="s">
        <v>95</v>
      </c>
      <c r="D990" t="s">
        <v>370</v>
      </c>
      <c r="E990" t="s">
        <v>371</v>
      </c>
      <c r="F990" t="s">
        <v>6058</v>
      </c>
      <c r="G990" s="2" t="str">
        <f>HYPERLINK("https://www.facebook.com/1455841364648541/posts/1331075333660625")</f>
        <v>https://www.facebook.com/1455841364648541/posts/1331075333660625</v>
      </c>
      <c r="H990" t="s">
        <v>6062</v>
      </c>
      <c r="I990" t="s">
        <v>1261</v>
      </c>
      <c r="J990" s="2" t="str">
        <f t="shared" si="26"/>
        <v>https://www.facebook.com/100002745134656</v>
      </c>
      <c r="K990">
        <v>307</v>
      </c>
      <c r="L990" t="s">
        <v>6064</v>
      </c>
      <c r="N990" t="s">
        <v>13</v>
      </c>
      <c r="O990" t="s">
        <v>1349</v>
      </c>
      <c r="P990" s="2" t="str">
        <f>HYPERLINK("https://www.facebook.com/1455841364648541")</f>
        <v>https://www.facebook.com/1455841364648541</v>
      </c>
      <c r="Q990">
        <v>277</v>
      </c>
      <c r="R990" t="s">
        <v>6067</v>
      </c>
      <c r="S990" t="s">
        <v>6073</v>
      </c>
    </row>
    <row r="991" spans="1:19" ht="14.25" customHeight="1" x14ac:dyDescent="0.3">
      <c r="A991" t="s">
        <v>629</v>
      </c>
      <c r="B991" t="s">
        <v>1346</v>
      </c>
      <c r="C991" t="s">
        <v>95</v>
      </c>
      <c r="D991" t="s">
        <v>370</v>
      </c>
      <c r="E991" t="s">
        <v>371</v>
      </c>
      <c r="F991" t="s">
        <v>6058</v>
      </c>
      <c r="G991" s="2" t="str">
        <f>HYPERLINK("https://www.facebook.com/121586857956272/posts/1641100519338224")</f>
        <v>https://www.facebook.com/121586857956272/posts/1641100519338224</v>
      </c>
      <c r="H991" t="s">
        <v>6062</v>
      </c>
      <c r="I991" t="s">
        <v>1261</v>
      </c>
      <c r="J991" s="2" t="str">
        <f t="shared" si="26"/>
        <v>https://www.facebook.com/100002745134656</v>
      </c>
      <c r="K991">
        <v>307</v>
      </c>
      <c r="L991" t="s">
        <v>6064</v>
      </c>
      <c r="N991" t="s">
        <v>13</v>
      </c>
      <c r="O991" t="s">
        <v>1350</v>
      </c>
      <c r="P991" s="2" t="str">
        <f>HYPERLINK("https://www.facebook.com/121586857956272")</f>
        <v>https://www.facebook.com/121586857956272</v>
      </c>
      <c r="R991" t="s">
        <v>6067</v>
      </c>
      <c r="S991" t="s">
        <v>6073</v>
      </c>
    </row>
    <row r="992" spans="1:19" ht="14.25" customHeight="1" x14ac:dyDescent="0.3">
      <c r="A992" t="s">
        <v>629</v>
      </c>
      <c r="B992" t="s">
        <v>1346</v>
      </c>
      <c r="C992" t="s">
        <v>95</v>
      </c>
      <c r="D992" t="s">
        <v>370</v>
      </c>
      <c r="E992" t="s">
        <v>371</v>
      </c>
      <c r="F992" t="s">
        <v>6058</v>
      </c>
      <c r="G992" s="2" t="str">
        <f>HYPERLINK("https://www.facebook.com/121586857956272/posts/1331075096993982")</f>
        <v>https://www.facebook.com/121586857956272/posts/1331075096993982</v>
      </c>
      <c r="H992" t="s">
        <v>6062</v>
      </c>
      <c r="I992" t="s">
        <v>1261</v>
      </c>
      <c r="J992" s="2" t="str">
        <f t="shared" si="26"/>
        <v>https://www.facebook.com/100002745134656</v>
      </c>
      <c r="K992">
        <v>307</v>
      </c>
      <c r="L992" t="s">
        <v>6064</v>
      </c>
      <c r="N992" t="s">
        <v>13</v>
      </c>
      <c r="O992" t="s">
        <v>1350</v>
      </c>
      <c r="P992" s="2" t="str">
        <f>HYPERLINK("https://www.facebook.com/121586857956272")</f>
        <v>https://www.facebook.com/121586857956272</v>
      </c>
      <c r="R992" t="s">
        <v>6067</v>
      </c>
      <c r="S992" t="s">
        <v>6073</v>
      </c>
    </row>
    <row r="993" spans="1:19" ht="14.25" customHeight="1" x14ac:dyDescent="0.3">
      <c r="A993" t="s">
        <v>629</v>
      </c>
      <c r="B993" t="s">
        <v>1346</v>
      </c>
      <c r="C993" t="s">
        <v>95</v>
      </c>
      <c r="D993" t="s">
        <v>370</v>
      </c>
      <c r="E993" t="s">
        <v>371</v>
      </c>
      <c r="F993" t="s">
        <v>6058</v>
      </c>
      <c r="G993" s="2" t="str">
        <f>HYPERLINK("https://www.facebook.com/213710695487939/posts/859908654201470")</f>
        <v>https://www.facebook.com/213710695487939/posts/859908654201470</v>
      </c>
      <c r="H993" t="s">
        <v>6062</v>
      </c>
      <c r="I993" t="s">
        <v>1261</v>
      </c>
      <c r="J993" s="2" t="str">
        <f t="shared" si="26"/>
        <v>https://www.facebook.com/100002745134656</v>
      </c>
      <c r="K993">
        <v>307</v>
      </c>
      <c r="L993" t="s">
        <v>6064</v>
      </c>
      <c r="N993" t="s">
        <v>13</v>
      </c>
      <c r="O993" t="s">
        <v>1351</v>
      </c>
      <c r="P993" s="2" t="str">
        <f>HYPERLINK("https://www.facebook.com/213710695487939")</f>
        <v>https://www.facebook.com/213710695487939</v>
      </c>
      <c r="R993" t="s">
        <v>6067</v>
      </c>
      <c r="S993" t="s">
        <v>6073</v>
      </c>
    </row>
    <row r="994" spans="1:19" ht="14.25" customHeight="1" x14ac:dyDescent="0.3">
      <c r="A994" t="s">
        <v>629</v>
      </c>
      <c r="B994" t="s">
        <v>1346</v>
      </c>
      <c r="C994" t="s">
        <v>95</v>
      </c>
      <c r="D994" t="s">
        <v>370</v>
      </c>
      <c r="E994" t="s">
        <v>371</v>
      </c>
      <c r="F994" t="s">
        <v>6058</v>
      </c>
      <c r="G994" s="2" t="str">
        <f>HYPERLINK("https://www.facebook.com/213710695487939/posts/1331075070327318")</f>
        <v>https://www.facebook.com/213710695487939/posts/1331075070327318</v>
      </c>
      <c r="H994" t="s">
        <v>6062</v>
      </c>
      <c r="I994" t="s">
        <v>1261</v>
      </c>
      <c r="J994" s="2" t="str">
        <f t="shared" si="26"/>
        <v>https://www.facebook.com/100002745134656</v>
      </c>
      <c r="K994">
        <v>307</v>
      </c>
      <c r="L994" t="s">
        <v>6064</v>
      </c>
      <c r="N994" t="s">
        <v>13</v>
      </c>
      <c r="O994" t="s">
        <v>1351</v>
      </c>
      <c r="P994" s="2" t="str">
        <f>HYPERLINK("https://www.facebook.com/213710695487939")</f>
        <v>https://www.facebook.com/213710695487939</v>
      </c>
      <c r="R994" t="s">
        <v>6067</v>
      </c>
      <c r="S994" t="s">
        <v>6073</v>
      </c>
    </row>
    <row r="995" spans="1:19" ht="14.25" customHeight="1" x14ac:dyDescent="0.3">
      <c r="A995" t="s">
        <v>629</v>
      </c>
      <c r="B995" t="s">
        <v>1346</v>
      </c>
      <c r="C995" t="s">
        <v>95</v>
      </c>
      <c r="D995" t="s">
        <v>370</v>
      </c>
      <c r="E995" t="s">
        <v>371</v>
      </c>
      <c r="F995" t="s">
        <v>6058</v>
      </c>
      <c r="G995" s="2" t="str">
        <f>HYPERLINK("https://www.facebook.com/309528605877635/posts/1331075030327322")</f>
        <v>https://www.facebook.com/309528605877635/posts/1331075030327322</v>
      </c>
      <c r="H995" t="s">
        <v>6062</v>
      </c>
      <c r="I995" t="s">
        <v>1261</v>
      </c>
      <c r="J995" s="2" t="str">
        <f t="shared" si="26"/>
        <v>https://www.facebook.com/100002745134656</v>
      </c>
      <c r="K995">
        <v>307</v>
      </c>
      <c r="L995" t="s">
        <v>6064</v>
      </c>
      <c r="N995" t="s">
        <v>13</v>
      </c>
      <c r="O995" t="s">
        <v>1352</v>
      </c>
      <c r="P995" s="2" t="str">
        <f>HYPERLINK("https://www.facebook.com/309528605877635")</f>
        <v>https://www.facebook.com/309528605877635</v>
      </c>
      <c r="R995" t="s">
        <v>6067</v>
      </c>
      <c r="S995" t="s">
        <v>6073</v>
      </c>
    </row>
    <row r="996" spans="1:19" ht="14.25" customHeight="1" x14ac:dyDescent="0.3">
      <c r="A996" t="s">
        <v>629</v>
      </c>
      <c r="B996" t="s">
        <v>1346</v>
      </c>
      <c r="C996" t="s">
        <v>95</v>
      </c>
      <c r="D996" t="s">
        <v>370</v>
      </c>
      <c r="E996" t="s">
        <v>371</v>
      </c>
      <c r="F996" t="s">
        <v>6058</v>
      </c>
      <c r="G996" s="2" t="str">
        <f>HYPERLINK("https://www.facebook.com/309528605877635/posts/939614002869089")</f>
        <v>https://www.facebook.com/309528605877635/posts/939614002869089</v>
      </c>
      <c r="H996" t="s">
        <v>6062</v>
      </c>
      <c r="I996" t="s">
        <v>1261</v>
      </c>
      <c r="J996" s="2" t="str">
        <f t="shared" si="26"/>
        <v>https://www.facebook.com/100002745134656</v>
      </c>
      <c r="K996">
        <v>307</v>
      </c>
      <c r="L996" t="s">
        <v>6064</v>
      </c>
      <c r="N996" t="s">
        <v>13</v>
      </c>
      <c r="O996" t="s">
        <v>1352</v>
      </c>
      <c r="P996" s="2" t="str">
        <f>HYPERLINK("https://www.facebook.com/309528605877635")</f>
        <v>https://www.facebook.com/309528605877635</v>
      </c>
      <c r="R996" t="s">
        <v>6067</v>
      </c>
      <c r="S996" t="s">
        <v>6073</v>
      </c>
    </row>
    <row r="997" spans="1:19" ht="14.25" customHeight="1" x14ac:dyDescent="0.3">
      <c r="A997" t="s">
        <v>629</v>
      </c>
      <c r="B997" t="s">
        <v>1346</v>
      </c>
      <c r="C997" t="s">
        <v>95</v>
      </c>
      <c r="D997" t="s">
        <v>370</v>
      </c>
      <c r="E997" t="s">
        <v>371</v>
      </c>
      <c r="F997" t="s">
        <v>6058</v>
      </c>
      <c r="G997" s="2" t="str">
        <f>HYPERLINK("https://www.facebook.com/840719102782483/posts/1331074933660665")</f>
        <v>https://www.facebook.com/840719102782483/posts/1331074933660665</v>
      </c>
      <c r="H997" t="s">
        <v>6062</v>
      </c>
      <c r="I997" t="s">
        <v>1261</v>
      </c>
      <c r="J997" s="2" t="str">
        <f t="shared" si="26"/>
        <v>https://www.facebook.com/100002745134656</v>
      </c>
      <c r="K997">
        <v>307</v>
      </c>
      <c r="L997" t="s">
        <v>6064</v>
      </c>
      <c r="N997" t="s">
        <v>13</v>
      </c>
      <c r="O997" t="s">
        <v>1353</v>
      </c>
      <c r="P997" s="2" t="str">
        <f>HYPERLINK("https://www.facebook.com/840719102782483")</f>
        <v>https://www.facebook.com/840719102782483</v>
      </c>
      <c r="R997" t="s">
        <v>6067</v>
      </c>
      <c r="S997" t="s">
        <v>6073</v>
      </c>
    </row>
    <row r="998" spans="1:19" ht="14.25" customHeight="1" x14ac:dyDescent="0.3">
      <c r="A998" t="s">
        <v>629</v>
      </c>
      <c r="B998" t="s">
        <v>1346</v>
      </c>
      <c r="C998" t="s">
        <v>95</v>
      </c>
      <c r="D998" t="s">
        <v>370</v>
      </c>
      <c r="E998" t="s">
        <v>371</v>
      </c>
      <c r="F998" t="s">
        <v>6058</v>
      </c>
      <c r="G998" s="2" t="str">
        <f>HYPERLINK("https://www.facebook.com/907959625964634/posts/1695224070571515")</f>
        <v>https://www.facebook.com/907959625964634/posts/1695224070571515</v>
      </c>
      <c r="H998" t="s">
        <v>6062</v>
      </c>
      <c r="I998" t="s">
        <v>1261</v>
      </c>
      <c r="J998" s="2" t="str">
        <f t="shared" si="26"/>
        <v>https://www.facebook.com/100002745134656</v>
      </c>
      <c r="K998">
        <v>307</v>
      </c>
      <c r="L998" t="s">
        <v>6064</v>
      </c>
      <c r="N998" t="s">
        <v>13</v>
      </c>
      <c r="O998" t="s">
        <v>1354</v>
      </c>
      <c r="P998" s="2" t="str">
        <f>HYPERLINK("https://www.facebook.com/907959625964634")</f>
        <v>https://www.facebook.com/907959625964634</v>
      </c>
      <c r="R998" t="s">
        <v>6067</v>
      </c>
      <c r="S998" t="s">
        <v>6073</v>
      </c>
    </row>
    <row r="999" spans="1:19" ht="14.25" customHeight="1" x14ac:dyDescent="0.3">
      <c r="A999" t="s">
        <v>629</v>
      </c>
      <c r="B999" t="s">
        <v>1346</v>
      </c>
      <c r="C999" t="s">
        <v>95</v>
      </c>
      <c r="D999" t="s">
        <v>370</v>
      </c>
      <c r="E999" t="s">
        <v>371</v>
      </c>
      <c r="F999" t="s">
        <v>6058</v>
      </c>
      <c r="G999" s="2" t="str">
        <f>HYPERLINK("https://www.facebook.com/907959625964634/posts/1331074886994003")</f>
        <v>https://www.facebook.com/907959625964634/posts/1331074886994003</v>
      </c>
      <c r="H999" t="s">
        <v>6062</v>
      </c>
      <c r="I999" t="s">
        <v>1261</v>
      </c>
      <c r="J999" s="2" t="str">
        <f t="shared" si="26"/>
        <v>https://www.facebook.com/100002745134656</v>
      </c>
      <c r="K999">
        <v>307</v>
      </c>
      <c r="L999" t="s">
        <v>6064</v>
      </c>
      <c r="N999" t="s">
        <v>13</v>
      </c>
      <c r="O999" t="s">
        <v>1354</v>
      </c>
      <c r="P999" s="2" t="str">
        <f>HYPERLINK("https://www.facebook.com/907959625964634")</f>
        <v>https://www.facebook.com/907959625964634</v>
      </c>
      <c r="R999" t="s">
        <v>6067</v>
      </c>
      <c r="S999" t="s">
        <v>6073</v>
      </c>
    </row>
    <row r="1000" spans="1:19" ht="14.25" customHeight="1" x14ac:dyDescent="0.3">
      <c r="A1000" t="s">
        <v>629</v>
      </c>
      <c r="B1000" t="s">
        <v>1346</v>
      </c>
      <c r="C1000" t="s">
        <v>95</v>
      </c>
      <c r="D1000" t="s">
        <v>370</v>
      </c>
      <c r="E1000" t="s">
        <v>371</v>
      </c>
      <c r="F1000" t="s">
        <v>6058</v>
      </c>
      <c r="G1000" s="2" t="str">
        <f>HYPERLINK("https://www.facebook.com/371624156311514/posts/1331074303660728")</f>
        <v>https://www.facebook.com/371624156311514/posts/1331074303660728</v>
      </c>
      <c r="H1000" t="s">
        <v>6062</v>
      </c>
      <c r="I1000" t="s">
        <v>1261</v>
      </c>
      <c r="J1000" s="2" t="str">
        <f t="shared" si="26"/>
        <v>https://www.facebook.com/100002745134656</v>
      </c>
      <c r="K1000">
        <v>307</v>
      </c>
      <c r="L1000" t="s">
        <v>6064</v>
      </c>
      <c r="N1000" t="s">
        <v>13</v>
      </c>
      <c r="O1000" t="s">
        <v>1355</v>
      </c>
      <c r="P1000" s="2" t="str">
        <f>HYPERLINK("https://www.facebook.com/371624156311514")</f>
        <v>https://www.facebook.com/371624156311514</v>
      </c>
      <c r="R1000" t="s">
        <v>6067</v>
      </c>
      <c r="S1000" t="s">
        <v>6073</v>
      </c>
    </row>
    <row r="1001" spans="1:19" ht="14.25" customHeight="1" x14ac:dyDescent="0.3">
      <c r="A1001" t="s">
        <v>629</v>
      </c>
      <c r="B1001" t="s">
        <v>1346</v>
      </c>
      <c r="C1001" t="s">
        <v>95</v>
      </c>
      <c r="D1001" t="s">
        <v>370</v>
      </c>
      <c r="E1001" t="s">
        <v>371</v>
      </c>
      <c r="F1001" t="s">
        <v>6058</v>
      </c>
      <c r="G1001" s="2" t="str">
        <f>HYPERLINK("https://www.facebook.com/371624156311514/posts/1055263314614258")</f>
        <v>https://www.facebook.com/371624156311514/posts/1055263314614258</v>
      </c>
      <c r="H1001" t="s">
        <v>6062</v>
      </c>
      <c r="I1001" t="s">
        <v>1261</v>
      </c>
      <c r="J1001" s="2" t="str">
        <f t="shared" si="26"/>
        <v>https://www.facebook.com/100002745134656</v>
      </c>
      <c r="K1001">
        <v>307</v>
      </c>
      <c r="L1001" t="s">
        <v>6064</v>
      </c>
      <c r="N1001" t="s">
        <v>13</v>
      </c>
      <c r="O1001" t="s">
        <v>1355</v>
      </c>
      <c r="P1001" s="2" t="str">
        <f>HYPERLINK("https://www.facebook.com/371624156311514")</f>
        <v>https://www.facebook.com/371624156311514</v>
      </c>
      <c r="R1001" t="s">
        <v>6067</v>
      </c>
      <c r="S1001" t="s">
        <v>6073</v>
      </c>
    </row>
    <row r="1002" spans="1:19" ht="14.25" customHeight="1" x14ac:dyDescent="0.3">
      <c r="A1002" t="s">
        <v>629</v>
      </c>
      <c r="B1002" t="s">
        <v>1356</v>
      </c>
      <c r="C1002" t="s">
        <v>95</v>
      </c>
      <c r="D1002" t="s">
        <v>370</v>
      </c>
      <c r="E1002" t="s">
        <v>371</v>
      </c>
      <c r="F1002" t="s">
        <v>6058</v>
      </c>
      <c r="G1002" s="2" t="str">
        <f>HYPERLINK("https://www.facebook.com/928187713906105/posts/1800744709983730")</f>
        <v>https://www.facebook.com/928187713906105/posts/1800744709983730</v>
      </c>
      <c r="H1002" t="s">
        <v>6062</v>
      </c>
      <c r="I1002" t="s">
        <v>1261</v>
      </c>
      <c r="J1002" s="2" t="str">
        <f t="shared" si="26"/>
        <v>https://www.facebook.com/100002745134656</v>
      </c>
      <c r="K1002">
        <v>307</v>
      </c>
      <c r="L1002" t="s">
        <v>6064</v>
      </c>
      <c r="N1002" t="s">
        <v>13</v>
      </c>
      <c r="O1002" t="s">
        <v>1357</v>
      </c>
      <c r="P1002" s="2" t="str">
        <f>HYPERLINK("https://www.facebook.com/928187713906105")</f>
        <v>https://www.facebook.com/928187713906105</v>
      </c>
      <c r="R1002" t="s">
        <v>6067</v>
      </c>
      <c r="S1002" t="s">
        <v>6073</v>
      </c>
    </row>
    <row r="1003" spans="1:19" ht="14.25" customHeight="1" x14ac:dyDescent="0.3">
      <c r="A1003" t="s">
        <v>629</v>
      </c>
      <c r="B1003" t="s">
        <v>1356</v>
      </c>
      <c r="C1003" t="s">
        <v>95</v>
      </c>
      <c r="D1003" t="s">
        <v>370</v>
      </c>
      <c r="E1003" t="s">
        <v>371</v>
      </c>
      <c r="F1003" t="s">
        <v>6058</v>
      </c>
      <c r="G1003" s="2" t="str">
        <f>HYPERLINK("https://www.facebook.com/928187713906105/posts/1331074273660731")</f>
        <v>https://www.facebook.com/928187713906105/posts/1331074273660731</v>
      </c>
      <c r="H1003" t="s">
        <v>6062</v>
      </c>
      <c r="I1003" t="s">
        <v>1261</v>
      </c>
      <c r="J1003" s="2" t="str">
        <f t="shared" si="26"/>
        <v>https://www.facebook.com/100002745134656</v>
      </c>
      <c r="K1003">
        <v>307</v>
      </c>
      <c r="L1003" t="s">
        <v>6064</v>
      </c>
      <c r="N1003" t="s">
        <v>13</v>
      </c>
      <c r="O1003" t="s">
        <v>1357</v>
      </c>
      <c r="P1003" s="2" t="str">
        <f>HYPERLINK("https://www.facebook.com/928187713906105")</f>
        <v>https://www.facebook.com/928187713906105</v>
      </c>
      <c r="R1003" t="s">
        <v>6067</v>
      </c>
      <c r="S1003" t="s">
        <v>6073</v>
      </c>
    </row>
    <row r="1004" spans="1:19" ht="14.25" customHeight="1" x14ac:dyDescent="0.3">
      <c r="A1004" t="s">
        <v>629</v>
      </c>
      <c r="B1004" t="s">
        <v>1356</v>
      </c>
      <c r="C1004" t="s">
        <v>95</v>
      </c>
      <c r="D1004" t="s">
        <v>370</v>
      </c>
      <c r="E1004" t="s">
        <v>371</v>
      </c>
      <c r="F1004" t="s">
        <v>6058</v>
      </c>
      <c r="G1004" s="2" t="str">
        <f>HYPERLINK("https://www.facebook.com/807503986021638/posts/1473138756124821")</f>
        <v>https://www.facebook.com/807503986021638/posts/1473138756124821</v>
      </c>
      <c r="H1004" t="s">
        <v>6062</v>
      </c>
      <c r="I1004" t="s">
        <v>1261</v>
      </c>
      <c r="J1004" s="2" t="str">
        <f t="shared" si="26"/>
        <v>https://www.facebook.com/100002745134656</v>
      </c>
      <c r="K1004">
        <v>307</v>
      </c>
      <c r="L1004" t="s">
        <v>6064</v>
      </c>
      <c r="N1004" t="s">
        <v>13</v>
      </c>
      <c r="O1004" t="s">
        <v>1358</v>
      </c>
      <c r="P1004" s="2" t="str">
        <f>HYPERLINK("https://www.facebook.com/807503986021638")</f>
        <v>https://www.facebook.com/807503986021638</v>
      </c>
      <c r="Q1004">
        <v>424</v>
      </c>
      <c r="R1004" t="s">
        <v>6067</v>
      </c>
      <c r="S1004" t="s">
        <v>6073</v>
      </c>
    </row>
    <row r="1005" spans="1:19" ht="14.25" customHeight="1" x14ac:dyDescent="0.3">
      <c r="A1005" t="s">
        <v>629</v>
      </c>
      <c r="B1005" t="s">
        <v>1356</v>
      </c>
      <c r="C1005" t="s">
        <v>95</v>
      </c>
      <c r="D1005" t="s">
        <v>370</v>
      </c>
      <c r="E1005" t="s">
        <v>371</v>
      </c>
      <c r="F1005" t="s">
        <v>6058</v>
      </c>
      <c r="G1005" s="2" t="str">
        <f>HYPERLINK("https://www.facebook.com/807503986021638/posts/1331074216994070")</f>
        <v>https://www.facebook.com/807503986021638/posts/1331074216994070</v>
      </c>
      <c r="H1005" t="s">
        <v>6062</v>
      </c>
      <c r="I1005" t="s">
        <v>1261</v>
      </c>
      <c r="J1005" s="2" t="str">
        <f t="shared" si="26"/>
        <v>https://www.facebook.com/100002745134656</v>
      </c>
      <c r="K1005">
        <v>307</v>
      </c>
      <c r="L1005" t="s">
        <v>6064</v>
      </c>
      <c r="N1005" t="s">
        <v>13</v>
      </c>
      <c r="O1005" t="s">
        <v>1358</v>
      </c>
      <c r="P1005" s="2" t="str">
        <f>HYPERLINK("https://www.facebook.com/807503986021638")</f>
        <v>https://www.facebook.com/807503986021638</v>
      </c>
      <c r="Q1005">
        <v>424</v>
      </c>
      <c r="R1005" t="s">
        <v>6067</v>
      </c>
      <c r="S1005" t="s">
        <v>6073</v>
      </c>
    </row>
    <row r="1006" spans="1:19" ht="14.25" customHeight="1" x14ac:dyDescent="0.3">
      <c r="A1006" t="s">
        <v>629</v>
      </c>
      <c r="B1006" t="s">
        <v>1356</v>
      </c>
      <c r="C1006" t="s">
        <v>95</v>
      </c>
      <c r="D1006" t="s">
        <v>370</v>
      </c>
      <c r="E1006" t="s">
        <v>371</v>
      </c>
      <c r="F1006" t="s">
        <v>6058</v>
      </c>
      <c r="G1006" s="2" t="str">
        <f>HYPERLINK("https://www.facebook.com/239038942922840/posts/1331074176994074")</f>
        <v>https://www.facebook.com/239038942922840/posts/1331074176994074</v>
      </c>
      <c r="H1006" t="s">
        <v>6062</v>
      </c>
      <c r="I1006" t="s">
        <v>1261</v>
      </c>
      <c r="J1006" s="2" t="str">
        <f t="shared" si="26"/>
        <v>https://www.facebook.com/100002745134656</v>
      </c>
      <c r="K1006">
        <v>307</v>
      </c>
      <c r="L1006" t="s">
        <v>6064</v>
      </c>
      <c r="N1006" t="s">
        <v>13</v>
      </c>
      <c r="O1006" t="s">
        <v>968</v>
      </c>
      <c r="P1006" s="2" t="str">
        <f>HYPERLINK("https://www.facebook.com/239038942922840")</f>
        <v>https://www.facebook.com/239038942922840</v>
      </c>
      <c r="Q1006">
        <v>4756</v>
      </c>
      <c r="R1006" t="s">
        <v>6067</v>
      </c>
      <c r="S1006" t="s">
        <v>6073</v>
      </c>
    </row>
    <row r="1007" spans="1:19" ht="14.25" customHeight="1" x14ac:dyDescent="0.3">
      <c r="A1007" t="s">
        <v>629</v>
      </c>
      <c r="B1007" t="s">
        <v>1356</v>
      </c>
      <c r="C1007" t="s">
        <v>95</v>
      </c>
      <c r="D1007" t="s">
        <v>370</v>
      </c>
      <c r="E1007" t="s">
        <v>371</v>
      </c>
      <c r="F1007" t="s">
        <v>6058</v>
      </c>
      <c r="G1007" s="2" t="str">
        <f>HYPERLINK("https://www.facebook.com/1320347444652343/posts/1331074043660754")</f>
        <v>https://www.facebook.com/1320347444652343/posts/1331074043660754</v>
      </c>
      <c r="H1007" t="s">
        <v>6062</v>
      </c>
      <c r="I1007" t="s">
        <v>1261</v>
      </c>
      <c r="J1007" s="2" t="str">
        <f t="shared" si="26"/>
        <v>https://www.facebook.com/100002745134656</v>
      </c>
      <c r="K1007">
        <v>307</v>
      </c>
      <c r="L1007" t="s">
        <v>6064</v>
      </c>
      <c r="N1007" t="s">
        <v>13</v>
      </c>
      <c r="O1007" t="s">
        <v>1359</v>
      </c>
      <c r="P1007" s="2" t="str">
        <f>HYPERLINK("https://www.facebook.com/1320347444652343")</f>
        <v>https://www.facebook.com/1320347444652343</v>
      </c>
      <c r="R1007" t="s">
        <v>6067</v>
      </c>
      <c r="S1007" t="s">
        <v>6073</v>
      </c>
    </row>
    <row r="1008" spans="1:19" ht="14.25" customHeight="1" x14ac:dyDescent="0.3">
      <c r="A1008" t="s">
        <v>2225</v>
      </c>
      <c r="B1008" t="s">
        <v>733</v>
      </c>
      <c r="C1008" t="s">
        <v>95</v>
      </c>
      <c r="D1008" t="s">
        <v>2527</v>
      </c>
      <c r="E1008" t="s">
        <v>2528</v>
      </c>
      <c r="F1008" t="s">
        <v>6057</v>
      </c>
      <c r="G1008" s="2" t="str">
        <f>HYPERLINK("https://www.facebook.com/100003930488095/posts/1099376200203386")</f>
        <v>https://www.facebook.com/100003930488095/posts/1099376200203386</v>
      </c>
      <c r="H1008" t="s">
        <v>6062</v>
      </c>
      <c r="I1008" t="s">
        <v>2529</v>
      </c>
      <c r="J1008" s="2" t="str">
        <f>HYPERLINK("https://www.facebook.com/100003930488095")</f>
        <v>https://www.facebook.com/100003930488095</v>
      </c>
      <c r="K1008">
        <v>786</v>
      </c>
      <c r="L1008" t="s">
        <v>6064</v>
      </c>
      <c r="N1008" t="s">
        <v>13</v>
      </c>
      <c r="O1008" t="s">
        <v>2529</v>
      </c>
      <c r="P1008" s="2" t="str">
        <f>HYPERLINK("https://www.facebook.com/100003930488095")</f>
        <v>https://www.facebook.com/100003930488095</v>
      </c>
      <c r="Q1008">
        <v>786</v>
      </c>
      <c r="R1008" t="s">
        <v>6067</v>
      </c>
      <c r="S1008" t="s">
        <v>6073</v>
      </c>
    </row>
    <row r="1009" spans="1:19" ht="14.25" customHeight="1" x14ac:dyDescent="0.3">
      <c r="A1009" t="s">
        <v>2225</v>
      </c>
      <c r="B1009" t="s">
        <v>2685</v>
      </c>
      <c r="C1009" t="s">
        <v>95</v>
      </c>
      <c r="D1009" t="s">
        <v>544</v>
      </c>
      <c r="E1009" t="s">
        <v>545</v>
      </c>
      <c r="F1009" t="s">
        <v>6058</v>
      </c>
      <c r="G1009" s="2" t="str">
        <f>HYPERLINK("https://www.facebook.com/100010848341944/posts/597224020649204")</f>
        <v>https://www.facebook.com/100010848341944/posts/597224020649204</v>
      </c>
      <c r="H1009" t="s">
        <v>6062</v>
      </c>
      <c r="I1009" t="s">
        <v>2689</v>
      </c>
      <c r="J1009" s="2" t="str">
        <f>HYPERLINK("https://www.facebook.com/100010848341944")</f>
        <v>https://www.facebook.com/100010848341944</v>
      </c>
      <c r="K1009">
        <v>179</v>
      </c>
      <c r="L1009" t="s">
        <v>6064</v>
      </c>
      <c r="N1009" t="s">
        <v>13</v>
      </c>
      <c r="O1009" t="s">
        <v>2689</v>
      </c>
      <c r="P1009" s="2" t="str">
        <f>HYPERLINK("https://www.facebook.com/100010848341944")</f>
        <v>https://www.facebook.com/100010848341944</v>
      </c>
      <c r="Q1009">
        <v>179</v>
      </c>
      <c r="R1009" t="s">
        <v>6067</v>
      </c>
    </row>
    <row r="1010" spans="1:19" ht="14.25" customHeight="1" x14ac:dyDescent="0.3">
      <c r="A1010" t="s">
        <v>2225</v>
      </c>
      <c r="B1010" t="s">
        <v>2381</v>
      </c>
      <c r="C1010" t="s">
        <v>95</v>
      </c>
      <c r="D1010" t="s">
        <v>544</v>
      </c>
      <c r="E1010" t="s">
        <v>545</v>
      </c>
      <c r="F1010" t="s">
        <v>6058</v>
      </c>
      <c r="G1010" s="2" t="str">
        <f>HYPERLINK("https://www.facebook.com/100002039436719/posts/1625248550886444")</f>
        <v>https://www.facebook.com/100002039436719/posts/1625248550886444</v>
      </c>
      <c r="H1010" t="s">
        <v>6062</v>
      </c>
      <c r="I1010" t="s">
        <v>1650</v>
      </c>
      <c r="J1010" s="2" t="str">
        <f>HYPERLINK("https://www.facebook.com/100002039436719")</f>
        <v>https://www.facebook.com/100002039436719</v>
      </c>
      <c r="K1010">
        <v>93</v>
      </c>
      <c r="L1010" t="s">
        <v>6064</v>
      </c>
      <c r="N1010" t="s">
        <v>13</v>
      </c>
      <c r="O1010" t="s">
        <v>1650</v>
      </c>
      <c r="P1010" s="2" t="str">
        <f>HYPERLINK("https://www.facebook.com/100002039436719")</f>
        <v>https://www.facebook.com/100002039436719</v>
      </c>
      <c r="Q1010">
        <v>93</v>
      </c>
      <c r="R1010" t="s">
        <v>6067</v>
      </c>
      <c r="S1010" t="s">
        <v>6073</v>
      </c>
    </row>
    <row r="1011" spans="1:19" ht="14.25" customHeight="1" x14ac:dyDescent="0.3">
      <c r="A1011" t="s">
        <v>629</v>
      </c>
      <c r="B1011" t="s">
        <v>357</v>
      </c>
      <c r="C1011" t="s">
        <v>95</v>
      </c>
      <c r="D1011" t="s">
        <v>370</v>
      </c>
      <c r="E1011" t="s">
        <v>371</v>
      </c>
      <c r="F1011" t="s">
        <v>6058</v>
      </c>
      <c r="G1011" s="2" t="str">
        <f>HYPERLINK("https://www.facebook.com/100002039436719/posts/1625727887505177")</f>
        <v>https://www.facebook.com/100002039436719/posts/1625727887505177</v>
      </c>
      <c r="H1011" t="s">
        <v>6062</v>
      </c>
      <c r="I1011" t="s">
        <v>1650</v>
      </c>
      <c r="J1011" s="2" t="str">
        <f>HYPERLINK("https://www.facebook.com/100002039436719")</f>
        <v>https://www.facebook.com/100002039436719</v>
      </c>
      <c r="K1011">
        <v>93</v>
      </c>
      <c r="L1011" t="s">
        <v>6064</v>
      </c>
      <c r="N1011" t="s">
        <v>13</v>
      </c>
      <c r="O1011" t="s">
        <v>1650</v>
      </c>
      <c r="P1011" s="2" t="str">
        <f>HYPERLINK("https://www.facebook.com/100002039436719")</f>
        <v>https://www.facebook.com/100002039436719</v>
      </c>
      <c r="Q1011">
        <v>93</v>
      </c>
      <c r="R1011" t="s">
        <v>6067</v>
      </c>
      <c r="S1011" t="s">
        <v>6073</v>
      </c>
    </row>
    <row r="1012" spans="1:19" ht="14.25" customHeight="1" x14ac:dyDescent="0.3">
      <c r="A1012" t="s">
        <v>629</v>
      </c>
      <c r="B1012" t="s">
        <v>415</v>
      </c>
      <c r="C1012" t="s">
        <v>95</v>
      </c>
      <c r="D1012" t="s">
        <v>370</v>
      </c>
      <c r="E1012" t="s">
        <v>371</v>
      </c>
      <c r="F1012" t="s">
        <v>6058</v>
      </c>
      <c r="G1012" s="2" t="str">
        <f>HYPERLINK("https://www.facebook.com/100001880344521/posts/1902237639848896")</f>
        <v>https://www.facebook.com/100001880344521/posts/1902237639848896</v>
      </c>
      <c r="H1012" t="s">
        <v>6062</v>
      </c>
      <c r="I1012" t="s">
        <v>1782</v>
      </c>
      <c r="J1012" s="2" t="str">
        <f>HYPERLINK("https://www.facebook.com/100001880344521")</f>
        <v>https://www.facebook.com/100001880344521</v>
      </c>
      <c r="K1012">
        <v>75</v>
      </c>
      <c r="L1012" t="s">
        <v>6064</v>
      </c>
      <c r="N1012" t="s">
        <v>13</v>
      </c>
      <c r="O1012" t="s">
        <v>1782</v>
      </c>
      <c r="P1012" s="2" t="str">
        <f>HYPERLINK("https://www.facebook.com/100001880344521")</f>
        <v>https://www.facebook.com/100001880344521</v>
      </c>
      <c r="Q1012">
        <v>75</v>
      </c>
      <c r="R1012" t="s">
        <v>6067</v>
      </c>
      <c r="S1012" t="s">
        <v>6073</v>
      </c>
    </row>
    <row r="1013" spans="1:19" ht="14.25" customHeight="1" x14ac:dyDescent="0.3">
      <c r="A1013" t="s">
        <v>629</v>
      </c>
      <c r="B1013" t="s">
        <v>1684</v>
      </c>
      <c r="C1013" t="s">
        <v>95</v>
      </c>
      <c r="D1013" t="s">
        <v>370</v>
      </c>
      <c r="E1013" t="s">
        <v>371</v>
      </c>
      <c r="F1013" t="s">
        <v>6058</v>
      </c>
      <c r="G1013" s="2" t="str">
        <f>HYPERLINK("https://www.facebook.com/100004872990400/posts/879645195541239")</f>
        <v>https://www.facebook.com/100004872990400/posts/879645195541239</v>
      </c>
      <c r="H1013" t="s">
        <v>6062</v>
      </c>
      <c r="I1013" t="s">
        <v>1685</v>
      </c>
      <c r="J1013" s="2" t="str">
        <f>HYPERLINK("https://www.facebook.com/100004872990400")</f>
        <v>https://www.facebook.com/100004872990400</v>
      </c>
      <c r="K1013">
        <v>730</v>
      </c>
      <c r="L1013" t="s">
        <v>6064</v>
      </c>
      <c r="N1013" t="s">
        <v>13</v>
      </c>
      <c r="O1013" t="s">
        <v>1685</v>
      </c>
      <c r="P1013" s="2" t="str">
        <f>HYPERLINK("https://www.facebook.com/100004872990400")</f>
        <v>https://www.facebook.com/100004872990400</v>
      </c>
      <c r="Q1013">
        <v>730</v>
      </c>
      <c r="R1013" t="s">
        <v>6067</v>
      </c>
      <c r="S1013" t="s">
        <v>6101</v>
      </c>
    </row>
    <row r="1014" spans="1:19" ht="14.25" customHeight="1" x14ac:dyDescent="0.3">
      <c r="A1014" t="s">
        <v>629</v>
      </c>
      <c r="B1014" t="s">
        <v>345</v>
      </c>
      <c r="C1014" t="s">
        <v>95</v>
      </c>
      <c r="D1014" t="s">
        <v>370</v>
      </c>
      <c r="E1014" t="s">
        <v>371</v>
      </c>
      <c r="F1014" t="s">
        <v>6058</v>
      </c>
      <c r="G1014" s="2" t="str">
        <f>HYPERLINK("https://www.facebook.com/100006373475009/posts/1909263329296098")</f>
        <v>https://www.facebook.com/100006373475009/posts/1909263329296098</v>
      </c>
      <c r="H1014" t="s">
        <v>6062</v>
      </c>
      <c r="I1014" t="s">
        <v>1562</v>
      </c>
      <c r="J1014" s="2" t="str">
        <f>HYPERLINK("https://www.facebook.com/100006373475009")</f>
        <v>https://www.facebook.com/100006373475009</v>
      </c>
      <c r="K1014">
        <v>887</v>
      </c>
      <c r="L1014" t="s">
        <v>6064</v>
      </c>
      <c r="N1014" t="s">
        <v>13</v>
      </c>
      <c r="O1014" t="s">
        <v>1562</v>
      </c>
      <c r="P1014" s="2" t="str">
        <f>HYPERLINK("https://www.facebook.com/100006373475009")</f>
        <v>https://www.facebook.com/100006373475009</v>
      </c>
      <c r="Q1014">
        <v>887</v>
      </c>
      <c r="R1014" t="s">
        <v>6067</v>
      </c>
      <c r="S1014" t="s">
        <v>6073</v>
      </c>
    </row>
    <row r="1015" spans="1:19" ht="14.25" customHeight="1" x14ac:dyDescent="0.3">
      <c r="A1015" t="s">
        <v>2225</v>
      </c>
      <c r="B1015" t="s">
        <v>2771</v>
      </c>
      <c r="C1015" t="s">
        <v>95</v>
      </c>
      <c r="D1015" t="s">
        <v>544</v>
      </c>
      <c r="E1015" t="s">
        <v>545</v>
      </c>
      <c r="F1015" t="s">
        <v>6058</v>
      </c>
      <c r="G1015" s="2" t="str">
        <f>HYPERLINK("https://www.facebook.com/1444257657/posts/10211550822593213")</f>
        <v>https://www.facebook.com/1444257657/posts/10211550822593213</v>
      </c>
      <c r="H1015" t="s">
        <v>6062</v>
      </c>
      <c r="I1015" t="s">
        <v>2772</v>
      </c>
      <c r="J1015" s="2" t="str">
        <f>HYPERLINK("https://www.facebook.com/1444257657")</f>
        <v>https://www.facebook.com/1444257657</v>
      </c>
      <c r="K1015">
        <v>596</v>
      </c>
      <c r="L1015" t="s">
        <v>6064</v>
      </c>
      <c r="N1015" t="s">
        <v>13</v>
      </c>
      <c r="O1015" t="s">
        <v>2772</v>
      </c>
      <c r="P1015" s="2" t="str">
        <f>HYPERLINK("https://www.facebook.com/1444257657")</f>
        <v>https://www.facebook.com/1444257657</v>
      </c>
      <c r="Q1015">
        <v>596</v>
      </c>
      <c r="R1015" t="s">
        <v>6067</v>
      </c>
      <c r="S1015" t="s">
        <v>6073</v>
      </c>
    </row>
    <row r="1016" spans="1:19" ht="14.25" customHeight="1" x14ac:dyDescent="0.3">
      <c r="A1016" t="s">
        <v>5409</v>
      </c>
      <c r="B1016" t="s">
        <v>5975</v>
      </c>
      <c r="C1016" t="s">
        <v>3538</v>
      </c>
      <c r="D1016" t="s">
        <v>3780</v>
      </c>
      <c r="E1016" t="s">
        <v>5696</v>
      </c>
      <c r="F1016" t="s">
        <v>6058</v>
      </c>
      <c r="G1016" s="2" t="str">
        <f>HYPERLINK("https://www.facebook.com/100001541282745/posts/1764037056990987")</f>
        <v>https://www.facebook.com/100001541282745/posts/1764037056990987</v>
      </c>
      <c r="H1016" t="s">
        <v>6062</v>
      </c>
      <c r="I1016" t="s">
        <v>5976</v>
      </c>
      <c r="J1016" s="2" t="str">
        <f>HYPERLINK("https://www.facebook.com/100001541282745")</f>
        <v>https://www.facebook.com/100001541282745</v>
      </c>
      <c r="K1016">
        <v>237</v>
      </c>
      <c r="L1016" t="s">
        <v>6063</v>
      </c>
      <c r="N1016" t="s">
        <v>13</v>
      </c>
      <c r="O1016" t="s">
        <v>5976</v>
      </c>
      <c r="P1016" s="2" t="str">
        <f>HYPERLINK("https://www.facebook.com/100001541282745")</f>
        <v>https://www.facebook.com/100001541282745</v>
      </c>
      <c r="Q1016">
        <v>237</v>
      </c>
      <c r="R1016" t="s">
        <v>6067</v>
      </c>
      <c r="S1016" t="s">
        <v>6100</v>
      </c>
    </row>
    <row r="1017" spans="1:19" ht="14.25" customHeight="1" x14ac:dyDescent="0.3">
      <c r="A1017" t="s">
        <v>3527</v>
      </c>
      <c r="B1017" t="s">
        <v>3762</v>
      </c>
      <c r="C1017" t="s">
        <v>95</v>
      </c>
      <c r="D1017" t="s">
        <v>2321</v>
      </c>
      <c r="E1017" t="s">
        <v>3763</v>
      </c>
      <c r="F1017" t="s">
        <v>6056</v>
      </c>
      <c r="G1017" s="2" t="str">
        <f>HYPERLINK("https://www.facebook.com/100009998055539/posts/615023622174234")</f>
        <v>https://www.facebook.com/100009998055539/posts/615023622174234</v>
      </c>
      <c r="H1017" t="s">
        <v>6062</v>
      </c>
      <c r="I1017" t="s">
        <v>3764</v>
      </c>
      <c r="J1017" s="2" t="str">
        <f>HYPERLINK("https://www.facebook.com/100009998055539")</f>
        <v>https://www.facebook.com/100009998055539</v>
      </c>
      <c r="K1017">
        <v>0</v>
      </c>
      <c r="L1017" t="s">
        <v>6063</v>
      </c>
      <c r="N1017" t="s">
        <v>13</v>
      </c>
      <c r="O1017" t="s">
        <v>3764</v>
      </c>
      <c r="P1017" s="2" t="str">
        <f>HYPERLINK("https://www.facebook.com/100009998055539")</f>
        <v>https://www.facebook.com/100009998055539</v>
      </c>
      <c r="Q1017">
        <v>0</v>
      </c>
      <c r="R1017" t="s">
        <v>6067</v>
      </c>
      <c r="S1017" t="s">
        <v>6073</v>
      </c>
    </row>
    <row r="1018" spans="1:19" ht="14.25" customHeight="1" x14ac:dyDescent="0.3">
      <c r="A1018" t="s">
        <v>3527</v>
      </c>
      <c r="B1018" t="s">
        <v>1370</v>
      </c>
      <c r="C1018" t="s">
        <v>95</v>
      </c>
      <c r="D1018" t="s">
        <v>3356</v>
      </c>
      <c r="E1018" t="s">
        <v>4197</v>
      </c>
      <c r="F1018" t="s">
        <v>6059</v>
      </c>
      <c r="G1018" s="2" t="str">
        <f>HYPERLINK("https://www.facebook.com/1581787837/posts/10210621564966938?comment_id=10210621752851635")</f>
        <v>https://www.facebook.com/1581787837/posts/10210621564966938?comment_id=10210621752851635</v>
      </c>
      <c r="H1018" t="s">
        <v>6062</v>
      </c>
      <c r="I1018" t="s">
        <v>4198</v>
      </c>
      <c r="J1018" s="2" t="str">
        <f>HYPERLINK("https://www.facebook.com/100000977738880")</f>
        <v>https://www.facebook.com/100000977738880</v>
      </c>
      <c r="K1018">
        <v>150</v>
      </c>
      <c r="L1018" t="s">
        <v>6063</v>
      </c>
      <c r="N1018" t="s">
        <v>13</v>
      </c>
      <c r="O1018" t="s">
        <v>3358</v>
      </c>
      <c r="P1018" s="2" t="str">
        <f>HYPERLINK("https://www.facebook.com/1581787837")</f>
        <v>https://www.facebook.com/1581787837</v>
      </c>
      <c r="Q1018">
        <v>678</v>
      </c>
      <c r="R1018" t="s">
        <v>6067</v>
      </c>
      <c r="S1018" t="s">
        <v>6073</v>
      </c>
    </row>
    <row r="1019" spans="1:19" ht="14.25" customHeight="1" x14ac:dyDescent="0.3">
      <c r="A1019" t="s">
        <v>3527</v>
      </c>
      <c r="B1019" t="s">
        <v>3949</v>
      </c>
      <c r="C1019" t="s">
        <v>95</v>
      </c>
      <c r="D1019" t="s">
        <v>3950</v>
      </c>
      <c r="E1019" t="s">
        <v>3951</v>
      </c>
      <c r="F1019" t="s">
        <v>6059</v>
      </c>
      <c r="G1019" s="2" t="str">
        <f>HYPERLINK("https://www.facebook.com/100003894420600/posts/1140920962714374?comment_id=1140950996044704")</f>
        <v>https://www.facebook.com/100003894420600/posts/1140920962714374?comment_id=1140950996044704</v>
      </c>
      <c r="H1019" t="s">
        <v>6062</v>
      </c>
      <c r="I1019" t="s">
        <v>3952</v>
      </c>
      <c r="J1019" s="2" t="str">
        <f>HYPERLINK("https://www.facebook.com/100001231196056")</f>
        <v>https://www.facebook.com/100001231196056</v>
      </c>
      <c r="K1019">
        <v>633</v>
      </c>
      <c r="L1019" t="s">
        <v>6063</v>
      </c>
      <c r="N1019" t="s">
        <v>13</v>
      </c>
      <c r="O1019" t="s">
        <v>3953</v>
      </c>
      <c r="P1019" s="2" t="str">
        <f>HYPERLINK("https://www.facebook.com/100003894420600")</f>
        <v>https://www.facebook.com/100003894420600</v>
      </c>
      <c r="Q1019">
        <v>0</v>
      </c>
      <c r="R1019" t="s">
        <v>6067</v>
      </c>
      <c r="S1019" t="s">
        <v>6073</v>
      </c>
    </row>
    <row r="1020" spans="1:19" ht="14.25" customHeight="1" x14ac:dyDescent="0.3">
      <c r="A1020" t="s">
        <v>2225</v>
      </c>
      <c r="B1020" t="s">
        <v>3471</v>
      </c>
      <c r="C1020" t="s">
        <v>95</v>
      </c>
      <c r="D1020" t="s">
        <v>3472</v>
      </c>
      <c r="E1020" t="s">
        <v>3473</v>
      </c>
      <c r="F1020" t="s">
        <v>6056</v>
      </c>
      <c r="G1020" s="2" t="str">
        <f>HYPERLINK("https://www.facebook.com/100002683200328/posts/1310531562379605")</f>
        <v>https://www.facebook.com/100002683200328/posts/1310531562379605</v>
      </c>
      <c r="H1020" t="s">
        <v>6062</v>
      </c>
      <c r="I1020" t="s">
        <v>3474</v>
      </c>
      <c r="J1020" s="2" t="str">
        <f>HYPERLINK("https://www.facebook.com/100002683200328")</f>
        <v>https://www.facebook.com/100002683200328</v>
      </c>
      <c r="K1020">
        <v>1214</v>
      </c>
      <c r="L1020" t="s">
        <v>6064</v>
      </c>
      <c r="N1020" t="s">
        <v>13</v>
      </c>
      <c r="O1020" t="s">
        <v>3474</v>
      </c>
      <c r="P1020" s="2" t="str">
        <f>HYPERLINK("https://www.facebook.com/100002683200328")</f>
        <v>https://www.facebook.com/100002683200328</v>
      </c>
      <c r="Q1020">
        <v>1214</v>
      </c>
      <c r="R1020" t="s">
        <v>6067</v>
      </c>
      <c r="S1020" t="s">
        <v>6073</v>
      </c>
    </row>
    <row r="1021" spans="1:19" ht="14.25" customHeight="1" x14ac:dyDescent="0.3">
      <c r="A1021" t="s">
        <v>2225</v>
      </c>
      <c r="B1021" t="s">
        <v>785</v>
      </c>
      <c r="C1021" t="s">
        <v>95</v>
      </c>
      <c r="D1021" t="s">
        <v>2910</v>
      </c>
      <c r="E1021" t="s">
        <v>2911</v>
      </c>
      <c r="F1021" t="s">
        <v>6057</v>
      </c>
      <c r="G1021" s="2" t="str">
        <f>HYPERLINK("https://www.facebook.com/100002170484509/posts/1677057179043282")</f>
        <v>https://www.facebook.com/100002170484509/posts/1677057179043282</v>
      </c>
      <c r="H1021" t="s">
        <v>6062</v>
      </c>
      <c r="I1021" t="s">
        <v>2912</v>
      </c>
      <c r="J1021" s="2" t="str">
        <f>HYPERLINK("https://www.facebook.com/100002170484509")</f>
        <v>https://www.facebook.com/100002170484509</v>
      </c>
      <c r="K1021">
        <v>274</v>
      </c>
      <c r="L1021" t="s">
        <v>6064</v>
      </c>
      <c r="N1021" t="s">
        <v>13</v>
      </c>
      <c r="O1021" t="s">
        <v>2912</v>
      </c>
      <c r="P1021" s="2" t="str">
        <f>HYPERLINK("https://www.facebook.com/100002170484509")</f>
        <v>https://www.facebook.com/100002170484509</v>
      </c>
      <c r="Q1021">
        <v>274</v>
      </c>
      <c r="R1021" t="s">
        <v>6067</v>
      </c>
      <c r="S1021" t="s">
        <v>6073</v>
      </c>
    </row>
    <row r="1022" spans="1:19" ht="14.25" customHeight="1" x14ac:dyDescent="0.3">
      <c r="A1022" t="s">
        <v>2225</v>
      </c>
      <c r="B1022" t="s">
        <v>2516</v>
      </c>
      <c r="C1022" t="s">
        <v>95</v>
      </c>
      <c r="D1022" t="s">
        <v>544</v>
      </c>
      <c r="E1022" t="s">
        <v>2522</v>
      </c>
      <c r="F1022" t="s">
        <v>6057</v>
      </c>
      <c r="G1022" s="2" t="str">
        <f>HYPERLINK("https://www.facebook.com/100015695295285/posts/296797730853401")</f>
        <v>https://www.facebook.com/100015695295285/posts/296797730853401</v>
      </c>
      <c r="H1022" t="s">
        <v>6062</v>
      </c>
      <c r="I1022" t="s">
        <v>2523</v>
      </c>
      <c r="J1022" s="2" t="str">
        <f>HYPERLINK("https://www.facebook.com/100015695295285")</f>
        <v>https://www.facebook.com/100015695295285</v>
      </c>
      <c r="K1022">
        <v>392</v>
      </c>
      <c r="L1022" t="s">
        <v>6064</v>
      </c>
      <c r="N1022" t="s">
        <v>13</v>
      </c>
      <c r="O1022" t="s">
        <v>2523</v>
      </c>
      <c r="P1022" s="2" t="str">
        <f>HYPERLINK("https://www.facebook.com/100015695295285")</f>
        <v>https://www.facebook.com/100015695295285</v>
      </c>
      <c r="Q1022">
        <v>392</v>
      </c>
      <c r="R1022" t="s">
        <v>6067</v>
      </c>
    </row>
    <row r="1023" spans="1:19" ht="14.25" customHeight="1" x14ac:dyDescent="0.3">
      <c r="A1023" t="s">
        <v>629</v>
      </c>
      <c r="B1023" t="s">
        <v>852</v>
      </c>
      <c r="C1023" t="s">
        <v>95</v>
      </c>
      <c r="D1023" t="s">
        <v>10</v>
      </c>
      <c r="E1023" t="s">
        <v>860</v>
      </c>
      <c r="F1023" t="s">
        <v>6059</v>
      </c>
      <c r="G1023" s="2" t="str">
        <f>HYPERLINK("https://www.facebook.com/762053551/posts/10156366210158552?comment_id=10156366744658552")</f>
        <v>https://www.facebook.com/762053551/posts/10156366210158552?comment_id=10156366744658552</v>
      </c>
      <c r="H1023" t="s">
        <v>6062</v>
      </c>
      <c r="I1023" t="s">
        <v>861</v>
      </c>
      <c r="J1023" s="2" t="str">
        <f>HYPERLINK("https://www.facebook.com/100003840772967")</f>
        <v>https://www.facebook.com/100003840772967</v>
      </c>
      <c r="K1023">
        <v>367</v>
      </c>
      <c r="L1023" t="s">
        <v>6064</v>
      </c>
      <c r="N1023" t="s">
        <v>13</v>
      </c>
      <c r="O1023" t="s">
        <v>14</v>
      </c>
      <c r="P1023" s="2" t="str">
        <f>HYPERLINK("https://www.facebook.com/762053551")</f>
        <v>https://www.facebook.com/762053551</v>
      </c>
      <c r="Q1023">
        <v>102347</v>
      </c>
      <c r="R1023" t="s">
        <v>6067</v>
      </c>
      <c r="S1023" t="s">
        <v>6073</v>
      </c>
    </row>
    <row r="1024" spans="1:19" ht="14.25" customHeight="1" x14ac:dyDescent="0.3">
      <c r="A1024" t="s">
        <v>2225</v>
      </c>
      <c r="B1024" t="s">
        <v>1520</v>
      </c>
      <c r="C1024" t="s">
        <v>95</v>
      </c>
      <c r="D1024" t="s">
        <v>3206</v>
      </c>
      <c r="E1024" t="s">
        <v>2335</v>
      </c>
      <c r="F1024" t="s">
        <v>6059</v>
      </c>
      <c r="G1024" s="2" t="str">
        <f>HYPERLINK("https://www.facebook.com/100008934274771/posts/1810029789304813?comment_id=1810042335970225")</f>
        <v>https://www.facebook.com/100008934274771/posts/1810029789304813?comment_id=1810042335970225</v>
      </c>
      <c r="H1024" t="s">
        <v>6062</v>
      </c>
      <c r="I1024" t="s">
        <v>3369</v>
      </c>
      <c r="J1024" s="2" t="str">
        <f>HYPERLINK("https://www.facebook.com/100001180724939")</f>
        <v>https://www.facebook.com/100001180724939</v>
      </c>
      <c r="K1024">
        <v>416</v>
      </c>
      <c r="L1024" t="s">
        <v>6064</v>
      </c>
      <c r="N1024" t="s">
        <v>13</v>
      </c>
      <c r="O1024" t="s">
        <v>856</v>
      </c>
      <c r="P1024" s="2" t="str">
        <f>HYPERLINK("https://www.facebook.com/100008934274771")</f>
        <v>https://www.facebook.com/100008934274771</v>
      </c>
      <c r="Q1024">
        <v>10395</v>
      </c>
      <c r="R1024" t="s">
        <v>6067</v>
      </c>
      <c r="S1024" t="s">
        <v>6073</v>
      </c>
    </row>
    <row r="1025" spans="1:19" ht="14.25" customHeight="1" x14ac:dyDescent="0.3">
      <c r="A1025" t="s">
        <v>629</v>
      </c>
      <c r="B1025" t="s">
        <v>1052</v>
      </c>
      <c r="C1025" t="s">
        <v>95</v>
      </c>
      <c r="D1025" t="s">
        <v>1056</v>
      </c>
      <c r="E1025" t="s">
        <v>1057</v>
      </c>
      <c r="F1025" t="s">
        <v>6058</v>
      </c>
      <c r="G1025" s="2" t="str">
        <f>HYPERLINK("https://www.facebook.com/100003902467453/posts/2121144908025571")</f>
        <v>https://www.facebook.com/100003902467453/posts/2121144908025571</v>
      </c>
      <c r="H1025" t="s">
        <v>6062</v>
      </c>
      <c r="I1025" t="s">
        <v>1058</v>
      </c>
      <c r="J1025" s="2" t="str">
        <f>HYPERLINK("https://www.facebook.com/100003902467453")</f>
        <v>https://www.facebook.com/100003902467453</v>
      </c>
      <c r="K1025">
        <v>30</v>
      </c>
      <c r="L1025" t="s">
        <v>6064</v>
      </c>
      <c r="N1025" t="s">
        <v>13</v>
      </c>
      <c r="O1025" t="s">
        <v>1058</v>
      </c>
      <c r="P1025" s="2" t="str">
        <f>HYPERLINK("https://www.facebook.com/100003902467453")</f>
        <v>https://www.facebook.com/100003902467453</v>
      </c>
      <c r="Q1025">
        <v>30</v>
      </c>
      <c r="R1025" t="s">
        <v>6067</v>
      </c>
      <c r="S1025" t="s">
        <v>6072</v>
      </c>
    </row>
    <row r="1026" spans="1:19" ht="14.25" customHeight="1" x14ac:dyDescent="0.3">
      <c r="A1026" t="s">
        <v>629</v>
      </c>
      <c r="B1026" t="s">
        <v>1917</v>
      </c>
      <c r="C1026" t="s">
        <v>95</v>
      </c>
      <c r="D1026" t="s">
        <v>370</v>
      </c>
      <c r="E1026" t="s">
        <v>371</v>
      </c>
      <c r="F1026" t="s">
        <v>6058</v>
      </c>
      <c r="G1026" s="2" t="str">
        <f>HYPERLINK("https://www.facebook.com/100009146954425/posts/1945702089078004")</f>
        <v>https://www.facebook.com/100009146954425/posts/1945702089078004</v>
      </c>
      <c r="H1026" t="s">
        <v>6062</v>
      </c>
      <c r="I1026" t="s">
        <v>1921</v>
      </c>
      <c r="J1026" s="2" t="str">
        <f>HYPERLINK("https://www.facebook.com/100009146954425")</f>
        <v>https://www.facebook.com/100009146954425</v>
      </c>
      <c r="K1026">
        <v>0</v>
      </c>
      <c r="L1026" t="s">
        <v>6064</v>
      </c>
      <c r="N1026" t="s">
        <v>13</v>
      </c>
      <c r="O1026" t="s">
        <v>1921</v>
      </c>
      <c r="P1026" s="2" t="str">
        <f>HYPERLINK("https://www.facebook.com/100009146954425")</f>
        <v>https://www.facebook.com/100009146954425</v>
      </c>
      <c r="Q1026">
        <v>0</v>
      </c>
      <c r="R1026" t="s">
        <v>6067</v>
      </c>
      <c r="S1026" t="s">
        <v>6073</v>
      </c>
    </row>
    <row r="1027" spans="1:19" ht="14.25" customHeight="1" x14ac:dyDescent="0.3">
      <c r="A1027" t="s">
        <v>4995</v>
      </c>
      <c r="B1027" t="s">
        <v>3816</v>
      </c>
      <c r="C1027" t="s">
        <v>3538</v>
      </c>
      <c r="D1027" t="s">
        <v>5078</v>
      </c>
      <c r="E1027" t="s">
        <v>5083</v>
      </c>
      <c r="F1027" t="s">
        <v>6059</v>
      </c>
      <c r="G1027" s="2" t="str">
        <f>HYPERLINK("https://www.facebook.com/100001929668660/posts/1891490270925277?comment_id=1892548764152761")</f>
        <v>https://www.facebook.com/100001929668660/posts/1891490270925277?comment_id=1892548764152761</v>
      </c>
      <c r="H1027" t="s">
        <v>6062</v>
      </c>
      <c r="I1027" t="s">
        <v>5081</v>
      </c>
      <c r="J1027" s="2" t="str">
        <f>HYPERLINK("https://www.facebook.com/100001929668660")</f>
        <v>https://www.facebook.com/100001929668660</v>
      </c>
      <c r="K1027">
        <v>2652</v>
      </c>
      <c r="L1027" t="s">
        <v>6064</v>
      </c>
      <c r="N1027" t="s">
        <v>13</v>
      </c>
      <c r="O1027" t="s">
        <v>5081</v>
      </c>
      <c r="P1027" s="2" t="str">
        <f>HYPERLINK("https://www.facebook.com/100001929668660")</f>
        <v>https://www.facebook.com/100001929668660</v>
      </c>
      <c r="Q1027">
        <v>2652</v>
      </c>
      <c r="R1027" t="s">
        <v>6067</v>
      </c>
      <c r="S1027" t="s">
        <v>6073</v>
      </c>
    </row>
    <row r="1028" spans="1:19" ht="14.25" customHeight="1" x14ac:dyDescent="0.3">
      <c r="A1028" t="s">
        <v>629</v>
      </c>
      <c r="B1028" t="s">
        <v>789</v>
      </c>
      <c r="C1028" t="s">
        <v>95</v>
      </c>
      <c r="D1028" t="s">
        <v>10</v>
      </c>
      <c r="E1028" t="s">
        <v>790</v>
      </c>
      <c r="F1028" t="s">
        <v>6059</v>
      </c>
      <c r="G1028" s="2" t="str">
        <f>HYPERLINK("https://www.facebook.com/762053551/posts/10156366210158552?comment_id=10156366894213552")</f>
        <v>https://www.facebook.com/762053551/posts/10156366210158552?comment_id=10156366894213552</v>
      </c>
      <c r="H1028" t="s">
        <v>6062</v>
      </c>
      <c r="I1028" t="s">
        <v>791</v>
      </c>
      <c r="J1028" s="2" t="str">
        <f>HYPERLINK("https://www.facebook.com/1315932328")</f>
        <v>https://www.facebook.com/1315932328</v>
      </c>
      <c r="K1028">
        <v>650</v>
      </c>
      <c r="L1028" t="s">
        <v>6064</v>
      </c>
      <c r="N1028" t="s">
        <v>13</v>
      </c>
      <c r="O1028" t="s">
        <v>14</v>
      </c>
      <c r="P1028" s="2" t="str">
        <f>HYPERLINK("https://www.facebook.com/762053551")</f>
        <v>https://www.facebook.com/762053551</v>
      </c>
      <c r="Q1028">
        <v>102347</v>
      </c>
      <c r="R1028" t="s">
        <v>6067</v>
      </c>
      <c r="S1028" t="s">
        <v>6073</v>
      </c>
    </row>
    <row r="1029" spans="1:19" ht="14.25" customHeight="1" x14ac:dyDescent="0.3">
      <c r="A1029" t="s">
        <v>1</v>
      </c>
      <c r="B1029" t="s">
        <v>521</v>
      </c>
      <c r="C1029" t="s">
        <v>95</v>
      </c>
      <c r="D1029" t="s">
        <v>522</v>
      </c>
      <c r="E1029" t="s">
        <v>523</v>
      </c>
      <c r="F1029" t="s">
        <v>6058</v>
      </c>
      <c r="G1029" s="2" t="str">
        <f>HYPERLINK("https://www.facebook.com/100001932843434/posts/1948010421940034")</f>
        <v>https://www.facebook.com/100001932843434/posts/1948010421940034</v>
      </c>
      <c r="H1029" t="s">
        <v>6062</v>
      </c>
      <c r="I1029" t="s">
        <v>524</v>
      </c>
      <c r="J1029" s="2" t="str">
        <f>HYPERLINK("https://www.facebook.com/100001932843434")</f>
        <v>https://www.facebook.com/100001932843434</v>
      </c>
      <c r="K1029">
        <v>696</v>
      </c>
      <c r="L1029" t="s">
        <v>6064</v>
      </c>
      <c r="N1029" t="s">
        <v>13</v>
      </c>
      <c r="O1029" t="s">
        <v>524</v>
      </c>
      <c r="P1029" s="2" t="str">
        <f>HYPERLINK("https://www.facebook.com/100001932843434")</f>
        <v>https://www.facebook.com/100001932843434</v>
      </c>
      <c r="Q1029">
        <v>696</v>
      </c>
      <c r="R1029" t="s">
        <v>6067</v>
      </c>
      <c r="S1029" t="s">
        <v>6073</v>
      </c>
    </row>
    <row r="1030" spans="1:19" ht="14.25" customHeight="1" x14ac:dyDescent="0.3">
      <c r="A1030" t="s">
        <v>3527</v>
      </c>
      <c r="B1030" t="s">
        <v>3081</v>
      </c>
      <c r="C1030" t="s">
        <v>95</v>
      </c>
      <c r="D1030" t="s">
        <v>690</v>
      </c>
      <c r="E1030" t="s">
        <v>4037</v>
      </c>
      <c r="F1030" t="s">
        <v>6059</v>
      </c>
      <c r="G1030" s="2" t="str">
        <f>HYPERLINK("https://www.facebook.com/278105015535592/posts/1935377959808281?comment_id=1935628356449908")</f>
        <v>https://www.facebook.com/278105015535592/posts/1935377959808281?comment_id=1935628356449908</v>
      </c>
      <c r="H1030" t="s">
        <v>6062</v>
      </c>
      <c r="I1030" t="s">
        <v>4038</v>
      </c>
      <c r="J1030" s="2" t="str">
        <f>HYPERLINK("https://www.facebook.com/100004028628689")</f>
        <v>https://www.facebook.com/100004028628689</v>
      </c>
      <c r="K1030">
        <v>3</v>
      </c>
      <c r="L1030" t="s">
        <v>6064</v>
      </c>
      <c r="N1030" t="s">
        <v>13</v>
      </c>
      <c r="O1030" t="s">
        <v>996</v>
      </c>
      <c r="P1030" s="2" t="str">
        <f>HYPERLINK("https://www.facebook.com/278105015535592")</f>
        <v>https://www.facebook.com/278105015535592</v>
      </c>
      <c r="Q1030">
        <v>4845</v>
      </c>
      <c r="R1030" t="s">
        <v>6067</v>
      </c>
      <c r="S1030" t="s">
        <v>6073</v>
      </c>
    </row>
    <row r="1031" spans="1:19" ht="14.25" customHeight="1" x14ac:dyDescent="0.3">
      <c r="A1031" t="s">
        <v>5409</v>
      </c>
      <c r="B1031" t="s">
        <v>206</v>
      </c>
      <c r="C1031" t="s">
        <v>3538</v>
      </c>
      <c r="D1031" t="s">
        <v>5787</v>
      </c>
      <c r="E1031" t="s">
        <v>5788</v>
      </c>
      <c r="F1031" t="s">
        <v>6057</v>
      </c>
      <c r="G1031" s="2" t="str">
        <f>HYPERLINK("https://www.facebook.com/100004028628689/posts/1283232061821069")</f>
        <v>https://www.facebook.com/100004028628689/posts/1283232061821069</v>
      </c>
      <c r="H1031" t="s">
        <v>6062</v>
      </c>
      <c r="I1031" t="s">
        <v>4038</v>
      </c>
      <c r="J1031" s="2" t="str">
        <f>HYPERLINK("https://www.facebook.com/100004028628689")</f>
        <v>https://www.facebook.com/100004028628689</v>
      </c>
      <c r="K1031">
        <v>3</v>
      </c>
      <c r="L1031" t="s">
        <v>6064</v>
      </c>
      <c r="N1031" t="s">
        <v>13</v>
      </c>
      <c r="O1031" t="s">
        <v>4038</v>
      </c>
      <c r="P1031" s="2" t="str">
        <f>HYPERLINK("https://www.facebook.com/100004028628689")</f>
        <v>https://www.facebook.com/100004028628689</v>
      </c>
      <c r="Q1031">
        <v>3</v>
      </c>
      <c r="R1031" t="s">
        <v>6067</v>
      </c>
      <c r="S1031" t="s">
        <v>6073</v>
      </c>
    </row>
    <row r="1032" spans="1:19" ht="14.25" customHeight="1" x14ac:dyDescent="0.3">
      <c r="A1032" t="s">
        <v>3527</v>
      </c>
      <c r="B1032" t="s">
        <v>4349</v>
      </c>
      <c r="C1032" t="s">
        <v>3538</v>
      </c>
      <c r="D1032" t="s">
        <v>522</v>
      </c>
      <c r="E1032" t="s">
        <v>523</v>
      </c>
      <c r="F1032" t="s">
        <v>6056</v>
      </c>
      <c r="G1032" s="2" t="str">
        <f>HYPERLINK("https://www.facebook.com/100004028628689/posts/1285325868278355")</f>
        <v>https://www.facebook.com/100004028628689/posts/1285325868278355</v>
      </c>
      <c r="H1032" t="s">
        <v>6062</v>
      </c>
      <c r="I1032" t="s">
        <v>4038</v>
      </c>
      <c r="J1032" s="2" t="str">
        <f>HYPERLINK("https://www.facebook.com/100004028628689")</f>
        <v>https://www.facebook.com/100004028628689</v>
      </c>
      <c r="K1032">
        <v>3</v>
      </c>
      <c r="L1032" t="s">
        <v>6064</v>
      </c>
      <c r="N1032" t="s">
        <v>13</v>
      </c>
      <c r="O1032" t="s">
        <v>4038</v>
      </c>
      <c r="P1032" s="2" t="str">
        <f>HYPERLINK("https://www.facebook.com/100004028628689")</f>
        <v>https://www.facebook.com/100004028628689</v>
      </c>
      <c r="Q1032">
        <v>3</v>
      </c>
      <c r="R1032" t="s">
        <v>6067</v>
      </c>
      <c r="S1032" t="s">
        <v>6073</v>
      </c>
    </row>
    <row r="1033" spans="1:19" ht="14.25" customHeight="1" x14ac:dyDescent="0.3">
      <c r="A1033" t="s">
        <v>5409</v>
      </c>
      <c r="B1033" t="s">
        <v>1795</v>
      </c>
      <c r="C1033" t="s">
        <v>3538</v>
      </c>
      <c r="D1033" t="s">
        <v>5871</v>
      </c>
      <c r="E1033" t="s">
        <v>5891</v>
      </c>
      <c r="F1033" t="s">
        <v>6058</v>
      </c>
      <c r="G1033" s="2" t="str">
        <f>HYPERLINK("https://www.facebook.com/100013631598292/posts/394558044341912")</f>
        <v>https://www.facebook.com/100013631598292/posts/394558044341912</v>
      </c>
      <c r="H1033" t="s">
        <v>6062</v>
      </c>
      <c r="I1033" t="s">
        <v>5892</v>
      </c>
      <c r="J1033" s="2" t="str">
        <f>HYPERLINK("https://www.facebook.com/100013631598292")</f>
        <v>https://www.facebook.com/100013631598292</v>
      </c>
      <c r="K1033">
        <v>20</v>
      </c>
      <c r="L1033" t="s">
        <v>6063</v>
      </c>
      <c r="N1033" t="s">
        <v>13</v>
      </c>
      <c r="O1033" t="s">
        <v>5892</v>
      </c>
      <c r="P1033" s="2" t="str">
        <f>HYPERLINK("https://www.facebook.com/100013631598292")</f>
        <v>https://www.facebook.com/100013631598292</v>
      </c>
      <c r="Q1033">
        <v>20</v>
      </c>
      <c r="R1033" t="s">
        <v>6067</v>
      </c>
      <c r="S1033" t="s">
        <v>6073</v>
      </c>
    </row>
    <row r="1034" spans="1:19" ht="14.25" customHeight="1" x14ac:dyDescent="0.3">
      <c r="A1034" t="s">
        <v>2225</v>
      </c>
      <c r="B1034" t="s">
        <v>2573</v>
      </c>
      <c r="C1034" t="s">
        <v>95</v>
      </c>
      <c r="D1034" t="s">
        <v>544</v>
      </c>
      <c r="E1034" t="s">
        <v>545</v>
      </c>
      <c r="F1034" t="s">
        <v>6058</v>
      </c>
      <c r="G1034" s="2" t="str">
        <f>HYPERLINK("https://www.facebook.com/100014291133505/posts/358571294629239")</f>
        <v>https://www.facebook.com/100014291133505/posts/358571294629239</v>
      </c>
      <c r="H1034" t="s">
        <v>6062</v>
      </c>
      <c r="I1034" t="s">
        <v>2575</v>
      </c>
      <c r="J1034" s="2" t="str">
        <f>HYPERLINK("https://www.facebook.com/100014291133505")</f>
        <v>https://www.facebook.com/100014291133505</v>
      </c>
      <c r="K1034">
        <v>395</v>
      </c>
      <c r="L1034" t="s">
        <v>6063</v>
      </c>
      <c r="N1034" t="s">
        <v>13</v>
      </c>
      <c r="O1034" t="s">
        <v>2575</v>
      </c>
      <c r="P1034" s="2" t="str">
        <f>HYPERLINK("https://www.facebook.com/100014291133505")</f>
        <v>https://www.facebook.com/100014291133505</v>
      </c>
      <c r="Q1034">
        <v>395</v>
      </c>
      <c r="R1034" t="s">
        <v>6067</v>
      </c>
      <c r="S1034" t="s">
        <v>6073</v>
      </c>
    </row>
    <row r="1035" spans="1:19" ht="14.25" customHeight="1" x14ac:dyDescent="0.3">
      <c r="A1035" t="s">
        <v>2225</v>
      </c>
      <c r="B1035" t="s">
        <v>1059</v>
      </c>
      <c r="C1035" t="s">
        <v>95</v>
      </c>
      <c r="D1035" t="s">
        <v>464</v>
      </c>
      <c r="E1035" t="s">
        <v>3148</v>
      </c>
      <c r="F1035" t="s">
        <v>6059</v>
      </c>
      <c r="G1035" s="2" t="str">
        <f>HYPERLINK("https://www.facebook.com/1362386453/posts/10216460219362335?comment_id=10216460297444287")</f>
        <v>https://www.facebook.com/1362386453/posts/10216460219362335?comment_id=10216460297444287</v>
      </c>
      <c r="H1035" t="s">
        <v>6062</v>
      </c>
      <c r="I1035" t="s">
        <v>3129</v>
      </c>
      <c r="J1035" s="2" t="str">
        <f>HYPERLINK("https://www.facebook.com/100004123210869")</f>
        <v>https://www.facebook.com/100004123210869</v>
      </c>
      <c r="K1035">
        <v>916</v>
      </c>
      <c r="L1035" t="s">
        <v>6064</v>
      </c>
      <c r="N1035" t="s">
        <v>13</v>
      </c>
      <c r="O1035" t="s">
        <v>467</v>
      </c>
      <c r="P1035" s="2" t="str">
        <f>HYPERLINK("https://www.facebook.com/1362386453")</f>
        <v>https://www.facebook.com/1362386453</v>
      </c>
      <c r="Q1035">
        <v>3896</v>
      </c>
      <c r="R1035" t="s">
        <v>6067</v>
      </c>
      <c r="S1035" t="s">
        <v>6073</v>
      </c>
    </row>
    <row r="1036" spans="1:19" ht="14.25" customHeight="1" x14ac:dyDescent="0.3">
      <c r="A1036" t="s">
        <v>2225</v>
      </c>
      <c r="B1036" t="s">
        <v>1052</v>
      </c>
      <c r="C1036" t="s">
        <v>95</v>
      </c>
      <c r="D1036" t="s">
        <v>464</v>
      </c>
      <c r="E1036" t="s">
        <v>3128</v>
      </c>
      <c r="F1036" t="s">
        <v>6059</v>
      </c>
      <c r="G1036" s="2" t="str">
        <f>HYPERLINK("https://www.facebook.com/1362386453/posts/10216460219362335?comment_id=10216460312764670")</f>
        <v>https://www.facebook.com/1362386453/posts/10216460219362335?comment_id=10216460312764670</v>
      </c>
      <c r="H1036" t="s">
        <v>6062</v>
      </c>
      <c r="I1036" t="s">
        <v>3129</v>
      </c>
      <c r="J1036" s="2" t="str">
        <f>HYPERLINK("https://www.facebook.com/100004123210869")</f>
        <v>https://www.facebook.com/100004123210869</v>
      </c>
      <c r="K1036">
        <v>916</v>
      </c>
      <c r="L1036" t="s">
        <v>6064</v>
      </c>
      <c r="N1036" t="s">
        <v>13</v>
      </c>
      <c r="O1036" t="s">
        <v>467</v>
      </c>
      <c r="P1036" s="2" t="str">
        <f>HYPERLINK("https://www.facebook.com/1362386453")</f>
        <v>https://www.facebook.com/1362386453</v>
      </c>
      <c r="Q1036">
        <v>3896</v>
      </c>
      <c r="R1036" t="s">
        <v>6067</v>
      </c>
      <c r="S1036" t="s">
        <v>6073</v>
      </c>
    </row>
    <row r="1037" spans="1:19" ht="14.25" customHeight="1" x14ac:dyDescent="0.3">
      <c r="A1037" t="s">
        <v>2225</v>
      </c>
      <c r="B1037" t="s">
        <v>3132</v>
      </c>
      <c r="C1037" t="s">
        <v>95</v>
      </c>
      <c r="D1037" t="s">
        <v>464</v>
      </c>
      <c r="E1037" t="s">
        <v>3134</v>
      </c>
      <c r="F1037" t="s">
        <v>6059</v>
      </c>
      <c r="G1037" s="2" t="str">
        <f>HYPERLINK("https://www.facebook.com/1362386453/posts/10216460219362335?comment_id=10216460310124604")</f>
        <v>https://www.facebook.com/1362386453/posts/10216460219362335?comment_id=10216460310124604</v>
      </c>
      <c r="H1037" t="s">
        <v>6062</v>
      </c>
      <c r="I1037" t="s">
        <v>3129</v>
      </c>
      <c r="J1037" s="2" t="str">
        <f>HYPERLINK("https://www.facebook.com/100004123210869")</f>
        <v>https://www.facebook.com/100004123210869</v>
      </c>
      <c r="K1037">
        <v>916</v>
      </c>
      <c r="L1037" t="s">
        <v>6064</v>
      </c>
      <c r="N1037" t="s">
        <v>13</v>
      </c>
      <c r="O1037" t="s">
        <v>467</v>
      </c>
      <c r="P1037" s="2" t="str">
        <f>HYPERLINK("https://www.facebook.com/1362386453")</f>
        <v>https://www.facebook.com/1362386453</v>
      </c>
      <c r="Q1037">
        <v>3896</v>
      </c>
      <c r="R1037" t="s">
        <v>6067</v>
      </c>
      <c r="S1037" t="s">
        <v>6073</v>
      </c>
    </row>
    <row r="1038" spans="1:19" ht="14.25" customHeight="1" x14ac:dyDescent="0.3">
      <c r="A1038" t="s">
        <v>2225</v>
      </c>
      <c r="B1038" t="s">
        <v>3142</v>
      </c>
      <c r="C1038" t="s">
        <v>95</v>
      </c>
      <c r="D1038" t="s">
        <v>464</v>
      </c>
      <c r="E1038" t="s">
        <v>3144</v>
      </c>
      <c r="F1038" t="s">
        <v>6059</v>
      </c>
      <c r="G1038" s="2" t="str">
        <f>HYPERLINK("https://www.facebook.com/1362386453/posts/10216460219362335?comment_id=10216460302684418")</f>
        <v>https://www.facebook.com/1362386453/posts/10216460219362335?comment_id=10216460302684418</v>
      </c>
      <c r="H1038" t="s">
        <v>6062</v>
      </c>
      <c r="I1038" t="s">
        <v>3129</v>
      </c>
      <c r="J1038" s="2" t="str">
        <f>HYPERLINK("https://www.facebook.com/100004123210869")</f>
        <v>https://www.facebook.com/100004123210869</v>
      </c>
      <c r="K1038">
        <v>916</v>
      </c>
      <c r="L1038" t="s">
        <v>6064</v>
      </c>
      <c r="N1038" t="s">
        <v>13</v>
      </c>
      <c r="O1038" t="s">
        <v>467</v>
      </c>
      <c r="P1038" s="2" t="str">
        <f>HYPERLINK("https://www.facebook.com/1362386453")</f>
        <v>https://www.facebook.com/1362386453</v>
      </c>
      <c r="Q1038">
        <v>3896</v>
      </c>
      <c r="R1038" t="s">
        <v>6067</v>
      </c>
      <c r="S1038" t="s">
        <v>6073</v>
      </c>
    </row>
    <row r="1039" spans="1:19" ht="14.25" customHeight="1" x14ac:dyDescent="0.3">
      <c r="A1039" t="s">
        <v>629</v>
      </c>
      <c r="B1039" t="s">
        <v>1486</v>
      </c>
      <c r="C1039" t="s">
        <v>95</v>
      </c>
      <c r="D1039" t="s">
        <v>370</v>
      </c>
      <c r="E1039" t="s">
        <v>371</v>
      </c>
      <c r="F1039" t="s">
        <v>6058</v>
      </c>
      <c r="G1039" s="2" t="str">
        <f>HYPERLINK("https://www.facebook.com/100007960699441/posts/2059277704347566")</f>
        <v>https://www.facebook.com/100007960699441/posts/2059277704347566</v>
      </c>
      <c r="H1039" t="s">
        <v>6062</v>
      </c>
      <c r="I1039" t="s">
        <v>1487</v>
      </c>
      <c r="J1039" s="2" t="str">
        <f>HYPERLINK("https://www.facebook.com/100007960699441")</f>
        <v>https://www.facebook.com/100007960699441</v>
      </c>
      <c r="K1039">
        <v>41</v>
      </c>
      <c r="L1039" t="s">
        <v>6064</v>
      </c>
      <c r="N1039" t="s">
        <v>13</v>
      </c>
      <c r="O1039" t="s">
        <v>1487</v>
      </c>
      <c r="P1039" s="2" t="str">
        <f>HYPERLINK("https://www.facebook.com/100007960699441")</f>
        <v>https://www.facebook.com/100007960699441</v>
      </c>
      <c r="Q1039">
        <v>41</v>
      </c>
      <c r="R1039" t="s">
        <v>6067</v>
      </c>
    </row>
    <row r="1040" spans="1:19" ht="14.25" customHeight="1" x14ac:dyDescent="0.3">
      <c r="A1040" t="s">
        <v>629</v>
      </c>
      <c r="B1040" t="s">
        <v>657</v>
      </c>
      <c r="C1040" t="s">
        <v>95</v>
      </c>
      <c r="D1040" t="s">
        <v>370</v>
      </c>
      <c r="E1040" t="s">
        <v>371</v>
      </c>
      <c r="F1040" t="s">
        <v>6058</v>
      </c>
      <c r="G1040" s="2" t="str">
        <f>HYPERLINK("https://www.facebook.com/100023119337226/posts/191718001608843")</f>
        <v>https://www.facebook.com/100023119337226/posts/191718001608843</v>
      </c>
      <c r="H1040" t="s">
        <v>6062</v>
      </c>
      <c r="I1040" t="s">
        <v>658</v>
      </c>
      <c r="J1040" s="2" t="str">
        <f>HYPERLINK("https://www.facebook.com/100023119337226")</f>
        <v>https://www.facebook.com/100023119337226</v>
      </c>
      <c r="K1040">
        <v>1497</v>
      </c>
      <c r="L1040" t="s">
        <v>6064</v>
      </c>
      <c r="N1040" t="s">
        <v>13</v>
      </c>
      <c r="O1040" t="s">
        <v>658</v>
      </c>
      <c r="P1040" s="2" t="str">
        <f>HYPERLINK("https://www.facebook.com/100023119337226")</f>
        <v>https://www.facebook.com/100023119337226</v>
      </c>
      <c r="Q1040">
        <v>1497</v>
      </c>
      <c r="R1040" t="s">
        <v>6067</v>
      </c>
    </row>
    <row r="1041" spans="1:19" ht="14.25" customHeight="1" x14ac:dyDescent="0.3">
      <c r="A1041" t="s">
        <v>2225</v>
      </c>
      <c r="B1041" t="s">
        <v>2269</v>
      </c>
      <c r="C1041" t="s">
        <v>95</v>
      </c>
      <c r="D1041" t="s">
        <v>544</v>
      </c>
      <c r="E1041" t="s">
        <v>545</v>
      </c>
      <c r="F1041" t="s">
        <v>6058</v>
      </c>
      <c r="G1041" s="2" t="str">
        <f>HYPERLINK("https://www.facebook.com/100004766537713/posts/1217216148447258")</f>
        <v>https://www.facebook.com/100004766537713/posts/1217216148447258</v>
      </c>
      <c r="H1041" t="s">
        <v>6062</v>
      </c>
      <c r="I1041" t="s">
        <v>2272</v>
      </c>
      <c r="J1041" s="2" t="str">
        <f>HYPERLINK("https://www.facebook.com/100004766537713")</f>
        <v>https://www.facebook.com/100004766537713</v>
      </c>
      <c r="K1041">
        <v>79</v>
      </c>
      <c r="L1041" t="s">
        <v>6064</v>
      </c>
      <c r="N1041" t="s">
        <v>13</v>
      </c>
      <c r="O1041" t="s">
        <v>2272</v>
      </c>
      <c r="P1041" s="2" t="str">
        <f>HYPERLINK("https://www.facebook.com/100004766537713")</f>
        <v>https://www.facebook.com/100004766537713</v>
      </c>
      <c r="Q1041">
        <v>79</v>
      </c>
      <c r="R1041" t="s">
        <v>6067</v>
      </c>
    </row>
    <row r="1042" spans="1:19" ht="14.25" customHeight="1" x14ac:dyDescent="0.3">
      <c r="A1042" t="s">
        <v>2225</v>
      </c>
      <c r="B1042" t="s">
        <v>2269</v>
      </c>
      <c r="C1042" t="s">
        <v>95</v>
      </c>
      <c r="D1042" t="s">
        <v>544</v>
      </c>
      <c r="E1042" t="s">
        <v>545</v>
      </c>
      <c r="F1042" t="s">
        <v>6058</v>
      </c>
      <c r="G1042" s="2" t="str">
        <f>HYPERLINK("https://www.facebook.com/100004766537713/posts/1217216151780591")</f>
        <v>https://www.facebook.com/100004766537713/posts/1217216151780591</v>
      </c>
      <c r="H1042" t="s">
        <v>6062</v>
      </c>
      <c r="I1042" t="s">
        <v>2272</v>
      </c>
      <c r="J1042" s="2" t="str">
        <f>HYPERLINK("https://www.facebook.com/100004766537713")</f>
        <v>https://www.facebook.com/100004766537713</v>
      </c>
      <c r="K1042">
        <v>79</v>
      </c>
      <c r="L1042" t="s">
        <v>6064</v>
      </c>
      <c r="N1042" t="s">
        <v>13</v>
      </c>
      <c r="O1042" t="s">
        <v>2272</v>
      </c>
      <c r="P1042" s="2" t="str">
        <f>HYPERLINK("https://www.facebook.com/100004766537713")</f>
        <v>https://www.facebook.com/100004766537713</v>
      </c>
      <c r="Q1042">
        <v>79</v>
      </c>
      <c r="R1042" t="s">
        <v>6067</v>
      </c>
    </row>
    <row r="1043" spans="1:19" ht="14.25" customHeight="1" x14ac:dyDescent="0.3">
      <c r="A1043" t="s">
        <v>629</v>
      </c>
      <c r="B1043" t="s">
        <v>457</v>
      </c>
      <c r="C1043" t="s">
        <v>95</v>
      </c>
      <c r="D1043" t="s">
        <v>370</v>
      </c>
      <c r="E1043" t="s">
        <v>371</v>
      </c>
      <c r="F1043" t="s">
        <v>6058</v>
      </c>
      <c r="G1043" s="2" t="str">
        <f>HYPERLINK("https://www.facebook.com/100006166441201/posts/2055282271353968")</f>
        <v>https://www.facebook.com/100006166441201/posts/2055282271353968</v>
      </c>
      <c r="H1043" t="s">
        <v>6062</v>
      </c>
      <c r="I1043" t="s">
        <v>1891</v>
      </c>
      <c r="J1043" s="2" t="str">
        <f>HYPERLINK("https://www.facebook.com/100006166441201")</f>
        <v>https://www.facebook.com/100006166441201</v>
      </c>
      <c r="K1043">
        <v>34</v>
      </c>
      <c r="L1043" t="s">
        <v>6064</v>
      </c>
      <c r="N1043" t="s">
        <v>13</v>
      </c>
      <c r="O1043" t="s">
        <v>1891</v>
      </c>
      <c r="P1043" s="2" t="str">
        <f>HYPERLINK("https://www.facebook.com/100006166441201")</f>
        <v>https://www.facebook.com/100006166441201</v>
      </c>
      <c r="Q1043">
        <v>34</v>
      </c>
      <c r="R1043" t="s">
        <v>6067</v>
      </c>
    </row>
    <row r="1044" spans="1:19" ht="14.25" customHeight="1" x14ac:dyDescent="0.3">
      <c r="A1044" t="s">
        <v>629</v>
      </c>
      <c r="B1044" t="s">
        <v>1713</v>
      </c>
      <c r="C1044" t="s">
        <v>95</v>
      </c>
      <c r="D1044" t="s">
        <v>370</v>
      </c>
      <c r="E1044" t="s">
        <v>371</v>
      </c>
      <c r="F1044" t="s">
        <v>6058</v>
      </c>
      <c r="G1044" s="2" t="str">
        <f>HYPERLINK("https://www.facebook.com/100025163321925/posts/121048748743902")</f>
        <v>https://www.facebook.com/100025163321925/posts/121048748743902</v>
      </c>
      <c r="H1044" t="s">
        <v>6062</v>
      </c>
      <c r="I1044" t="s">
        <v>1717</v>
      </c>
      <c r="J1044" s="2" t="str">
        <f>HYPERLINK("https://www.facebook.com/100025163321925")</f>
        <v>https://www.facebook.com/100025163321925</v>
      </c>
      <c r="K1044">
        <v>913</v>
      </c>
      <c r="L1044" t="s">
        <v>6064</v>
      </c>
      <c r="N1044" t="s">
        <v>13</v>
      </c>
      <c r="O1044" t="s">
        <v>1717</v>
      </c>
      <c r="P1044" s="2" t="str">
        <f>HYPERLINK("https://www.facebook.com/100025163321925")</f>
        <v>https://www.facebook.com/100025163321925</v>
      </c>
      <c r="Q1044">
        <v>913</v>
      </c>
      <c r="R1044" t="s">
        <v>6067</v>
      </c>
    </row>
    <row r="1045" spans="1:19" ht="14.25" customHeight="1" x14ac:dyDescent="0.3">
      <c r="A1045" t="s">
        <v>1</v>
      </c>
      <c r="B1045" t="s">
        <v>133</v>
      </c>
      <c r="C1045" t="s">
        <v>95</v>
      </c>
      <c r="D1045" t="s">
        <v>45</v>
      </c>
      <c r="E1045" t="s">
        <v>134</v>
      </c>
      <c r="F1045" t="s">
        <v>6059</v>
      </c>
      <c r="G1045" s="2" t="str">
        <f>HYPERLINK("https://www.facebook.com/762053551/posts/10156368409663552?comment_id=10156368432883552")</f>
        <v>https://www.facebook.com/762053551/posts/10156368409663552?comment_id=10156368432883552</v>
      </c>
      <c r="H1045" t="s">
        <v>6062</v>
      </c>
      <c r="I1045" t="s">
        <v>135</v>
      </c>
      <c r="J1045" s="2" t="str">
        <f>HYPERLINK("https://www.facebook.com/100002985198574")</f>
        <v>https://www.facebook.com/100002985198574</v>
      </c>
      <c r="K1045">
        <v>0</v>
      </c>
      <c r="L1045" t="s">
        <v>6063</v>
      </c>
      <c r="N1045" t="s">
        <v>13</v>
      </c>
      <c r="O1045" t="s">
        <v>14</v>
      </c>
      <c r="P1045" s="2" t="str">
        <f>HYPERLINK("https://www.facebook.com/762053551")</f>
        <v>https://www.facebook.com/762053551</v>
      </c>
      <c r="Q1045">
        <v>102347</v>
      </c>
      <c r="R1045" t="s">
        <v>6067</v>
      </c>
      <c r="S1045" t="s">
        <v>6073</v>
      </c>
    </row>
    <row r="1046" spans="1:19" ht="14.25" customHeight="1" x14ac:dyDescent="0.3">
      <c r="A1046" t="s">
        <v>5409</v>
      </c>
      <c r="B1046" t="s">
        <v>1170</v>
      </c>
      <c r="C1046" t="s">
        <v>3538</v>
      </c>
      <c r="D1046" t="s">
        <v>5425</v>
      </c>
      <c r="E1046" t="s">
        <v>5672</v>
      </c>
      <c r="F1046" t="s">
        <v>6059</v>
      </c>
      <c r="G1046" s="2" t="str">
        <f>HYPERLINK("https://www.facebook.com/1717320447/posts/10204642291893366?comment_id=10204644932839388")</f>
        <v>https://www.facebook.com/1717320447/posts/10204642291893366?comment_id=10204644932839388</v>
      </c>
      <c r="H1046" t="s">
        <v>6062</v>
      </c>
      <c r="I1046" t="s">
        <v>5673</v>
      </c>
      <c r="J1046" s="2" t="str">
        <f>HYPERLINK("https://www.facebook.com/100023493066600")</f>
        <v>https://www.facebook.com/100023493066600</v>
      </c>
      <c r="K1046">
        <v>1018</v>
      </c>
      <c r="L1046" t="s">
        <v>6063</v>
      </c>
      <c r="N1046" t="s">
        <v>13</v>
      </c>
      <c r="O1046" t="s">
        <v>5427</v>
      </c>
      <c r="P1046" s="2" t="str">
        <f>HYPERLINK("https://www.facebook.com/1717320447")</f>
        <v>https://www.facebook.com/1717320447</v>
      </c>
      <c r="Q1046">
        <v>0</v>
      </c>
      <c r="R1046" t="s">
        <v>6067</v>
      </c>
      <c r="S1046" t="s">
        <v>6073</v>
      </c>
    </row>
    <row r="1047" spans="1:19" ht="14.25" customHeight="1" x14ac:dyDescent="0.3">
      <c r="A1047" t="s">
        <v>4995</v>
      </c>
      <c r="B1047" t="s">
        <v>1546</v>
      </c>
      <c r="C1047" t="s">
        <v>3538</v>
      </c>
      <c r="D1047" t="s">
        <v>5017</v>
      </c>
      <c r="E1047" t="s">
        <v>5018</v>
      </c>
      <c r="F1047" t="s">
        <v>6056</v>
      </c>
      <c r="G1047" s="2" t="str">
        <f>HYPERLINK("https://www.facebook.com/554205551637027/posts/691272747930306")</f>
        <v>https://www.facebook.com/554205551637027/posts/691272747930306</v>
      </c>
      <c r="H1047" t="s">
        <v>6062</v>
      </c>
      <c r="I1047" t="s">
        <v>4320</v>
      </c>
      <c r="J1047" s="2" t="str">
        <f>HYPERLINK("https://www.facebook.com/554205551637027")</f>
        <v>https://www.facebook.com/554205551637027</v>
      </c>
      <c r="K1047">
        <v>7646</v>
      </c>
      <c r="L1047" t="s">
        <v>6065</v>
      </c>
      <c r="N1047" t="s">
        <v>13</v>
      </c>
      <c r="O1047" t="s">
        <v>4320</v>
      </c>
      <c r="P1047" s="2" t="str">
        <f>HYPERLINK("https://www.facebook.com/554205551637027")</f>
        <v>https://www.facebook.com/554205551637027</v>
      </c>
      <c r="Q1047">
        <v>7646</v>
      </c>
      <c r="R1047" t="s">
        <v>6067</v>
      </c>
      <c r="S1047" t="s">
        <v>6073</v>
      </c>
    </row>
    <row r="1048" spans="1:19" ht="14.25" customHeight="1" x14ac:dyDescent="0.3">
      <c r="A1048" t="s">
        <v>5409</v>
      </c>
      <c r="B1048" t="s">
        <v>1818</v>
      </c>
      <c r="C1048" t="s">
        <v>3538</v>
      </c>
      <c r="D1048" t="s">
        <v>4318</v>
      </c>
      <c r="E1048" t="s">
        <v>5429</v>
      </c>
      <c r="F1048" t="s">
        <v>6056</v>
      </c>
      <c r="G1048" s="2" t="str">
        <f>HYPERLINK("https://www.facebook.com/554205551637027/posts/691121914612056")</f>
        <v>https://www.facebook.com/554205551637027/posts/691121914612056</v>
      </c>
      <c r="H1048" t="s">
        <v>6062</v>
      </c>
      <c r="I1048" t="s">
        <v>4320</v>
      </c>
      <c r="J1048" s="2" t="str">
        <f>HYPERLINK("https://www.facebook.com/554205551637027")</f>
        <v>https://www.facebook.com/554205551637027</v>
      </c>
      <c r="K1048">
        <v>7646</v>
      </c>
      <c r="L1048" t="s">
        <v>6065</v>
      </c>
      <c r="N1048" t="s">
        <v>13</v>
      </c>
      <c r="O1048" t="s">
        <v>4320</v>
      </c>
      <c r="P1048" s="2" t="str">
        <f>HYPERLINK("https://www.facebook.com/554205551637027")</f>
        <v>https://www.facebook.com/554205551637027</v>
      </c>
      <c r="Q1048">
        <v>7646</v>
      </c>
      <c r="R1048" t="s">
        <v>6067</v>
      </c>
      <c r="S1048" t="s">
        <v>6073</v>
      </c>
    </row>
    <row r="1049" spans="1:19" ht="14.25" customHeight="1" x14ac:dyDescent="0.3">
      <c r="A1049" t="s">
        <v>3527</v>
      </c>
      <c r="B1049" t="s">
        <v>1795</v>
      </c>
      <c r="C1049" t="s">
        <v>3538</v>
      </c>
      <c r="D1049" t="s">
        <v>4318</v>
      </c>
      <c r="E1049" t="s">
        <v>4319</v>
      </c>
      <c r="F1049" t="s">
        <v>6059</v>
      </c>
      <c r="G1049" s="2" t="str">
        <f>HYPERLINK("https://www.facebook.com/554205551637027/posts/691121914612056?comment_id=692905031100411")</f>
        <v>https://www.facebook.com/554205551637027/posts/691121914612056?comment_id=692905031100411</v>
      </c>
      <c r="H1049" t="s">
        <v>6062</v>
      </c>
      <c r="I1049" t="s">
        <v>4320</v>
      </c>
      <c r="J1049" s="2" t="str">
        <f>HYPERLINK("https://www.facebook.com/554205551637027")</f>
        <v>https://www.facebook.com/554205551637027</v>
      </c>
      <c r="K1049">
        <v>7646</v>
      </c>
      <c r="L1049" t="s">
        <v>6065</v>
      </c>
      <c r="N1049" t="s">
        <v>13</v>
      </c>
      <c r="O1049" t="s">
        <v>4320</v>
      </c>
      <c r="P1049" s="2" t="str">
        <f>HYPERLINK("https://www.facebook.com/554205551637027")</f>
        <v>https://www.facebook.com/554205551637027</v>
      </c>
      <c r="Q1049">
        <v>7646</v>
      </c>
      <c r="R1049" t="s">
        <v>6067</v>
      </c>
      <c r="S1049" t="s">
        <v>6073</v>
      </c>
    </row>
    <row r="1050" spans="1:19" ht="14.25" customHeight="1" x14ac:dyDescent="0.3">
      <c r="A1050" t="s">
        <v>4995</v>
      </c>
      <c r="B1050" t="s">
        <v>1590</v>
      </c>
      <c r="C1050" t="s">
        <v>3538</v>
      </c>
      <c r="D1050" t="s">
        <v>5300</v>
      </c>
      <c r="E1050" t="s">
        <v>5301</v>
      </c>
      <c r="F1050" t="s">
        <v>6056</v>
      </c>
      <c r="G1050" s="2" t="str">
        <f>HYPERLINK("https://www.facebook.com/100007811403199/posts/2075179129419114")</f>
        <v>https://www.facebook.com/100007811403199/posts/2075179129419114</v>
      </c>
      <c r="H1050" t="s">
        <v>6062</v>
      </c>
      <c r="I1050" t="s">
        <v>5302</v>
      </c>
      <c r="J1050" s="2" t="str">
        <f>HYPERLINK("https://www.facebook.com/100007811403199")</f>
        <v>https://www.facebook.com/100007811403199</v>
      </c>
      <c r="K1050">
        <v>149</v>
      </c>
      <c r="L1050" t="s">
        <v>6063</v>
      </c>
      <c r="N1050" t="s">
        <v>13</v>
      </c>
      <c r="O1050" t="s">
        <v>5302</v>
      </c>
      <c r="P1050" s="2" t="str">
        <f>HYPERLINK("https://www.facebook.com/100007811403199")</f>
        <v>https://www.facebook.com/100007811403199</v>
      </c>
      <c r="Q1050">
        <v>149</v>
      </c>
      <c r="R1050" t="s">
        <v>6067</v>
      </c>
      <c r="S1050" t="s">
        <v>6073</v>
      </c>
    </row>
    <row r="1051" spans="1:19" ht="14.25" customHeight="1" x14ac:dyDescent="0.3">
      <c r="A1051" t="s">
        <v>4995</v>
      </c>
      <c r="B1051" t="s">
        <v>4564</v>
      </c>
      <c r="C1051" t="s">
        <v>3538</v>
      </c>
      <c r="D1051" t="s">
        <v>508</v>
      </c>
      <c r="E1051" t="s">
        <v>509</v>
      </c>
      <c r="F1051" t="s">
        <v>6058</v>
      </c>
      <c r="G1051" s="2" t="str">
        <f>HYPERLINK("https://www.facebook.com/100000548867165/posts/2120534741308134")</f>
        <v>https://www.facebook.com/100000548867165/posts/2120534741308134</v>
      </c>
      <c r="H1051" t="s">
        <v>6062</v>
      </c>
      <c r="I1051" t="s">
        <v>5103</v>
      </c>
      <c r="J1051" s="2" t="str">
        <f>HYPERLINK("https://www.facebook.com/100000548867165")</f>
        <v>https://www.facebook.com/100000548867165</v>
      </c>
      <c r="K1051">
        <v>502</v>
      </c>
      <c r="L1051" t="s">
        <v>6063</v>
      </c>
      <c r="N1051" t="s">
        <v>13</v>
      </c>
      <c r="O1051" t="s">
        <v>5103</v>
      </c>
      <c r="P1051" s="2" t="str">
        <f>HYPERLINK("https://www.facebook.com/100000548867165")</f>
        <v>https://www.facebook.com/100000548867165</v>
      </c>
      <c r="Q1051">
        <v>502</v>
      </c>
      <c r="R1051" t="s">
        <v>6067</v>
      </c>
      <c r="S1051" t="s">
        <v>6072</v>
      </c>
    </row>
    <row r="1052" spans="1:19" ht="14.25" customHeight="1" x14ac:dyDescent="0.3">
      <c r="A1052" t="s">
        <v>2225</v>
      </c>
      <c r="B1052" t="s">
        <v>625</v>
      </c>
      <c r="C1052" t="s">
        <v>95</v>
      </c>
      <c r="D1052" t="s">
        <v>3520</v>
      </c>
      <c r="E1052" t="s">
        <v>3521</v>
      </c>
      <c r="F1052" t="s">
        <v>6059</v>
      </c>
      <c r="G1052" s="2" t="str">
        <f>HYPERLINK("https://www.facebook.com/1340821636/posts/10215861089903755?comment_id=10215861127144686")</f>
        <v>https://www.facebook.com/1340821636/posts/10215861089903755?comment_id=10215861127144686</v>
      </c>
      <c r="H1052" t="s">
        <v>6062</v>
      </c>
      <c r="I1052" t="s">
        <v>3522</v>
      </c>
      <c r="J1052" s="2" t="str">
        <f>HYPERLINK("https://www.facebook.com/1340821636")</f>
        <v>https://www.facebook.com/1340821636</v>
      </c>
      <c r="K1052">
        <v>0</v>
      </c>
      <c r="L1052" t="s">
        <v>6063</v>
      </c>
      <c r="N1052" t="s">
        <v>13</v>
      </c>
      <c r="O1052" t="s">
        <v>3522</v>
      </c>
      <c r="P1052" s="2" t="str">
        <f>HYPERLINK("https://www.facebook.com/1340821636")</f>
        <v>https://www.facebook.com/1340821636</v>
      </c>
      <c r="Q1052">
        <v>0</v>
      </c>
      <c r="R1052" t="s">
        <v>6067</v>
      </c>
    </row>
    <row r="1053" spans="1:19" ht="14.25" customHeight="1" x14ac:dyDescent="0.3">
      <c r="A1053" t="s">
        <v>1</v>
      </c>
      <c r="B1053" t="s">
        <v>572</v>
      </c>
      <c r="C1053" t="s">
        <v>95</v>
      </c>
      <c r="D1053" t="s">
        <v>568</v>
      </c>
      <c r="E1053" t="s">
        <v>573</v>
      </c>
      <c r="F1053" t="s">
        <v>6059</v>
      </c>
      <c r="G1053" s="2" t="str">
        <f>HYPERLINK("https://www.facebook.com/100010421106042/posts/579987695691929?comment_id=580375132319852")</f>
        <v>https://www.facebook.com/100010421106042/posts/579987695691929?comment_id=580375132319852</v>
      </c>
      <c r="H1053" t="s">
        <v>6062</v>
      </c>
      <c r="I1053" t="s">
        <v>570</v>
      </c>
      <c r="J1053" s="2" t="str">
        <f>HYPERLINK("https://www.facebook.com/100006360018200")</f>
        <v>https://www.facebook.com/100006360018200</v>
      </c>
      <c r="K1053">
        <v>263</v>
      </c>
      <c r="L1053" t="s">
        <v>6063</v>
      </c>
      <c r="N1053" t="s">
        <v>13</v>
      </c>
      <c r="O1053" t="s">
        <v>571</v>
      </c>
      <c r="P1053" s="2" t="str">
        <f>HYPERLINK("https://www.facebook.com/100010421106042")</f>
        <v>https://www.facebook.com/100010421106042</v>
      </c>
      <c r="Q1053">
        <v>2614</v>
      </c>
      <c r="R1053" t="s">
        <v>6067</v>
      </c>
      <c r="S1053" t="s">
        <v>6073</v>
      </c>
    </row>
    <row r="1054" spans="1:19" ht="14.25" customHeight="1" x14ac:dyDescent="0.3">
      <c r="A1054" t="s">
        <v>629</v>
      </c>
      <c r="B1054" t="s">
        <v>1667</v>
      </c>
      <c r="C1054" t="s">
        <v>95</v>
      </c>
      <c r="D1054" t="s">
        <v>568</v>
      </c>
      <c r="E1054" t="s">
        <v>1669</v>
      </c>
      <c r="F1054" t="s">
        <v>6059</v>
      </c>
      <c r="G1054" s="2" t="str">
        <f>HYPERLINK("https://www.facebook.com/100010421106042/posts/579987695691929?comment_id=580113602346005")</f>
        <v>https://www.facebook.com/100010421106042/posts/579987695691929?comment_id=580113602346005</v>
      </c>
      <c r="H1054" t="s">
        <v>6062</v>
      </c>
      <c r="I1054" t="s">
        <v>570</v>
      </c>
      <c r="J1054" s="2" t="str">
        <f>HYPERLINK("https://www.facebook.com/100006360018200")</f>
        <v>https://www.facebook.com/100006360018200</v>
      </c>
      <c r="K1054">
        <v>263</v>
      </c>
      <c r="L1054" t="s">
        <v>6063</v>
      </c>
      <c r="N1054" t="s">
        <v>13</v>
      </c>
      <c r="O1054" t="s">
        <v>571</v>
      </c>
      <c r="P1054" s="2" t="str">
        <f>HYPERLINK("https://www.facebook.com/100010421106042")</f>
        <v>https://www.facebook.com/100010421106042</v>
      </c>
      <c r="Q1054">
        <v>2614</v>
      </c>
      <c r="R1054" t="s">
        <v>6067</v>
      </c>
      <c r="S1054" t="s">
        <v>6073</v>
      </c>
    </row>
    <row r="1055" spans="1:19" ht="14.25" customHeight="1" x14ac:dyDescent="0.3">
      <c r="A1055" t="s">
        <v>5409</v>
      </c>
      <c r="B1055" t="s">
        <v>3347</v>
      </c>
      <c r="C1055" t="s">
        <v>3538</v>
      </c>
      <c r="D1055" t="s">
        <v>5425</v>
      </c>
      <c r="E1055" t="s">
        <v>5814</v>
      </c>
      <c r="F1055" t="s">
        <v>6059</v>
      </c>
      <c r="G1055" s="2" t="str">
        <f>HYPERLINK("https://www.facebook.com/1717320447/posts/10204642291893366?comment_id=10204642785105696")</f>
        <v>https://www.facebook.com/1717320447/posts/10204642291893366?comment_id=10204642785105696</v>
      </c>
      <c r="H1055" t="s">
        <v>6062</v>
      </c>
      <c r="I1055" t="s">
        <v>5467</v>
      </c>
      <c r="J1055" s="2" t="str">
        <f>HYPERLINK("https://www.facebook.com/100000852610656")</f>
        <v>https://www.facebook.com/100000852610656</v>
      </c>
      <c r="K1055">
        <v>825</v>
      </c>
      <c r="L1055" t="s">
        <v>6063</v>
      </c>
      <c r="N1055" t="s">
        <v>13</v>
      </c>
      <c r="O1055" t="s">
        <v>5427</v>
      </c>
      <c r="P1055" s="2" t="str">
        <f>HYPERLINK("https://www.facebook.com/1717320447")</f>
        <v>https://www.facebook.com/1717320447</v>
      </c>
      <c r="Q1055">
        <v>0</v>
      </c>
      <c r="R1055" t="s">
        <v>6067</v>
      </c>
      <c r="S1055" t="s">
        <v>6073</v>
      </c>
    </row>
    <row r="1056" spans="1:19" ht="14.25" customHeight="1" x14ac:dyDescent="0.3">
      <c r="A1056" t="s">
        <v>5409</v>
      </c>
      <c r="B1056" t="s">
        <v>2364</v>
      </c>
      <c r="C1056" t="s">
        <v>3538</v>
      </c>
      <c r="D1056" t="s">
        <v>5425</v>
      </c>
      <c r="E1056" t="s">
        <v>5466</v>
      </c>
      <c r="F1056" t="s">
        <v>6059</v>
      </c>
      <c r="G1056" s="2" t="str">
        <f>HYPERLINK("https://www.facebook.com/1717320447/posts/10204642291893366?comment_id=10204646855967465")</f>
        <v>https://www.facebook.com/1717320447/posts/10204642291893366?comment_id=10204646855967465</v>
      </c>
      <c r="H1056" t="s">
        <v>6062</v>
      </c>
      <c r="I1056" t="s">
        <v>5467</v>
      </c>
      <c r="J1056" s="2" t="str">
        <f>HYPERLINK("https://www.facebook.com/100000852610656")</f>
        <v>https://www.facebook.com/100000852610656</v>
      </c>
      <c r="K1056">
        <v>825</v>
      </c>
      <c r="L1056" t="s">
        <v>6063</v>
      </c>
      <c r="N1056" t="s">
        <v>13</v>
      </c>
      <c r="O1056" t="s">
        <v>5427</v>
      </c>
      <c r="P1056" s="2" t="str">
        <f>HYPERLINK("https://www.facebook.com/1717320447")</f>
        <v>https://www.facebook.com/1717320447</v>
      </c>
      <c r="Q1056">
        <v>0</v>
      </c>
      <c r="R1056" t="s">
        <v>6067</v>
      </c>
      <c r="S1056" t="s">
        <v>6073</v>
      </c>
    </row>
    <row r="1057" spans="1:19" ht="14.25" customHeight="1" x14ac:dyDescent="0.3">
      <c r="A1057" t="s">
        <v>5409</v>
      </c>
      <c r="B1057" t="s">
        <v>723</v>
      </c>
      <c r="C1057" t="s">
        <v>3538</v>
      </c>
      <c r="D1057" t="s">
        <v>5425</v>
      </c>
      <c r="E1057" t="s">
        <v>5470</v>
      </c>
      <c r="F1057" t="s">
        <v>6059</v>
      </c>
      <c r="G1057" s="2" t="str">
        <f>HYPERLINK("https://www.facebook.com/1717320447/posts/10204642291893366?comment_id=10204646824206671")</f>
        <v>https://www.facebook.com/1717320447/posts/10204642291893366?comment_id=10204646824206671</v>
      </c>
      <c r="H1057" t="s">
        <v>6062</v>
      </c>
      <c r="I1057" t="s">
        <v>5467</v>
      </c>
      <c r="J1057" s="2" t="str">
        <f>HYPERLINK("https://www.facebook.com/100000852610656")</f>
        <v>https://www.facebook.com/100000852610656</v>
      </c>
      <c r="K1057">
        <v>825</v>
      </c>
      <c r="L1057" t="s">
        <v>6063</v>
      </c>
      <c r="N1057" t="s">
        <v>13</v>
      </c>
      <c r="O1057" t="s">
        <v>5427</v>
      </c>
      <c r="P1057" s="2" t="str">
        <f>HYPERLINK("https://www.facebook.com/1717320447")</f>
        <v>https://www.facebook.com/1717320447</v>
      </c>
      <c r="Q1057">
        <v>0</v>
      </c>
      <c r="R1057" t="s">
        <v>6067</v>
      </c>
      <c r="S1057" t="s">
        <v>6073</v>
      </c>
    </row>
    <row r="1058" spans="1:19" ht="14.25" customHeight="1" x14ac:dyDescent="0.3">
      <c r="A1058" t="s">
        <v>629</v>
      </c>
      <c r="B1058" t="s">
        <v>1065</v>
      </c>
      <c r="C1058" t="s">
        <v>95</v>
      </c>
      <c r="D1058" t="s">
        <v>10</v>
      </c>
      <c r="E1058" t="s">
        <v>1068</v>
      </c>
      <c r="F1058" t="s">
        <v>6059</v>
      </c>
      <c r="G1058" s="2" t="str">
        <f>HYPERLINK("https://www.facebook.com/762053551/posts/10156366210158552?comment_id=10156366355358552")</f>
        <v>https://www.facebook.com/762053551/posts/10156366210158552?comment_id=10156366355358552</v>
      </c>
      <c r="H1058" t="s">
        <v>6062</v>
      </c>
      <c r="I1058" t="s">
        <v>1069</v>
      </c>
      <c r="J1058" s="2" t="str">
        <f>HYPERLINK("https://www.facebook.com/100001243328133")</f>
        <v>https://www.facebook.com/100001243328133</v>
      </c>
      <c r="K1058">
        <v>0</v>
      </c>
      <c r="L1058" t="s">
        <v>6063</v>
      </c>
      <c r="N1058" t="s">
        <v>13</v>
      </c>
      <c r="O1058" t="s">
        <v>14</v>
      </c>
      <c r="P1058" s="2" t="str">
        <f>HYPERLINK("https://www.facebook.com/762053551")</f>
        <v>https://www.facebook.com/762053551</v>
      </c>
      <c r="Q1058">
        <v>102347</v>
      </c>
      <c r="R1058" t="s">
        <v>6067</v>
      </c>
      <c r="S1058" t="s">
        <v>6073</v>
      </c>
    </row>
    <row r="1059" spans="1:19" ht="14.25" customHeight="1" x14ac:dyDescent="0.3">
      <c r="A1059" t="s">
        <v>2225</v>
      </c>
      <c r="B1059" t="s">
        <v>2659</v>
      </c>
      <c r="C1059" t="s">
        <v>95</v>
      </c>
      <c r="D1059" t="s">
        <v>544</v>
      </c>
      <c r="E1059" t="s">
        <v>545</v>
      </c>
      <c r="F1059" t="s">
        <v>6058</v>
      </c>
      <c r="G1059" s="2" t="str">
        <f>HYPERLINK("https://www.facebook.com/100010215975712/posts/618441925173001")</f>
        <v>https://www.facebook.com/100010215975712/posts/618441925173001</v>
      </c>
      <c r="H1059" t="s">
        <v>6062</v>
      </c>
      <c r="I1059" t="s">
        <v>1962</v>
      </c>
      <c r="J1059" s="2" t="str">
        <f>HYPERLINK("https://www.facebook.com/100010215975712")</f>
        <v>https://www.facebook.com/100010215975712</v>
      </c>
      <c r="K1059">
        <v>0</v>
      </c>
      <c r="L1059" t="s">
        <v>6063</v>
      </c>
      <c r="N1059" t="s">
        <v>13</v>
      </c>
      <c r="O1059" t="s">
        <v>1962</v>
      </c>
      <c r="P1059" s="2" t="str">
        <f>HYPERLINK("https://www.facebook.com/100010215975712")</f>
        <v>https://www.facebook.com/100010215975712</v>
      </c>
      <c r="Q1059">
        <v>0</v>
      </c>
      <c r="R1059" t="s">
        <v>6067</v>
      </c>
      <c r="S1059" t="s">
        <v>6073</v>
      </c>
    </row>
    <row r="1060" spans="1:19" ht="14.25" customHeight="1" x14ac:dyDescent="0.3">
      <c r="A1060" t="s">
        <v>2225</v>
      </c>
      <c r="B1060" t="s">
        <v>745</v>
      </c>
      <c r="C1060" t="s">
        <v>95</v>
      </c>
      <c r="D1060" t="s">
        <v>544</v>
      </c>
      <c r="E1060" t="s">
        <v>545</v>
      </c>
      <c r="F1060" t="s">
        <v>6058</v>
      </c>
      <c r="G1060" s="2" t="str">
        <f>HYPERLINK("https://www.facebook.com/100010215975712/posts/618440848506442")</f>
        <v>https://www.facebook.com/100010215975712/posts/618440848506442</v>
      </c>
      <c r="H1060" t="s">
        <v>6062</v>
      </c>
      <c r="I1060" t="s">
        <v>1962</v>
      </c>
      <c r="J1060" s="2" t="str">
        <f>HYPERLINK("https://www.facebook.com/100010215975712")</f>
        <v>https://www.facebook.com/100010215975712</v>
      </c>
      <c r="K1060">
        <v>0</v>
      </c>
      <c r="L1060" t="s">
        <v>6063</v>
      </c>
      <c r="N1060" t="s">
        <v>13</v>
      </c>
      <c r="O1060" t="s">
        <v>1962</v>
      </c>
      <c r="P1060" s="2" t="str">
        <f>HYPERLINK("https://www.facebook.com/100010215975712")</f>
        <v>https://www.facebook.com/100010215975712</v>
      </c>
      <c r="Q1060">
        <v>0</v>
      </c>
      <c r="R1060" t="s">
        <v>6067</v>
      </c>
      <c r="S1060" t="s">
        <v>6073</v>
      </c>
    </row>
    <row r="1061" spans="1:19" ht="14.25" customHeight="1" x14ac:dyDescent="0.3">
      <c r="A1061" t="s">
        <v>629</v>
      </c>
      <c r="B1061" t="s">
        <v>1961</v>
      </c>
      <c r="C1061" t="s">
        <v>95</v>
      </c>
      <c r="D1061" t="s">
        <v>370</v>
      </c>
      <c r="E1061" t="s">
        <v>371</v>
      </c>
      <c r="F1061" t="s">
        <v>6058</v>
      </c>
      <c r="G1061" s="2" t="str">
        <f>HYPERLINK("https://www.facebook.com/100010215975712/posts/618657591818101")</f>
        <v>https://www.facebook.com/100010215975712/posts/618657591818101</v>
      </c>
      <c r="H1061" t="s">
        <v>6062</v>
      </c>
      <c r="I1061" t="s">
        <v>1962</v>
      </c>
      <c r="J1061" s="2" t="str">
        <f>HYPERLINK("https://www.facebook.com/100010215975712")</f>
        <v>https://www.facebook.com/100010215975712</v>
      </c>
      <c r="K1061">
        <v>0</v>
      </c>
      <c r="L1061" t="s">
        <v>6063</v>
      </c>
      <c r="N1061" t="s">
        <v>13</v>
      </c>
      <c r="O1061" t="s">
        <v>1962</v>
      </c>
      <c r="P1061" s="2" t="str">
        <f>HYPERLINK("https://www.facebook.com/100010215975712")</f>
        <v>https://www.facebook.com/100010215975712</v>
      </c>
      <c r="Q1061">
        <v>0</v>
      </c>
      <c r="R1061" t="s">
        <v>6067</v>
      </c>
      <c r="S1061" t="s">
        <v>6073</v>
      </c>
    </row>
    <row r="1062" spans="1:19" ht="14.25" customHeight="1" x14ac:dyDescent="0.3">
      <c r="A1062" t="s">
        <v>2225</v>
      </c>
      <c r="B1062" t="s">
        <v>2672</v>
      </c>
      <c r="C1062" t="s">
        <v>95</v>
      </c>
      <c r="D1062" t="s">
        <v>853</v>
      </c>
      <c r="E1062" t="s">
        <v>2677</v>
      </c>
      <c r="F1062" t="s">
        <v>6059</v>
      </c>
      <c r="G1062" s="2" t="str">
        <f>HYPERLINK("https://www.facebook.com/100008934274771/posts/1810262525948206?comment_id=1810280622613063")</f>
        <v>https://www.facebook.com/100008934274771/posts/1810262525948206?comment_id=1810280622613063</v>
      </c>
      <c r="H1062" t="s">
        <v>6062</v>
      </c>
      <c r="I1062" t="s">
        <v>1962</v>
      </c>
      <c r="J1062" s="2" t="str">
        <f>HYPERLINK("https://www.facebook.com/100010215975712")</f>
        <v>https://www.facebook.com/100010215975712</v>
      </c>
      <c r="K1062">
        <v>0</v>
      </c>
      <c r="L1062" t="s">
        <v>6063</v>
      </c>
      <c r="N1062" t="s">
        <v>13</v>
      </c>
      <c r="O1062" t="s">
        <v>856</v>
      </c>
      <c r="P1062" s="2" t="str">
        <f>HYPERLINK("https://www.facebook.com/100008934274771")</f>
        <v>https://www.facebook.com/100008934274771</v>
      </c>
      <c r="Q1062">
        <v>10395</v>
      </c>
      <c r="R1062" t="s">
        <v>6067</v>
      </c>
      <c r="S1062" t="s">
        <v>6073</v>
      </c>
    </row>
    <row r="1063" spans="1:19" ht="14.25" customHeight="1" x14ac:dyDescent="0.3">
      <c r="A1063" t="s">
        <v>629</v>
      </c>
      <c r="B1063" t="s">
        <v>352</v>
      </c>
      <c r="C1063" t="s">
        <v>95</v>
      </c>
      <c r="D1063" t="s">
        <v>370</v>
      </c>
      <c r="E1063" t="s">
        <v>371</v>
      </c>
      <c r="F1063" t="s">
        <v>6058</v>
      </c>
      <c r="G1063" s="2" t="str">
        <f>HYPERLINK("https://www.facebook.com/100005019153773/posts/921766768000620")</f>
        <v>https://www.facebook.com/100005019153773/posts/921766768000620</v>
      </c>
      <c r="H1063" t="s">
        <v>6062</v>
      </c>
      <c r="I1063" t="s">
        <v>1587</v>
      </c>
      <c r="J1063" s="2" t="str">
        <f>HYPERLINK("https://www.facebook.com/100005019153773")</f>
        <v>https://www.facebook.com/100005019153773</v>
      </c>
      <c r="K1063">
        <v>346</v>
      </c>
      <c r="L1063" t="s">
        <v>6063</v>
      </c>
      <c r="N1063" t="s">
        <v>13</v>
      </c>
      <c r="O1063" t="s">
        <v>1587</v>
      </c>
      <c r="P1063" s="2" t="str">
        <f>HYPERLINK("https://www.facebook.com/100005019153773")</f>
        <v>https://www.facebook.com/100005019153773</v>
      </c>
      <c r="Q1063">
        <v>346</v>
      </c>
      <c r="R1063" t="s">
        <v>6067</v>
      </c>
      <c r="S1063" t="s">
        <v>6073</v>
      </c>
    </row>
    <row r="1064" spans="1:19" ht="14.25" customHeight="1" x14ac:dyDescent="0.3">
      <c r="A1064" t="s">
        <v>2225</v>
      </c>
      <c r="B1064" t="s">
        <v>2315</v>
      </c>
      <c r="C1064" t="s">
        <v>95</v>
      </c>
      <c r="D1064" t="s">
        <v>1056</v>
      </c>
      <c r="E1064" t="s">
        <v>1057</v>
      </c>
      <c r="F1064" t="s">
        <v>6058</v>
      </c>
      <c r="G1064" s="2" t="str">
        <f>HYPERLINK("https://www.facebook.com/100002110189789/posts/1668455919901398")</f>
        <v>https://www.facebook.com/100002110189789/posts/1668455919901398</v>
      </c>
      <c r="H1064" t="s">
        <v>6062</v>
      </c>
      <c r="I1064" t="s">
        <v>2318</v>
      </c>
      <c r="J1064" s="2" t="str">
        <f>HYPERLINK("https://www.facebook.com/100002110189789")</f>
        <v>https://www.facebook.com/100002110189789</v>
      </c>
      <c r="K1064">
        <v>42</v>
      </c>
      <c r="L1064" t="s">
        <v>6064</v>
      </c>
      <c r="N1064" t="s">
        <v>13</v>
      </c>
      <c r="O1064" t="s">
        <v>2318</v>
      </c>
      <c r="P1064" s="2" t="str">
        <f>HYPERLINK("https://www.facebook.com/100002110189789")</f>
        <v>https://www.facebook.com/100002110189789</v>
      </c>
      <c r="Q1064">
        <v>42</v>
      </c>
      <c r="R1064" t="s">
        <v>6067</v>
      </c>
      <c r="S1064" t="s">
        <v>6073</v>
      </c>
    </row>
    <row r="1065" spans="1:19" ht="14.25" customHeight="1" x14ac:dyDescent="0.3">
      <c r="A1065" t="s">
        <v>629</v>
      </c>
      <c r="B1065" t="s">
        <v>1950</v>
      </c>
      <c r="C1065" t="s">
        <v>95</v>
      </c>
      <c r="D1065" t="s">
        <v>370</v>
      </c>
      <c r="E1065" t="s">
        <v>371</v>
      </c>
      <c r="F1065" t="s">
        <v>6058</v>
      </c>
      <c r="G1065" s="2" t="str">
        <f>HYPERLINK("https://www.facebook.com/100004841404355/posts/895626190608753")</f>
        <v>https://www.facebook.com/100004841404355/posts/895626190608753</v>
      </c>
      <c r="H1065" t="s">
        <v>6062</v>
      </c>
      <c r="I1065" t="s">
        <v>1956</v>
      </c>
      <c r="J1065" s="2" t="str">
        <f>HYPERLINK("https://www.facebook.com/100004841404355")</f>
        <v>https://www.facebook.com/100004841404355</v>
      </c>
      <c r="K1065">
        <v>39</v>
      </c>
      <c r="L1065" t="s">
        <v>6064</v>
      </c>
      <c r="N1065" t="s">
        <v>13</v>
      </c>
      <c r="O1065" t="s">
        <v>1956</v>
      </c>
      <c r="P1065" s="2" t="str">
        <f>HYPERLINK("https://www.facebook.com/100004841404355")</f>
        <v>https://www.facebook.com/100004841404355</v>
      </c>
      <c r="Q1065">
        <v>39</v>
      </c>
      <c r="R1065" t="s">
        <v>6067</v>
      </c>
    </row>
    <row r="1066" spans="1:19" ht="14.25" customHeight="1" x14ac:dyDescent="0.3">
      <c r="A1066" t="s">
        <v>4439</v>
      </c>
      <c r="B1066" t="s">
        <v>3639</v>
      </c>
      <c r="C1066" t="s">
        <v>3538</v>
      </c>
      <c r="D1066" t="s">
        <v>4171</v>
      </c>
      <c r="E1066" t="s">
        <v>4172</v>
      </c>
      <c r="F1066" t="s">
        <v>6058</v>
      </c>
      <c r="G1066" s="2" t="str">
        <f>HYPERLINK("https://www.facebook.com/100005163631714/posts/877777439071036")</f>
        <v>https://www.facebook.com/100005163631714/posts/877777439071036</v>
      </c>
      <c r="H1066" t="s">
        <v>6062</v>
      </c>
      <c r="I1066" t="s">
        <v>4473</v>
      </c>
      <c r="J1066" s="2" t="str">
        <f>HYPERLINK("https://www.facebook.com/100005163631714")</f>
        <v>https://www.facebook.com/100005163631714</v>
      </c>
      <c r="K1066">
        <v>303</v>
      </c>
      <c r="L1066" t="s">
        <v>6064</v>
      </c>
      <c r="N1066" t="s">
        <v>13</v>
      </c>
      <c r="O1066" t="s">
        <v>4473</v>
      </c>
      <c r="P1066" s="2" t="str">
        <f>HYPERLINK("https://www.facebook.com/100005163631714")</f>
        <v>https://www.facebook.com/100005163631714</v>
      </c>
      <c r="Q1066">
        <v>303</v>
      </c>
      <c r="R1066" t="s">
        <v>6067</v>
      </c>
      <c r="S1066" t="s">
        <v>6073</v>
      </c>
    </row>
    <row r="1067" spans="1:19" ht="14.25" customHeight="1" x14ac:dyDescent="0.3">
      <c r="A1067" t="s">
        <v>4439</v>
      </c>
      <c r="B1067" t="s">
        <v>838</v>
      </c>
      <c r="C1067" t="s">
        <v>3538</v>
      </c>
      <c r="D1067" t="s">
        <v>4549</v>
      </c>
      <c r="E1067" t="s">
        <v>4550</v>
      </c>
      <c r="F1067" t="s">
        <v>6058</v>
      </c>
      <c r="G1067" s="2" t="str">
        <f>HYPERLINK("https://www.facebook.com/100001220631743/posts/1823927787657891")</f>
        <v>https://www.facebook.com/100001220631743/posts/1823927787657891</v>
      </c>
      <c r="H1067" t="s">
        <v>6062</v>
      </c>
      <c r="I1067" t="s">
        <v>4551</v>
      </c>
      <c r="J1067" s="2" t="str">
        <f>HYPERLINK("https://www.facebook.com/100001220631743")</f>
        <v>https://www.facebook.com/100001220631743</v>
      </c>
      <c r="K1067">
        <v>496</v>
      </c>
      <c r="L1067" t="s">
        <v>6063</v>
      </c>
      <c r="N1067" t="s">
        <v>13</v>
      </c>
      <c r="O1067" t="s">
        <v>4551</v>
      </c>
      <c r="P1067" s="2" t="str">
        <f>HYPERLINK("https://www.facebook.com/100001220631743")</f>
        <v>https://www.facebook.com/100001220631743</v>
      </c>
      <c r="Q1067">
        <v>496</v>
      </c>
      <c r="R1067" t="s">
        <v>6067</v>
      </c>
      <c r="S1067" t="s">
        <v>6073</v>
      </c>
    </row>
    <row r="1068" spans="1:19" ht="14.25" customHeight="1" x14ac:dyDescent="0.3">
      <c r="A1068" t="s">
        <v>2225</v>
      </c>
      <c r="B1068" t="s">
        <v>2273</v>
      </c>
      <c r="C1068" t="s">
        <v>95</v>
      </c>
      <c r="D1068" t="s">
        <v>544</v>
      </c>
      <c r="E1068" t="s">
        <v>545</v>
      </c>
      <c r="F1068" t="s">
        <v>6058</v>
      </c>
      <c r="G1068" s="2" t="str">
        <f>HYPERLINK("https://www.facebook.com/100000781158481/posts/1612092215493468")</f>
        <v>https://www.facebook.com/100000781158481/posts/1612092215493468</v>
      </c>
      <c r="H1068" t="s">
        <v>6062</v>
      </c>
      <c r="I1068" t="s">
        <v>2258</v>
      </c>
      <c r="J1068" s="2" t="str">
        <f>HYPERLINK("https://www.facebook.com/100000781158481")</f>
        <v>https://www.facebook.com/100000781158481</v>
      </c>
      <c r="K1068">
        <v>2886</v>
      </c>
      <c r="L1068" t="s">
        <v>6063</v>
      </c>
      <c r="N1068" t="s">
        <v>13</v>
      </c>
      <c r="O1068" t="s">
        <v>2258</v>
      </c>
      <c r="P1068" s="2" t="str">
        <f>HYPERLINK("https://www.facebook.com/100000781158481")</f>
        <v>https://www.facebook.com/100000781158481</v>
      </c>
      <c r="Q1068">
        <v>2886</v>
      </c>
      <c r="R1068" t="s">
        <v>6067</v>
      </c>
      <c r="S1068" t="s">
        <v>6073</v>
      </c>
    </row>
    <row r="1069" spans="1:19" ht="14.25" customHeight="1" x14ac:dyDescent="0.3">
      <c r="A1069" t="s">
        <v>2225</v>
      </c>
      <c r="B1069" t="s">
        <v>2259</v>
      </c>
      <c r="C1069" t="s">
        <v>95</v>
      </c>
      <c r="D1069" t="s">
        <v>853</v>
      </c>
      <c r="E1069" t="s">
        <v>2260</v>
      </c>
      <c r="F1069" t="s">
        <v>6059</v>
      </c>
      <c r="G1069" s="2" t="str">
        <f>HYPERLINK("https://www.facebook.com/100008934274771/posts/1810262525948206?comment_id=1810319522609173")</f>
        <v>https://www.facebook.com/100008934274771/posts/1810262525948206?comment_id=1810319522609173</v>
      </c>
      <c r="H1069" t="s">
        <v>6062</v>
      </c>
      <c r="I1069" t="s">
        <v>2258</v>
      </c>
      <c r="J1069" s="2" t="str">
        <f>HYPERLINK("https://www.facebook.com/100000781158481")</f>
        <v>https://www.facebook.com/100000781158481</v>
      </c>
      <c r="K1069">
        <v>2886</v>
      </c>
      <c r="L1069" t="s">
        <v>6063</v>
      </c>
      <c r="N1069" t="s">
        <v>13</v>
      </c>
      <c r="O1069" t="s">
        <v>856</v>
      </c>
      <c r="P1069" s="2" t="str">
        <f>HYPERLINK("https://www.facebook.com/100008934274771")</f>
        <v>https://www.facebook.com/100008934274771</v>
      </c>
      <c r="Q1069">
        <v>10395</v>
      </c>
      <c r="R1069" t="s">
        <v>6067</v>
      </c>
      <c r="S1069" t="s">
        <v>6073</v>
      </c>
    </row>
    <row r="1070" spans="1:19" ht="14.25" customHeight="1" x14ac:dyDescent="0.3">
      <c r="A1070" t="s">
        <v>2225</v>
      </c>
      <c r="B1070" t="s">
        <v>2253</v>
      </c>
      <c r="C1070" t="s">
        <v>95</v>
      </c>
      <c r="D1070" t="s">
        <v>2256</v>
      </c>
      <c r="E1070" t="s">
        <v>2257</v>
      </c>
      <c r="F1070" t="s">
        <v>6057</v>
      </c>
      <c r="G1070" s="2" t="str">
        <f>HYPERLINK("https://www.facebook.com/100000781158481/posts/1612102325492457")</f>
        <v>https://www.facebook.com/100000781158481/posts/1612102325492457</v>
      </c>
      <c r="H1070" t="s">
        <v>6062</v>
      </c>
      <c r="I1070" t="s">
        <v>2258</v>
      </c>
      <c r="J1070" s="2" t="str">
        <f>HYPERLINK("https://www.facebook.com/100000781158481")</f>
        <v>https://www.facebook.com/100000781158481</v>
      </c>
      <c r="K1070">
        <v>2886</v>
      </c>
      <c r="L1070" t="s">
        <v>6063</v>
      </c>
      <c r="N1070" t="s">
        <v>13</v>
      </c>
      <c r="O1070" t="s">
        <v>2258</v>
      </c>
      <c r="P1070" s="2" t="str">
        <f>HYPERLINK("https://www.facebook.com/100000781158481")</f>
        <v>https://www.facebook.com/100000781158481</v>
      </c>
      <c r="Q1070">
        <v>2886</v>
      </c>
      <c r="R1070" t="s">
        <v>6067</v>
      </c>
      <c r="S1070" t="s">
        <v>6073</v>
      </c>
    </row>
    <row r="1071" spans="1:19" ht="14.25" customHeight="1" x14ac:dyDescent="0.3">
      <c r="A1071" t="s">
        <v>629</v>
      </c>
      <c r="B1071" t="s">
        <v>745</v>
      </c>
      <c r="C1071" t="s">
        <v>95</v>
      </c>
      <c r="D1071" t="s">
        <v>10</v>
      </c>
      <c r="E1071" t="s">
        <v>748</v>
      </c>
      <c r="F1071" t="s">
        <v>6059</v>
      </c>
      <c r="G1071" s="2" t="str">
        <f>HYPERLINK("https://www.facebook.com/762053551/posts/10156366210158552?comment_id=10156366982638552")</f>
        <v>https://www.facebook.com/762053551/posts/10156366210158552?comment_id=10156366982638552</v>
      </c>
      <c r="H1071" t="s">
        <v>6062</v>
      </c>
      <c r="I1071" t="s">
        <v>749</v>
      </c>
      <c r="J1071" s="2" t="str">
        <f>HYPERLINK("https://www.facebook.com/100005193556040")</f>
        <v>https://www.facebook.com/100005193556040</v>
      </c>
      <c r="K1071">
        <v>24</v>
      </c>
      <c r="L1071" t="s">
        <v>6063</v>
      </c>
      <c r="N1071" t="s">
        <v>13</v>
      </c>
      <c r="O1071" t="s">
        <v>14</v>
      </c>
      <c r="P1071" s="2" t="str">
        <f>HYPERLINK("https://www.facebook.com/762053551")</f>
        <v>https://www.facebook.com/762053551</v>
      </c>
      <c r="Q1071">
        <v>102347</v>
      </c>
      <c r="R1071" t="s">
        <v>6067</v>
      </c>
      <c r="S1071" t="s">
        <v>6073</v>
      </c>
    </row>
    <row r="1072" spans="1:19" ht="14.25" customHeight="1" x14ac:dyDescent="0.3">
      <c r="A1072" t="s">
        <v>629</v>
      </c>
      <c r="B1072" t="s">
        <v>980</v>
      </c>
      <c r="C1072" t="s">
        <v>95</v>
      </c>
      <c r="D1072" t="s">
        <v>10</v>
      </c>
      <c r="E1072" t="s">
        <v>981</v>
      </c>
      <c r="F1072" t="s">
        <v>6059</v>
      </c>
      <c r="G1072" s="2" t="str">
        <f>HYPERLINK("https://www.facebook.com/762053551/posts/10156366210158552?comment_id=10156366460703552")</f>
        <v>https://www.facebook.com/762053551/posts/10156366210158552?comment_id=10156366460703552</v>
      </c>
      <c r="H1072" t="s">
        <v>6062</v>
      </c>
      <c r="I1072" t="s">
        <v>749</v>
      </c>
      <c r="J1072" s="2" t="str">
        <f>HYPERLINK("https://www.facebook.com/100005193556040")</f>
        <v>https://www.facebook.com/100005193556040</v>
      </c>
      <c r="K1072">
        <v>24</v>
      </c>
      <c r="L1072" t="s">
        <v>6063</v>
      </c>
      <c r="N1072" t="s">
        <v>13</v>
      </c>
      <c r="O1072" t="s">
        <v>14</v>
      </c>
      <c r="P1072" s="2" t="str">
        <f>HYPERLINK("https://www.facebook.com/762053551")</f>
        <v>https://www.facebook.com/762053551</v>
      </c>
      <c r="Q1072">
        <v>102347</v>
      </c>
      <c r="R1072" t="s">
        <v>6067</v>
      </c>
      <c r="S1072" t="s">
        <v>6073</v>
      </c>
    </row>
    <row r="1073" spans="1:19" ht="14.25" customHeight="1" x14ac:dyDescent="0.3">
      <c r="A1073" t="s">
        <v>1</v>
      </c>
      <c r="B1073" t="s">
        <v>493</v>
      </c>
      <c r="C1073" t="s">
        <v>95</v>
      </c>
      <c r="D1073" t="s">
        <v>10</v>
      </c>
      <c r="E1073" t="s">
        <v>494</v>
      </c>
      <c r="F1073" t="s">
        <v>6059</v>
      </c>
      <c r="G1073" s="2" t="str">
        <f>HYPERLINK("https://www.facebook.com/762053551/posts/10156366210158552?comment_id=10156368129123552")</f>
        <v>https://www.facebook.com/762053551/posts/10156366210158552?comment_id=10156368129123552</v>
      </c>
      <c r="H1073" t="s">
        <v>6062</v>
      </c>
      <c r="I1073" t="s">
        <v>492</v>
      </c>
      <c r="J1073" s="2" t="str">
        <f>HYPERLINK("https://www.facebook.com/1466087364")</f>
        <v>https://www.facebook.com/1466087364</v>
      </c>
      <c r="K1073">
        <v>1371</v>
      </c>
      <c r="L1073" t="s">
        <v>6063</v>
      </c>
      <c r="M1073">
        <v>24</v>
      </c>
      <c r="N1073" t="s">
        <v>13</v>
      </c>
      <c r="O1073" t="s">
        <v>14</v>
      </c>
      <c r="P1073" s="2" t="str">
        <f>HYPERLINK("https://www.facebook.com/762053551")</f>
        <v>https://www.facebook.com/762053551</v>
      </c>
      <c r="Q1073">
        <v>102347</v>
      </c>
      <c r="R1073" t="s">
        <v>6067</v>
      </c>
      <c r="S1073" t="s">
        <v>6101</v>
      </c>
    </row>
    <row r="1074" spans="1:19" ht="14.25" customHeight="1" x14ac:dyDescent="0.3">
      <c r="A1074" t="s">
        <v>5409</v>
      </c>
      <c r="B1074" t="s">
        <v>1444</v>
      </c>
      <c r="C1074" t="s">
        <v>3538</v>
      </c>
      <c r="D1074" t="s">
        <v>5791</v>
      </c>
      <c r="E1074" t="s">
        <v>5792</v>
      </c>
      <c r="F1074" t="s">
        <v>6059</v>
      </c>
      <c r="G1074" s="2" t="str">
        <f>HYPERLINK("https://www.facebook.com/100000198309538/posts/2151468578203065?comment_id=2153353861347870")</f>
        <v>https://www.facebook.com/100000198309538/posts/2151468578203065?comment_id=2153353861347870</v>
      </c>
      <c r="H1074" t="s">
        <v>6062</v>
      </c>
      <c r="I1074" t="s">
        <v>5793</v>
      </c>
      <c r="J1074" s="2" t="str">
        <f>HYPERLINK("https://www.facebook.com/1242097574")</f>
        <v>https://www.facebook.com/1242097574</v>
      </c>
      <c r="K1074">
        <v>298</v>
      </c>
      <c r="L1074" t="s">
        <v>6064</v>
      </c>
      <c r="N1074" t="s">
        <v>13</v>
      </c>
      <c r="O1074" t="s">
        <v>498</v>
      </c>
      <c r="P1074" s="2" t="str">
        <f>HYPERLINK("https://www.facebook.com/100000198309538")</f>
        <v>https://www.facebook.com/100000198309538</v>
      </c>
      <c r="Q1074">
        <v>329</v>
      </c>
      <c r="R1074" t="s">
        <v>6067</v>
      </c>
      <c r="S1074" t="s">
        <v>6073</v>
      </c>
    </row>
    <row r="1075" spans="1:19" ht="14.25" customHeight="1" x14ac:dyDescent="0.3">
      <c r="A1075" t="s">
        <v>5409</v>
      </c>
      <c r="B1075" t="s">
        <v>585</v>
      </c>
      <c r="C1075" t="s">
        <v>3538</v>
      </c>
      <c r="D1075" t="s">
        <v>5791</v>
      </c>
      <c r="E1075" t="s">
        <v>6013</v>
      </c>
      <c r="F1075" t="s">
        <v>6059</v>
      </c>
      <c r="G1075" s="2" t="str">
        <f>HYPERLINK("https://www.facebook.com/100000198309538/posts/2151468578203065?comment_id=2152813718068551")</f>
        <v>https://www.facebook.com/100000198309538/posts/2151468578203065?comment_id=2152813718068551</v>
      </c>
      <c r="H1075" t="s">
        <v>6062</v>
      </c>
      <c r="I1075" t="s">
        <v>5793</v>
      </c>
      <c r="J1075" s="2" t="str">
        <f>HYPERLINK("https://www.facebook.com/1242097574")</f>
        <v>https://www.facebook.com/1242097574</v>
      </c>
      <c r="K1075">
        <v>298</v>
      </c>
      <c r="L1075" t="s">
        <v>6064</v>
      </c>
      <c r="N1075" t="s">
        <v>13</v>
      </c>
      <c r="O1075" t="s">
        <v>498</v>
      </c>
      <c r="P1075" s="2" t="str">
        <f>HYPERLINK("https://www.facebook.com/100000198309538")</f>
        <v>https://www.facebook.com/100000198309538</v>
      </c>
      <c r="Q1075">
        <v>329</v>
      </c>
      <c r="R1075" t="s">
        <v>6067</v>
      </c>
      <c r="S1075" t="s">
        <v>6073</v>
      </c>
    </row>
    <row r="1076" spans="1:19" ht="14.25" customHeight="1" x14ac:dyDescent="0.3">
      <c r="A1076" t="s">
        <v>629</v>
      </c>
      <c r="B1076" t="s">
        <v>1546</v>
      </c>
      <c r="C1076" t="s">
        <v>95</v>
      </c>
      <c r="D1076" t="s">
        <v>370</v>
      </c>
      <c r="E1076" t="s">
        <v>371</v>
      </c>
      <c r="F1076" t="s">
        <v>6058</v>
      </c>
      <c r="G1076" s="2" t="str">
        <f>HYPERLINK("https://www.facebook.com/100001203747577/posts/1795189200531187")</f>
        <v>https://www.facebook.com/100001203747577/posts/1795189200531187</v>
      </c>
      <c r="H1076" t="s">
        <v>6062</v>
      </c>
      <c r="I1076" t="s">
        <v>1547</v>
      </c>
      <c r="J1076" s="2" t="str">
        <f>HYPERLINK("https://www.facebook.com/100001203747577")</f>
        <v>https://www.facebook.com/100001203747577</v>
      </c>
      <c r="K1076">
        <v>3066</v>
      </c>
      <c r="L1076" t="s">
        <v>6063</v>
      </c>
      <c r="N1076" t="s">
        <v>13</v>
      </c>
      <c r="O1076" t="s">
        <v>1547</v>
      </c>
      <c r="P1076" s="2" t="str">
        <f>HYPERLINK("https://www.facebook.com/100001203747577")</f>
        <v>https://www.facebook.com/100001203747577</v>
      </c>
      <c r="Q1076">
        <v>3066</v>
      </c>
      <c r="R1076" t="s">
        <v>6067</v>
      </c>
      <c r="S1076" t="s">
        <v>6073</v>
      </c>
    </row>
    <row r="1077" spans="1:19" ht="14.25" customHeight="1" x14ac:dyDescent="0.3">
      <c r="A1077" t="s">
        <v>2225</v>
      </c>
      <c r="B1077" t="s">
        <v>2573</v>
      </c>
      <c r="C1077" t="s">
        <v>95</v>
      </c>
      <c r="D1077" t="s">
        <v>544</v>
      </c>
      <c r="E1077" t="s">
        <v>545</v>
      </c>
      <c r="F1077" t="s">
        <v>6058</v>
      </c>
      <c r="G1077" s="2" t="str">
        <f>HYPERLINK("https://www.facebook.com/100020442523733/posts/159105031447580")</f>
        <v>https://www.facebook.com/100020442523733/posts/159105031447580</v>
      </c>
      <c r="H1077" t="s">
        <v>6062</v>
      </c>
      <c r="I1077" t="s">
        <v>2579</v>
      </c>
      <c r="J1077" s="2" t="str">
        <f>HYPERLINK("https://www.facebook.com/100020442523733")</f>
        <v>https://www.facebook.com/100020442523733</v>
      </c>
      <c r="K1077">
        <v>78</v>
      </c>
      <c r="L1077" t="s">
        <v>6063</v>
      </c>
      <c r="N1077" t="s">
        <v>13</v>
      </c>
      <c r="O1077" t="s">
        <v>2579</v>
      </c>
      <c r="P1077" s="2" t="str">
        <f>HYPERLINK("https://www.facebook.com/100020442523733")</f>
        <v>https://www.facebook.com/100020442523733</v>
      </c>
      <c r="Q1077">
        <v>78</v>
      </c>
      <c r="R1077" t="s">
        <v>6067</v>
      </c>
      <c r="S1077" t="s">
        <v>6073</v>
      </c>
    </row>
    <row r="1078" spans="1:19" ht="14.25" customHeight="1" x14ac:dyDescent="0.3">
      <c r="A1078" t="s">
        <v>629</v>
      </c>
      <c r="B1078" t="s">
        <v>476</v>
      </c>
      <c r="C1078" t="s">
        <v>95</v>
      </c>
      <c r="D1078" t="s">
        <v>370</v>
      </c>
      <c r="E1078" t="s">
        <v>371</v>
      </c>
      <c r="F1078" t="s">
        <v>6058</v>
      </c>
      <c r="G1078" s="2" t="str">
        <f>HYPERLINK("https://www.facebook.com/100002180933188/posts/1664037670345581")</f>
        <v>https://www.facebook.com/100002180933188/posts/1664037670345581</v>
      </c>
      <c r="H1078" t="s">
        <v>6062</v>
      </c>
      <c r="I1078" t="s">
        <v>1994</v>
      </c>
      <c r="J1078" s="2" t="str">
        <f>HYPERLINK("https://www.facebook.com/100002180933188")</f>
        <v>https://www.facebook.com/100002180933188</v>
      </c>
      <c r="K1078">
        <v>30</v>
      </c>
      <c r="L1078" t="s">
        <v>6063</v>
      </c>
      <c r="N1078" t="s">
        <v>13</v>
      </c>
      <c r="O1078" t="s">
        <v>1994</v>
      </c>
      <c r="P1078" s="2" t="str">
        <f>HYPERLINK("https://www.facebook.com/100002180933188")</f>
        <v>https://www.facebook.com/100002180933188</v>
      </c>
      <c r="Q1078">
        <v>30</v>
      </c>
      <c r="R1078" t="s">
        <v>6067</v>
      </c>
      <c r="S1078" t="s">
        <v>6103</v>
      </c>
    </row>
    <row r="1079" spans="1:19" ht="14.25" customHeight="1" x14ac:dyDescent="0.3">
      <c r="A1079" t="s">
        <v>2225</v>
      </c>
      <c r="B1079" t="s">
        <v>2400</v>
      </c>
      <c r="C1079" t="s">
        <v>95</v>
      </c>
      <c r="D1079" t="s">
        <v>544</v>
      </c>
      <c r="E1079" t="s">
        <v>545</v>
      </c>
      <c r="F1079" t="s">
        <v>6058</v>
      </c>
      <c r="G1079" s="2" t="str">
        <f>HYPERLINK("https://www.facebook.com/100011057043362/posts/566284387083458")</f>
        <v>https://www.facebook.com/100011057043362/posts/566284387083458</v>
      </c>
      <c r="H1079" t="s">
        <v>6062</v>
      </c>
      <c r="I1079" t="s">
        <v>2405</v>
      </c>
      <c r="J1079" s="2" t="str">
        <f>HYPERLINK("https://www.facebook.com/100011057043362")</f>
        <v>https://www.facebook.com/100011057043362</v>
      </c>
      <c r="K1079">
        <v>4789</v>
      </c>
      <c r="L1079" t="s">
        <v>6063</v>
      </c>
      <c r="N1079" t="s">
        <v>13</v>
      </c>
      <c r="O1079" t="s">
        <v>2405</v>
      </c>
      <c r="P1079" s="2" t="str">
        <f>HYPERLINK("https://www.facebook.com/100011057043362")</f>
        <v>https://www.facebook.com/100011057043362</v>
      </c>
      <c r="Q1079">
        <v>4789</v>
      </c>
      <c r="R1079" t="s">
        <v>6067</v>
      </c>
      <c r="S1079" t="s">
        <v>6073</v>
      </c>
    </row>
    <row r="1080" spans="1:19" ht="14.25" customHeight="1" x14ac:dyDescent="0.3">
      <c r="A1080" t="s">
        <v>2225</v>
      </c>
      <c r="B1080" t="s">
        <v>2428</v>
      </c>
      <c r="C1080" t="s">
        <v>95</v>
      </c>
      <c r="D1080" t="s">
        <v>544</v>
      </c>
      <c r="E1080" t="s">
        <v>545</v>
      </c>
      <c r="F1080" t="s">
        <v>6058</v>
      </c>
      <c r="G1080" s="2" t="str">
        <f>HYPERLINK("https://www.facebook.com/100011057043362/posts/566283037083593")</f>
        <v>https://www.facebook.com/100011057043362/posts/566283037083593</v>
      </c>
      <c r="H1080" t="s">
        <v>6062</v>
      </c>
      <c r="I1080" t="s">
        <v>2405</v>
      </c>
      <c r="J1080" s="2" t="str">
        <f>HYPERLINK("https://www.facebook.com/100011057043362")</f>
        <v>https://www.facebook.com/100011057043362</v>
      </c>
      <c r="K1080">
        <v>4789</v>
      </c>
      <c r="L1080" t="s">
        <v>6063</v>
      </c>
      <c r="N1080" t="s">
        <v>13</v>
      </c>
      <c r="O1080" t="s">
        <v>2405</v>
      </c>
      <c r="P1080" s="2" t="str">
        <f>HYPERLINK("https://www.facebook.com/100011057043362")</f>
        <v>https://www.facebook.com/100011057043362</v>
      </c>
      <c r="Q1080">
        <v>4789</v>
      </c>
      <c r="R1080" t="s">
        <v>6067</v>
      </c>
      <c r="S1080" t="s">
        <v>6073</v>
      </c>
    </row>
    <row r="1081" spans="1:19" ht="14.25" customHeight="1" x14ac:dyDescent="0.3">
      <c r="A1081" t="s">
        <v>629</v>
      </c>
      <c r="B1081" t="s">
        <v>1704</v>
      </c>
      <c r="C1081" t="s">
        <v>95</v>
      </c>
      <c r="D1081" t="s">
        <v>370</v>
      </c>
      <c r="E1081" t="s">
        <v>371</v>
      </c>
      <c r="F1081" t="s">
        <v>6058</v>
      </c>
      <c r="G1081" s="2" t="str">
        <f>HYPERLINK("https://www.facebook.com/100011280221763/posts/587866568266012")</f>
        <v>https://www.facebook.com/100011280221763/posts/587866568266012</v>
      </c>
      <c r="H1081" t="s">
        <v>6062</v>
      </c>
      <c r="I1081" t="s">
        <v>1706</v>
      </c>
      <c r="J1081" s="2" t="str">
        <f>HYPERLINK("https://www.facebook.com/100011280221763")</f>
        <v>https://www.facebook.com/100011280221763</v>
      </c>
      <c r="K1081">
        <v>1825</v>
      </c>
      <c r="L1081" t="s">
        <v>6063</v>
      </c>
      <c r="N1081" t="s">
        <v>13</v>
      </c>
      <c r="O1081" t="s">
        <v>1706</v>
      </c>
      <c r="P1081" s="2" t="str">
        <f>HYPERLINK("https://www.facebook.com/100011280221763")</f>
        <v>https://www.facebook.com/100011280221763</v>
      </c>
      <c r="Q1081">
        <v>1825</v>
      </c>
      <c r="R1081" t="s">
        <v>6067</v>
      </c>
      <c r="S1081" t="s">
        <v>6073</v>
      </c>
    </row>
    <row r="1082" spans="1:19" ht="14.25" customHeight="1" x14ac:dyDescent="0.3">
      <c r="A1082" t="s">
        <v>629</v>
      </c>
      <c r="B1082" t="s">
        <v>1704</v>
      </c>
      <c r="C1082" t="s">
        <v>95</v>
      </c>
      <c r="D1082" t="s">
        <v>370</v>
      </c>
      <c r="E1082" t="s">
        <v>371</v>
      </c>
      <c r="F1082" t="s">
        <v>6058</v>
      </c>
      <c r="G1082" s="2" t="str">
        <f>HYPERLINK("https://www.facebook.com/100011280221763/posts/587866574932678")</f>
        <v>https://www.facebook.com/100011280221763/posts/587866574932678</v>
      </c>
      <c r="H1082" t="s">
        <v>6062</v>
      </c>
      <c r="I1082" t="s">
        <v>1706</v>
      </c>
      <c r="J1082" s="2" t="str">
        <f>HYPERLINK("https://www.facebook.com/100011280221763")</f>
        <v>https://www.facebook.com/100011280221763</v>
      </c>
      <c r="K1082">
        <v>1825</v>
      </c>
      <c r="L1082" t="s">
        <v>6063</v>
      </c>
      <c r="N1082" t="s">
        <v>13</v>
      </c>
      <c r="O1082" t="s">
        <v>1706</v>
      </c>
      <c r="P1082" s="2" t="str">
        <f>HYPERLINK("https://www.facebook.com/100011280221763")</f>
        <v>https://www.facebook.com/100011280221763</v>
      </c>
      <c r="Q1082">
        <v>1825</v>
      </c>
      <c r="R1082" t="s">
        <v>6067</v>
      </c>
      <c r="S1082" t="s">
        <v>6073</v>
      </c>
    </row>
    <row r="1083" spans="1:19" ht="14.25" customHeight="1" x14ac:dyDescent="0.3">
      <c r="A1083" t="s">
        <v>629</v>
      </c>
      <c r="B1083" t="s">
        <v>1486</v>
      </c>
      <c r="C1083" t="s">
        <v>95</v>
      </c>
      <c r="D1083" t="s">
        <v>370</v>
      </c>
      <c r="E1083" t="s">
        <v>371</v>
      </c>
      <c r="F1083" t="s">
        <v>6058</v>
      </c>
      <c r="G1083" s="2" t="str">
        <f>HYPERLINK("https://www.facebook.com/100010626979129/posts/584767928554101")</f>
        <v>https://www.facebook.com/100010626979129/posts/584767928554101</v>
      </c>
      <c r="H1083" t="s">
        <v>6062</v>
      </c>
      <c r="I1083" t="s">
        <v>1488</v>
      </c>
      <c r="J1083" s="2" t="str">
        <f>HYPERLINK("https://www.facebook.com/100010626979129")</f>
        <v>https://www.facebook.com/100010626979129</v>
      </c>
      <c r="K1083">
        <v>1680</v>
      </c>
      <c r="L1083" t="s">
        <v>6063</v>
      </c>
      <c r="N1083" t="s">
        <v>13</v>
      </c>
      <c r="O1083" t="s">
        <v>1488</v>
      </c>
      <c r="P1083" s="2" t="str">
        <f>HYPERLINK("https://www.facebook.com/100010626979129")</f>
        <v>https://www.facebook.com/100010626979129</v>
      </c>
      <c r="Q1083">
        <v>1680</v>
      </c>
      <c r="R1083" t="s">
        <v>6067</v>
      </c>
      <c r="S1083" t="s">
        <v>6083</v>
      </c>
    </row>
    <row r="1084" spans="1:19" ht="14.25" customHeight="1" x14ac:dyDescent="0.3">
      <c r="A1084" t="s">
        <v>629</v>
      </c>
      <c r="B1084" t="s">
        <v>275</v>
      </c>
      <c r="C1084" t="s">
        <v>95</v>
      </c>
      <c r="D1084" t="s">
        <v>370</v>
      </c>
      <c r="E1084" t="s">
        <v>371</v>
      </c>
      <c r="F1084" t="s">
        <v>6058</v>
      </c>
      <c r="G1084" s="2" t="str">
        <f>HYPERLINK("https://www.facebook.com/100010626979129/posts/584767568554137")</f>
        <v>https://www.facebook.com/100010626979129/posts/584767568554137</v>
      </c>
      <c r="H1084" t="s">
        <v>6062</v>
      </c>
      <c r="I1084" t="s">
        <v>1488</v>
      </c>
      <c r="J1084" s="2" t="str">
        <f>HYPERLINK("https://www.facebook.com/100010626979129")</f>
        <v>https://www.facebook.com/100010626979129</v>
      </c>
      <c r="K1084">
        <v>1680</v>
      </c>
      <c r="L1084" t="s">
        <v>6063</v>
      </c>
      <c r="N1084" t="s">
        <v>13</v>
      </c>
      <c r="O1084" t="s">
        <v>1488</v>
      </c>
      <c r="P1084" s="2" t="str">
        <f>HYPERLINK("https://www.facebook.com/100010626979129")</f>
        <v>https://www.facebook.com/100010626979129</v>
      </c>
      <c r="Q1084">
        <v>1680</v>
      </c>
      <c r="R1084" t="s">
        <v>6067</v>
      </c>
      <c r="S1084" t="s">
        <v>6083</v>
      </c>
    </row>
    <row r="1085" spans="1:19" ht="14.25" customHeight="1" x14ac:dyDescent="0.3">
      <c r="A1085" t="s">
        <v>629</v>
      </c>
      <c r="B1085" t="s">
        <v>275</v>
      </c>
      <c r="C1085" t="s">
        <v>95</v>
      </c>
      <c r="D1085" t="s">
        <v>370</v>
      </c>
      <c r="E1085" t="s">
        <v>371</v>
      </c>
      <c r="F1085" t="s">
        <v>6058</v>
      </c>
      <c r="G1085" s="2" t="str">
        <f>HYPERLINK("https://www.facebook.com/100010626979129/posts/584767278554166")</f>
        <v>https://www.facebook.com/100010626979129/posts/584767278554166</v>
      </c>
      <c r="H1085" t="s">
        <v>6062</v>
      </c>
      <c r="I1085" t="s">
        <v>1488</v>
      </c>
      <c r="J1085" s="2" t="str">
        <f>HYPERLINK("https://www.facebook.com/100010626979129")</f>
        <v>https://www.facebook.com/100010626979129</v>
      </c>
      <c r="K1085">
        <v>1680</v>
      </c>
      <c r="L1085" t="s">
        <v>6063</v>
      </c>
      <c r="N1085" t="s">
        <v>13</v>
      </c>
      <c r="O1085" t="s">
        <v>1488</v>
      </c>
      <c r="P1085" s="2" t="str">
        <f>HYPERLINK("https://www.facebook.com/100010626979129")</f>
        <v>https://www.facebook.com/100010626979129</v>
      </c>
      <c r="Q1085">
        <v>1680</v>
      </c>
      <c r="R1085" t="s">
        <v>6067</v>
      </c>
      <c r="S1085" t="s">
        <v>6083</v>
      </c>
    </row>
    <row r="1086" spans="1:19" ht="14.25" customHeight="1" x14ac:dyDescent="0.3">
      <c r="A1086" t="s">
        <v>629</v>
      </c>
      <c r="B1086" t="s">
        <v>393</v>
      </c>
      <c r="C1086" t="s">
        <v>95</v>
      </c>
      <c r="D1086" t="s">
        <v>370</v>
      </c>
      <c r="E1086" t="s">
        <v>371</v>
      </c>
      <c r="F1086" t="s">
        <v>6058</v>
      </c>
      <c r="G1086" s="2" t="str">
        <f>HYPERLINK("https://www.facebook.com/100010626979129/posts/584748068556087")</f>
        <v>https://www.facebook.com/100010626979129/posts/584748068556087</v>
      </c>
      <c r="H1086" t="s">
        <v>6062</v>
      </c>
      <c r="I1086" t="s">
        <v>1488</v>
      </c>
      <c r="J1086" s="2" t="str">
        <f>HYPERLINK("https://www.facebook.com/100010626979129")</f>
        <v>https://www.facebook.com/100010626979129</v>
      </c>
      <c r="K1086">
        <v>1680</v>
      </c>
      <c r="L1086" t="s">
        <v>6063</v>
      </c>
      <c r="N1086" t="s">
        <v>13</v>
      </c>
      <c r="O1086" t="s">
        <v>1488</v>
      </c>
      <c r="P1086" s="2" t="str">
        <f>HYPERLINK("https://www.facebook.com/100010626979129")</f>
        <v>https://www.facebook.com/100010626979129</v>
      </c>
      <c r="Q1086">
        <v>1680</v>
      </c>
      <c r="R1086" t="s">
        <v>6067</v>
      </c>
      <c r="S1086" t="s">
        <v>6083</v>
      </c>
    </row>
    <row r="1087" spans="1:19" ht="14.25" customHeight="1" x14ac:dyDescent="0.3">
      <c r="A1087" t="s">
        <v>629</v>
      </c>
      <c r="B1087" t="s">
        <v>459</v>
      </c>
      <c r="C1087" t="s">
        <v>95</v>
      </c>
      <c r="D1087" t="s">
        <v>370</v>
      </c>
      <c r="E1087" t="s">
        <v>371</v>
      </c>
      <c r="F1087" t="s">
        <v>6058</v>
      </c>
      <c r="G1087" s="2" t="str">
        <f>HYPERLINK("https://www.facebook.com/100010626979129/posts/584729871891240")</f>
        <v>https://www.facebook.com/100010626979129/posts/584729871891240</v>
      </c>
      <c r="H1087" t="s">
        <v>6062</v>
      </c>
      <c r="I1087" t="s">
        <v>1488</v>
      </c>
      <c r="J1087" s="2" t="str">
        <f>HYPERLINK("https://www.facebook.com/100010626979129")</f>
        <v>https://www.facebook.com/100010626979129</v>
      </c>
      <c r="K1087">
        <v>1680</v>
      </c>
      <c r="L1087" t="s">
        <v>6063</v>
      </c>
      <c r="N1087" t="s">
        <v>13</v>
      </c>
      <c r="O1087" t="s">
        <v>1488</v>
      </c>
      <c r="P1087" s="2" t="str">
        <f>HYPERLINK("https://www.facebook.com/100010626979129")</f>
        <v>https://www.facebook.com/100010626979129</v>
      </c>
      <c r="Q1087">
        <v>1680</v>
      </c>
      <c r="R1087" t="s">
        <v>6067</v>
      </c>
      <c r="S1087" t="s">
        <v>6083</v>
      </c>
    </row>
    <row r="1088" spans="1:19" ht="14.25" customHeight="1" x14ac:dyDescent="0.3">
      <c r="A1088" t="s">
        <v>5409</v>
      </c>
      <c r="B1088" t="s">
        <v>621</v>
      </c>
      <c r="C1088" t="s">
        <v>3538</v>
      </c>
      <c r="D1088" t="s">
        <v>6029</v>
      </c>
      <c r="E1088" t="s">
        <v>6030</v>
      </c>
      <c r="F1088" t="s">
        <v>6056</v>
      </c>
      <c r="G1088" s="2" t="str">
        <f>HYPERLINK("https://www.facebook.com/1059976411/posts/10213443010683924")</f>
        <v>https://www.facebook.com/1059976411/posts/10213443010683924</v>
      </c>
      <c r="H1088" t="s">
        <v>6062</v>
      </c>
      <c r="I1088" t="s">
        <v>6031</v>
      </c>
      <c r="J1088" s="2" t="str">
        <f>HYPERLINK("https://www.facebook.com/1059976411")</f>
        <v>https://www.facebook.com/1059976411</v>
      </c>
      <c r="K1088">
        <v>943</v>
      </c>
      <c r="L1088" t="s">
        <v>6063</v>
      </c>
      <c r="N1088" t="s">
        <v>13</v>
      </c>
      <c r="O1088" t="s">
        <v>6031</v>
      </c>
      <c r="P1088" s="2" t="str">
        <f>HYPERLINK("https://www.facebook.com/1059976411")</f>
        <v>https://www.facebook.com/1059976411</v>
      </c>
      <c r="Q1088">
        <v>943</v>
      </c>
      <c r="R1088" t="s">
        <v>6067</v>
      </c>
      <c r="S1088" t="s">
        <v>6073</v>
      </c>
    </row>
    <row r="1089" spans="1:19" ht="14.25" customHeight="1" x14ac:dyDescent="0.3">
      <c r="A1089" t="s">
        <v>3527</v>
      </c>
      <c r="B1089" t="s">
        <v>3169</v>
      </c>
      <c r="C1089" t="s">
        <v>95</v>
      </c>
      <c r="D1089" t="s">
        <v>4082</v>
      </c>
      <c r="E1089" t="s">
        <v>4083</v>
      </c>
      <c r="F1089" t="s">
        <v>6059</v>
      </c>
      <c r="G1089" s="2" t="str">
        <f>HYPERLINK("https://www.facebook.com/100001753476433/posts/1642740422461058?comment_id=1642878012447299")</f>
        <v>https://www.facebook.com/100001753476433/posts/1642740422461058?comment_id=1642878012447299</v>
      </c>
      <c r="H1089" t="s">
        <v>6062</v>
      </c>
      <c r="I1089" t="s">
        <v>4084</v>
      </c>
      <c r="J1089" s="2" t="str">
        <f>HYPERLINK("https://www.facebook.com/100001753476433")</f>
        <v>https://www.facebook.com/100001753476433</v>
      </c>
      <c r="K1089">
        <v>857</v>
      </c>
      <c r="L1089" t="s">
        <v>6063</v>
      </c>
      <c r="N1089" t="s">
        <v>13</v>
      </c>
      <c r="O1089" t="s">
        <v>4084</v>
      </c>
      <c r="P1089" s="2" t="str">
        <f>HYPERLINK("https://www.facebook.com/100001753476433")</f>
        <v>https://www.facebook.com/100001753476433</v>
      </c>
      <c r="Q1089">
        <v>857</v>
      </c>
      <c r="R1089" t="s">
        <v>6067</v>
      </c>
      <c r="S1089" t="s">
        <v>6073</v>
      </c>
    </row>
    <row r="1090" spans="1:19" ht="14.25" customHeight="1" x14ac:dyDescent="0.3">
      <c r="A1090" t="s">
        <v>3527</v>
      </c>
      <c r="B1090" t="s">
        <v>4229</v>
      </c>
      <c r="C1090" t="s">
        <v>95</v>
      </c>
      <c r="D1090" t="s">
        <v>4082</v>
      </c>
      <c r="E1090" t="s">
        <v>4230</v>
      </c>
      <c r="F1090" t="s">
        <v>6056</v>
      </c>
      <c r="G1090" s="2" t="str">
        <f>HYPERLINK("https://www.facebook.com/100001753476433/posts/1642740422461058")</f>
        <v>https://www.facebook.com/100001753476433/posts/1642740422461058</v>
      </c>
      <c r="H1090" t="s">
        <v>6062</v>
      </c>
      <c r="I1090" t="s">
        <v>4084</v>
      </c>
      <c r="J1090" s="2" t="str">
        <f>HYPERLINK("https://www.facebook.com/100001753476433")</f>
        <v>https://www.facebook.com/100001753476433</v>
      </c>
      <c r="K1090">
        <v>857</v>
      </c>
      <c r="L1090" t="s">
        <v>6063</v>
      </c>
      <c r="N1090" t="s">
        <v>13</v>
      </c>
      <c r="O1090" t="s">
        <v>4084</v>
      </c>
      <c r="P1090" s="2" t="str">
        <f>HYPERLINK("https://www.facebook.com/100001753476433")</f>
        <v>https://www.facebook.com/100001753476433</v>
      </c>
      <c r="Q1090">
        <v>857</v>
      </c>
      <c r="R1090" t="s">
        <v>6067</v>
      </c>
      <c r="S1090" t="s">
        <v>6073</v>
      </c>
    </row>
    <row r="1091" spans="1:19" ht="14.25" customHeight="1" x14ac:dyDescent="0.3">
      <c r="A1091" t="s">
        <v>2225</v>
      </c>
      <c r="B1091" t="s">
        <v>621</v>
      </c>
      <c r="C1091" t="s">
        <v>95</v>
      </c>
      <c r="D1091" t="s">
        <v>2419</v>
      </c>
      <c r="E1091" t="s">
        <v>2420</v>
      </c>
      <c r="F1091" t="s">
        <v>6058</v>
      </c>
      <c r="G1091" s="2" t="str">
        <f>HYPERLINK("https://www.facebook.com/100001503905437/posts/1750898364970277")</f>
        <v>https://www.facebook.com/100001503905437/posts/1750898364970277</v>
      </c>
      <c r="H1091" t="s">
        <v>6062</v>
      </c>
      <c r="I1091" t="s">
        <v>3514</v>
      </c>
      <c r="J1091" s="2" t="str">
        <f>HYPERLINK("https://www.facebook.com/100001503905437")</f>
        <v>https://www.facebook.com/100001503905437</v>
      </c>
      <c r="K1091">
        <v>0</v>
      </c>
      <c r="L1091" t="s">
        <v>6063</v>
      </c>
      <c r="N1091" t="s">
        <v>13</v>
      </c>
      <c r="O1091" t="s">
        <v>3514</v>
      </c>
      <c r="P1091" s="2" t="str">
        <f>HYPERLINK("https://www.facebook.com/100001503905437")</f>
        <v>https://www.facebook.com/100001503905437</v>
      </c>
      <c r="Q1091">
        <v>0</v>
      </c>
      <c r="R1091" t="s">
        <v>6067</v>
      </c>
      <c r="S1091" t="s">
        <v>6073</v>
      </c>
    </row>
    <row r="1092" spans="1:19" ht="14.25" customHeight="1" x14ac:dyDescent="0.3">
      <c r="A1092" t="s">
        <v>2225</v>
      </c>
      <c r="B1092" t="s">
        <v>2482</v>
      </c>
      <c r="C1092" t="s">
        <v>95</v>
      </c>
      <c r="D1092" t="s">
        <v>544</v>
      </c>
      <c r="E1092" t="s">
        <v>545</v>
      </c>
      <c r="F1092" t="s">
        <v>6058</v>
      </c>
      <c r="G1092" s="2" t="str">
        <f>HYPERLINK("https://www.facebook.com/100009516940793/posts/1991653241161888")</f>
        <v>https://www.facebook.com/100009516940793/posts/1991653241161888</v>
      </c>
      <c r="H1092" t="s">
        <v>6062</v>
      </c>
      <c r="I1092" t="s">
        <v>2359</v>
      </c>
      <c r="J1092" s="2" t="str">
        <f>HYPERLINK("https://www.facebook.com/100009516940793")</f>
        <v>https://www.facebook.com/100009516940793</v>
      </c>
      <c r="K1092">
        <v>4886</v>
      </c>
      <c r="L1092" t="s">
        <v>6063</v>
      </c>
      <c r="N1092" t="s">
        <v>13</v>
      </c>
      <c r="O1092" t="s">
        <v>2359</v>
      </c>
      <c r="P1092" s="2" t="str">
        <f>HYPERLINK("https://www.facebook.com/100009516940793")</f>
        <v>https://www.facebook.com/100009516940793</v>
      </c>
      <c r="Q1092">
        <v>4886</v>
      </c>
      <c r="R1092" t="s">
        <v>6067</v>
      </c>
    </row>
    <row r="1093" spans="1:19" ht="14.25" customHeight="1" x14ac:dyDescent="0.3">
      <c r="A1093" t="s">
        <v>2225</v>
      </c>
      <c r="B1093" t="s">
        <v>742</v>
      </c>
      <c r="C1093" t="s">
        <v>95</v>
      </c>
      <c r="D1093" t="s">
        <v>544</v>
      </c>
      <c r="E1093" t="s">
        <v>545</v>
      </c>
      <c r="F1093" t="s">
        <v>6058</v>
      </c>
      <c r="G1093" s="2" t="str">
        <f>HYPERLINK("https://www.facebook.com/100009516940793/posts/1991641647829714")</f>
        <v>https://www.facebook.com/100009516940793/posts/1991641647829714</v>
      </c>
      <c r="H1093" t="s">
        <v>6062</v>
      </c>
      <c r="I1093" t="s">
        <v>2359</v>
      </c>
      <c r="J1093" s="2" t="str">
        <f>HYPERLINK("https://www.facebook.com/100009516940793")</f>
        <v>https://www.facebook.com/100009516940793</v>
      </c>
      <c r="K1093">
        <v>4886</v>
      </c>
      <c r="L1093" t="s">
        <v>6063</v>
      </c>
      <c r="N1093" t="s">
        <v>13</v>
      </c>
      <c r="O1093" t="s">
        <v>2359</v>
      </c>
      <c r="P1093" s="2" t="str">
        <f>HYPERLINK("https://www.facebook.com/100009516940793")</f>
        <v>https://www.facebook.com/100009516940793</v>
      </c>
      <c r="Q1093">
        <v>4886</v>
      </c>
      <c r="R1093" t="s">
        <v>6067</v>
      </c>
    </row>
    <row r="1094" spans="1:19" ht="14.25" customHeight="1" x14ac:dyDescent="0.3">
      <c r="A1094" t="s">
        <v>2225</v>
      </c>
      <c r="B1094" t="s">
        <v>2696</v>
      </c>
      <c r="C1094" t="s">
        <v>95</v>
      </c>
      <c r="D1094" t="s">
        <v>544</v>
      </c>
      <c r="E1094" t="s">
        <v>545</v>
      </c>
      <c r="F1094" t="s">
        <v>6058</v>
      </c>
      <c r="G1094" s="2" t="str">
        <f>HYPERLINK("https://www.facebook.com/100009516940793/posts/1991636691163543")</f>
        <v>https://www.facebook.com/100009516940793/posts/1991636691163543</v>
      </c>
      <c r="H1094" t="s">
        <v>6062</v>
      </c>
      <c r="I1094" t="s">
        <v>2359</v>
      </c>
      <c r="J1094" s="2" t="str">
        <f>HYPERLINK("https://www.facebook.com/100009516940793")</f>
        <v>https://www.facebook.com/100009516940793</v>
      </c>
      <c r="K1094">
        <v>4886</v>
      </c>
      <c r="L1094" t="s">
        <v>6063</v>
      </c>
      <c r="N1094" t="s">
        <v>13</v>
      </c>
      <c r="O1094" t="s">
        <v>2359</v>
      </c>
      <c r="P1094" s="2" t="str">
        <f>HYPERLINK("https://www.facebook.com/100009516940793")</f>
        <v>https://www.facebook.com/100009516940793</v>
      </c>
      <c r="Q1094">
        <v>4886</v>
      </c>
      <c r="R1094" t="s">
        <v>6067</v>
      </c>
    </row>
    <row r="1095" spans="1:19" ht="14.25" customHeight="1" x14ac:dyDescent="0.3">
      <c r="A1095" t="s">
        <v>2225</v>
      </c>
      <c r="B1095" t="s">
        <v>2356</v>
      </c>
      <c r="C1095" t="s">
        <v>95</v>
      </c>
      <c r="D1095" t="s">
        <v>853</v>
      </c>
      <c r="E1095" t="s">
        <v>2358</v>
      </c>
      <c r="F1095" t="s">
        <v>6059</v>
      </c>
      <c r="G1095" s="2" t="str">
        <f>HYPERLINK("https://www.facebook.com/100008934274771/posts/1810262525948206?comment_id=1810301049277687")</f>
        <v>https://www.facebook.com/100008934274771/posts/1810262525948206?comment_id=1810301049277687</v>
      </c>
      <c r="H1095" t="s">
        <v>6062</v>
      </c>
      <c r="I1095" t="s">
        <v>2359</v>
      </c>
      <c r="J1095" s="2" t="str">
        <f>HYPERLINK("https://www.facebook.com/100009516940793")</f>
        <v>https://www.facebook.com/100009516940793</v>
      </c>
      <c r="K1095">
        <v>4886</v>
      </c>
      <c r="L1095" t="s">
        <v>6063</v>
      </c>
      <c r="N1095" t="s">
        <v>13</v>
      </c>
      <c r="O1095" t="s">
        <v>856</v>
      </c>
      <c r="P1095" s="2" t="str">
        <f>HYPERLINK("https://www.facebook.com/100008934274771")</f>
        <v>https://www.facebook.com/100008934274771</v>
      </c>
      <c r="Q1095">
        <v>10395</v>
      </c>
      <c r="R1095" t="s">
        <v>6067</v>
      </c>
      <c r="S1095" t="s">
        <v>6073</v>
      </c>
    </row>
    <row r="1096" spans="1:19" ht="14.25" customHeight="1" x14ac:dyDescent="0.3">
      <c r="A1096" t="s">
        <v>5409</v>
      </c>
      <c r="B1096" t="s">
        <v>1531</v>
      </c>
      <c r="C1096" t="s">
        <v>3538</v>
      </c>
      <c r="D1096" t="s">
        <v>4318</v>
      </c>
      <c r="E1096" t="s">
        <v>5429</v>
      </c>
      <c r="F1096" t="s">
        <v>6058</v>
      </c>
      <c r="G1096" s="2" t="str">
        <f>HYPERLINK("https://www.facebook.com/100002088139438/posts/2298625126883736")</f>
        <v>https://www.facebook.com/100002088139438/posts/2298625126883736</v>
      </c>
      <c r="H1096" t="s">
        <v>6062</v>
      </c>
      <c r="I1096" t="s">
        <v>5830</v>
      </c>
      <c r="J1096" s="2" t="str">
        <f>HYPERLINK("https://www.facebook.com/100002088139438")</f>
        <v>https://www.facebook.com/100002088139438</v>
      </c>
      <c r="K1096">
        <v>603</v>
      </c>
      <c r="L1096" t="s">
        <v>6063</v>
      </c>
      <c r="N1096" t="s">
        <v>13</v>
      </c>
      <c r="O1096" t="s">
        <v>5830</v>
      </c>
      <c r="P1096" s="2" t="str">
        <f>HYPERLINK("https://www.facebook.com/100002088139438")</f>
        <v>https://www.facebook.com/100002088139438</v>
      </c>
      <c r="Q1096">
        <v>603</v>
      </c>
      <c r="R1096" t="s">
        <v>6067</v>
      </c>
      <c r="S1096" t="s">
        <v>6073</v>
      </c>
    </row>
    <row r="1097" spans="1:19" ht="14.25" customHeight="1" x14ac:dyDescent="0.3">
      <c r="A1097" t="s">
        <v>5409</v>
      </c>
      <c r="B1097" t="s">
        <v>514</v>
      </c>
      <c r="C1097" t="s">
        <v>3538</v>
      </c>
      <c r="D1097" t="s">
        <v>5950</v>
      </c>
      <c r="E1097" t="s">
        <v>5951</v>
      </c>
      <c r="F1097" t="s">
        <v>6059</v>
      </c>
      <c r="G1097" s="2" t="str">
        <f>HYPERLINK("https://www.facebook.com/100000399552282/posts/1738492409507394?comment_id=1738840886139213")</f>
        <v>https://www.facebook.com/100000399552282/posts/1738492409507394?comment_id=1738840886139213</v>
      </c>
      <c r="H1097" t="s">
        <v>6062</v>
      </c>
      <c r="I1097" t="s">
        <v>5952</v>
      </c>
      <c r="J1097" s="2" t="str">
        <f>HYPERLINK("https://www.facebook.com/100000896110414")</f>
        <v>https://www.facebook.com/100000896110414</v>
      </c>
      <c r="K1097">
        <v>38</v>
      </c>
      <c r="L1097" t="s">
        <v>6063</v>
      </c>
      <c r="N1097" t="s">
        <v>13</v>
      </c>
      <c r="O1097" t="s">
        <v>5953</v>
      </c>
      <c r="P1097" s="2" t="str">
        <f>HYPERLINK("https://www.facebook.com/100000399552282")</f>
        <v>https://www.facebook.com/100000399552282</v>
      </c>
      <c r="Q1097">
        <v>221</v>
      </c>
      <c r="R1097" t="s">
        <v>6067</v>
      </c>
      <c r="S1097" t="s">
        <v>6073</v>
      </c>
    </row>
    <row r="1098" spans="1:19" ht="14.25" customHeight="1" x14ac:dyDescent="0.3">
      <c r="A1098" t="s">
        <v>629</v>
      </c>
      <c r="B1098" t="s">
        <v>970</v>
      </c>
      <c r="C1098" t="s">
        <v>95</v>
      </c>
      <c r="D1098" t="s">
        <v>10</v>
      </c>
      <c r="E1098" t="s">
        <v>973</v>
      </c>
      <c r="F1098" t="s">
        <v>6059</v>
      </c>
      <c r="G1098" s="2" t="str">
        <f>HYPERLINK("https://www.facebook.com/762053551/posts/10156366210158552?comment_id=10156366475253552")</f>
        <v>https://www.facebook.com/762053551/posts/10156366210158552?comment_id=10156366475253552</v>
      </c>
      <c r="H1098" t="s">
        <v>6062</v>
      </c>
      <c r="I1098" t="s">
        <v>974</v>
      </c>
      <c r="J1098" s="2" t="str">
        <f>HYPERLINK("https://www.facebook.com/100001380906847")</f>
        <v>https://www.facebook.com/100001380906847</v>
      </c>
      <c r="K1098">
        <v>140</v>
      </c>
      <c r="L1098" t="s">
        <v>6063</v>
      </c>
      <c r="N1098" t="s">
        <v>13</v>
      </c>
      <c r="O1098" t="s">
        <v>14</v>
      </c>
      <c r="P1098" s="2" t="str">
        <f>HYPERLINK("https://www.facebook.com/762053551")</f>
        <v>https://www.facebook.com/762053551</v>
      </c>
      <c r="Q1098">
        <v>102347</v>
      </c>
      <c r="R1098" t="s">
        <v>6067</v>
      </c>
      <c r="S1098" t="s">
        <v>6073</v>
      </c>
    </row>
    <row r="1099" spans="1:19" ht="14.25" customHeight="1" x14ac:dyDescent="0.3">
      <c r="A1099" t="s">
        <v>2225</v>
      </c>
      <c r="B1099" t="s">
        <v>279</v>
      </c>
      <c r="C1099" t="s">
        <v>95</v>
      </c>
      <c r="D1099" t="s">
        <v>1099</v>
      </c>
      <c r="E1099" t="s">
        <v>3352</v>
      </c>
      <c r="F1099" t="s">
        <v>6059</v>
      </c>
      <c r="G1099" s="2" t="str">
        <f>HYPERLINK("https://www.facebook.com/100002489064006/posts/1666923993400553?comment_id=1667208330038786")</f>
        <v>https://www.facebook.com/100002489064006/posts/1666923993400553?comment_id=1667208330038786</v>
      </c>
      <c r="H1099" t="s">
        <v>6062</v>
      </c>
      <c r="I1099" t="s">
        <v>3353</v>
      </c>
      <c r="J1099" s="2" t="str">
        <f>HYPERLINK("https://www.facebook.com/1287081394")</f>
        <v>https://www.facebook.com/1287081394</v>
      </c>
      <c r="K1099">
        <v>1173</v>
      </c>
      <c r="L1099" t="s">
        <v>6064</v>
      </c>
      <c r="N1099" t="s">
        <v>13</v>
      </c>
      <c r="O1099" t="s">
        <v>1101</v>
      </c>
      <c r="P1099" s="2" t="str">
        <f>HYPERLINK("https://www.facebook.com/100002489064006")</f>
        <v>https://www.facebook.com/100002489064006</v>
      </c>
      <c r="Q1099">
        <v>2089</v>
      </c>
      <c r="R1099" t="s">
        <v>6067</v>
      </c>
      <c r="S1099" t="s">
        <v>6073</v>
      </c>
    </row>
    <row r="1100" spans="1:19" ht="14.25" customHeight="1" x14ac:dyDescent="0.3">
      <c r="A1100" t="s">
        <v>629</v>
      </c>
      <c r="B1100" t="s">
        <v>1089</v>
      </c>
      <c r="C1100" t="s">
        <v>95</v>
      </c>
      <c r="D1100" t="s">
        <v>1047</v>
      </c>
      <c r="E1100" t="s">
        <v>1094</v>
      </c>
      <c r="F1100" t="s">
        <v>6059</v>
      </c>
      <c r="G1100" s="2" t="str">
        <f>HYPERLINK("https://www.facebook.com/630658839/posts/10157038230093840?comment_id=10157038366408840")</f>
        <v>https://www.facebook.com/630658839/posts/10157038230093840?comment_id=10157038366408840</v>
      </c>
      <c r="H1100" t="s">
        <v>6062</v>
      </c>
      <c r="I1100" t="s">
        <v>1050</v>
      </c>
      <c r="J1100" s="2" t="str">
        <f>HYPERLINK("https://www.facebook.com/630658839")</f>
        <v>https://www.facebook.com/630658839</v>
      </c>
      <c r="K1100">
        <v>6200</v>
      </c>
      <c r="L1100" t="s">
        <v>6064</v>
      </c>
      <c r="N1100" t="s">
        <v>13</v>
      </c>
      <c r="O1100" t="s">
        <v>1050</v>
      </c>
      <c r="P1100" s="2" t="str">
        <f>HYPERLINK("https://www.facebook.com/630658839")</f>
        <v>https://www.facebook.com/630658839</v>
      </c>
      <c r="Q1100">
        <v>6200</v>
      </c>
      <c r="R1100" t="s">
        <v>6067</v>
      </c>
      <c r="S1100" t="s">
        <v>6073</v>
      </c>
    </row>
    <row r="1101" spans="1:19" ht="14.25" customHeight="1" x14ac:dyDescent="0.3">
      <c r="A1101" t="s">
        <v>629</v>
      </c>
      <c r="B1101" t="s">
        <v>1085</v>
      </c>
      <c r="C1101" t="s">
        <v>95</v>
      </c>
      <c r="D1101" t="s">
        <v>1047</v>
      </c>
      <c r="E1101" t="s">
        <v>1086</v>
      </c>
      <c r="F1101" t="s">
        <v>6059</v>
      </c>
      <c r="G1101" s="2" t="str">
        <f>HYPERLINK("https://www.facebook.com/630658839/posts/10157038230093840?comment_id=10157038372303840")</f>
        <v>https://www.facebook.com/630658839/posts/10157038230093840?comment_id=10157038372303840</v>
      </c>
      <c r="H1101" t="s">
        <v>6062</v>
      </c>
      <c r="I1101" t="s">
        <v>1050</v>
      </c>
      <c r="J1101" s="2" t="str">
        <f>HYPERLINK("https://www.facebook.com/630658839")</f>
        <v>https://www.facebook.com/630658839</v>
      </c>
      <c r="K1101">
        <v>6200</v>
      </c>
      <c r="L1101" t="s">
        <v>6064</v>
      </c>
      <c r="N1101" t="s">
        <v>13</v>
      </c>
      <c r="O1101" t="s">
        <v>1050</v>
      </c>
      <c r="P1101" s="2" t="str">
        <f>HYPERLINK("https://www.facebook.com/630658839")</f>
        <v>https://www.facebook.com/630658839</v>
      </c>
      <c r="Q1101">
        <v>6200</v>
      </c>
      <c r="R1101" t="s">
        <v>6067</v>
      </c>
      <c r="S1101" t="s">
        <v>6073</v>
      </c>
    </row>
    <row r="1102" spans="1:19" ht="14.25" customHeight="1" x14ac:dyDescent="0.3">
      <c r="A1102" t="s">
        <v>629</v>
      </c>
      <c r="B1102" t="s">
        <v>65</v>
      </c>
      <c r="C1102" t="s">
        <v>95</v>
      </c>
      <c r="D1102" t="s">
        <v>1047</v>
      </c>
      <c r="E1102" t="s">
        <v>1337</v>
      </c>
      <c r="F1102" t="s">
        <v>6056</v>
      </c>
      <c r="G1102" s="2" t="str">
        <f>HYPERLINK("https://www.facebook.com/630658839/posts/10157038230093840")</f>
        <v>https://www.facebook.com/630658839/posts/10157038230093840</v>
      </c>
      <c r="H1102" t="s">
        <v>6062</v>
      </c>
      <c r="I1102" t="s">
        <v>1050</v>
      </c>
      <c r="J1102" s="2" t="str">
        <f>HYPERLINK("https://www.facebook.com/630658839")</f>
        <v>https://www.facebook.com/630658839</v>
      </c>
      <c r="K1102">
        <v>6200</v>
      </c>
      <c r="L1102" t="s">
        <v>6064</v>
      </c>
      <c r="N1102" t="s">
        <v>13</v>
      </c>
      <c r="O1102" t="s">
        <v>1050</v>
      </c>
      <c r="P1102" s="2" t="str">
        <f>HYPERLINK("https://www.facebook.com/630658839")</f>
        <v>https://www.facebook.com/630658839</v>
      </c>
      <c r="Q1102">
        <v>6200</v>
      </c>
      <c r="R1102" t="s">
        <v>6067</v>
      </c>
      <c r="S1102" t="s">
        <v>6073</v>
      </c>
    </row>
    <row r="1103" spans="1:19" ht="14.25" customHeight="1" x14ac:dyDescent="0.3">
      <c r="A1103" t="s">
        <v>2225</v>
      </c>
      <c r="B1103" t="s">
        <v>2781</v>
      </c>
      <c r="C1103" t="s">
        <v>95</v>
      </c>
      <c r="D1103" t="s">
        <v>853</v>
      </c>
      <c r="E1103" t="s">
        <v>2784</v>
      </c>
      <c r="F1103" t="s">
        <v>6059</v>
      </c>
      <c r="G1103" s="2" t="str">
        <f>HYPERLINK("https://www.facebook.com/100008934274771/posts/1810262525948206?comment_id=1810270312614094")</f>
        <v>https://www.facebook.com/100008934274771/posts/1810262525948206?comment_id=1810270312614094</v>
      </c>
      <c r="H1103" t="s">
        <v>6062</v>
      </c>
      <c r="I1103" t="s">
        <v>2720</v>
      </c>
      <c r="J1103" s="2" t="str">
        <f>HYPERLINK("https://www.facebook.com/100004860960296")</f>
        <v>https://www.facebook.com/100004860960296</v>
      </c>
      <c r="K1103">
        <v>9</v>
      </c>
      <c r="L1103" t="s">
        <v>6063</v>
      </c>
      <c r="M1103">
        <v>58</v>
      </c>
      <c r="N1103" t="s">
        <v>13</v>
      </c>
      <c r="O1103" t="s">
        <v>856</v>
      </c>
      <c r="P1103" s="2" t="str">
        <f>HYPERLINK("https://www.facebook.com/100008934274771")</f>
        <v>https://www.facebook.com/100008934274771</v>
      </c>
      <c r="Q1103">
        <v>10395</v>
      </c>
      <c r="R1103" t="s">
        <v>6067</v>
      </c>
      <c r="S1103" t="s">
        <v>6073</v>
      </c>
    </row>
    <row r="1104" spans="1:19" ht="14.25" customHeight="1" x14ac:dyDescent="0.3">
      <c r="A1104" t="s">
        <v>2225</v>
      </c>
      <c r="B1104" t="s">
        <v>2715</v>
      </c>
      <c r="C1104" t="s">
        <v>95</v>
      </c>
      <c r="D1104" t="s">
        <v>853</v>
      </c>
      <c r="E1104" t="s">
        <v>2719</v>
      </c>
      <c r="F1104" t="s">
        <v>6059</v>
      </c>
      <c r="G1104" s="2" t="str">
        <f>HYPERLINK("https://www.facebook.com/100008934274771/posts/1810262525948206?comment_id=1810275149280277")</f>
        <v>https://www.facebook.com/100008934274771/posts/1810262525948206?comment_id=1810275149280277</v>
      </c>
      <c r="H1104" t="s">
        <v>6062</v>
      </c>
      <c r="I1104" t="s">
        <v>2720</v>
      </c>
      <c r="J1104" s="2" t="str">
        <f>HYPERLINK("https://www.facebook.com/100004860960296")</f>
        <v>https://www.facebook.com/100004860960296</v>
      </c>
      <c r="K1104">
        <v>9</v>
      </c>
      <c r="L1104" t="s">
        <v>6063</v>
      </c>
      <c r="M1104">
        <v>58</v>
      </c>
      <c r="N1104" t="s">
        <v>13</v>
      </c>
      <c r="O1104" t="s">
        <v>856</v>
      </c>
      <c r="P1104" s="2" t="str">
        <f>HYPERLINK("https://www.facebook.com/100008934274771")</f>
        <v>https://www.facebook.com/100008934274771</v>
      </c>
      <c r="Q1104">
        <v>10395</v>
      </c>
      <c r="R1104" t="s">
        <v>6067</v>
      </c>
      <c r="S1104" t="s">
        <v>6073</v>
      </c>
    </row>
    <row r="1105" spans="1:19" ht="14.25" customHeight="1" x14ac:dyDescent="0.3">
      <c r="A1105" t="s">
        <v>2225</v>
      </c>
      <c r="B1105" t="s">
        <v>3468</v>
      </c>
      <c r="C1105" t="s">
        <v>95</v>
      </c>
      <c r="D1105" t="s">
        <v>3469</v>
      </c>
      <c r="E1105" t="s">
        <v>3470</v>
      </c>
      <c r="F1105" t="s">
        <v>6058</v>
      </c>
      <c r="G1105" s="2" t="str">
        <f>HYPERLINK("https://www.facebook.com/100001579807530/posts/1764934750235835")</f>
        <v>https://www.facebook.com/100001579807530/posts/1764934750235835</v>
      </c>
      <c r="H1105" t="s">
        <v>6062</v>
      </c>
      <c r="I1105" t="s">
        <v>1970</v>
      </c>
      <c r="J1105" s="2" t="str">
        <f>HYPERLINK("https://www.facebook.com/100001579807530")</f>
        <v>https://www.facebook.com/100001579807530</v>
      </c>
      <c r="K1105">
        <v>861</v>
      </c>
      <c r="L1105" t="s">
        <v>6063</v>
      </c>
      <c r="N1105" t="s">
        <v>13</v>
      </c>
      <c r="O1105" t="s">
        <v>1970</v>
      </c>
      <c r="P1105" s="2" t="str">
        <f>HYPERLINK("https://www.facebook.com/100001579807530")</f>
        <v>https://www.facebook.com/100001579807530</v>
      </c>
      <c r="Q1105">
        <v>861</v>
      </c>
      <c r="R1105" t="s">
        <v>6067</v>
      </c>
      <c r="S1105" t="s">
        <v>6073</v>
      </c>
    </row>
    <row r="1106" spans="1:19" ht="14.25" customHeight="1" x14ac:dyDescent="0.3">
      <c r="A1106" t="s">
        <v>2225</v>
      </c>
      <c r="B1106" t="s">
        <v>3335</v>
      </c>
      <c r="C1106" t="s">
        <v>95</v>
      </c>
      <c r="D1106" t="s">
        <v>3194</v>
      </c>
      <c r="E1106" t="s">
        <v>3195</v>
      </c>
      <c r="F1106" t="s">
        <v>6058</v>
      </c>
      <c r="G1106" s="2" t="str">
        <f>HYPERLINK("https://www.facebook.com/100001579807530/posts/1765150596880917")</f>
        <v>https://www.facebook.com/100001579807530/posts/1765150596880917</v>
      </c>
      <c r="H1106" t="s">
        <v>6062</v>
      </c>
      <c r="I1106" t="s">
        <v>1970</v>
      </c>
      <c r="J1106" s="2" t="str">
        <f>HYPERLINK("https://www.facebook.com/100001579807530")</f>
        <v>https://www.facebook.com/100001579807530</v>
      </c>
      <c r="K1106">
        <v>861</v>
      </c>
      <c r="L1106" t="s">
        <v>6063</v>
      </c>
      <c r="N1106" t="s">
        <v>13</v>
      </c>
      <c r="O1106" t="s">
        <v>1970</v>
      </c>
      <c r="P1106" s="2" t="str">
        <f>HYPERLINK("https://www.facebook.com/100001579807530")</f>
        <v>https://www.facebook.com/100001579807530</v>
      </c>
      <c r="Q1106">
        <v>861</v>
      </c>
      <c r="R1106" t="s">
        <v>6067</v>
      </c>
      <c r="S1106" t="s">
        <v>6073</v>
      </c>
    </row>
    <row r="1107" spans="1:19" ht="14.25" customHeight="1" x14ac:dyDescent="0.3">
      <c r="A1107" t="s">
        <v>2225</v>
      </c>
      <c r="B1107" t="s">
        <v>720</v>
      </c>
      <c r="C1107" t="s">
        <v>95</v>
      </c>
      <c r="D1107" t="s">
        <v>544</v>
      </c>
      <c r="E1107" t="s">
        <v>545</v>
      </c>
      <c r="F1107" t="s">
        <v>6058</v>
      </c>
      <c r="G1107" s="2" t="str">
        <f>HYPERLINK("https://www.facebook.com/100001579807530/posts/1765669190162391")</f>
        <v>https://www.facebook.com/100001579807530/posts/1765669190162391</v>
      </c>
      <c r="H1107" t="s">
        <v>6062</v>
      </c>
      <c r="I1107" t="s">
        <v>1970</v>
      </c>
      <c r="J1107" s="2" t="str">
        <f>HYPERLINK("https://www.facebook.com/100001579807530")</f>
        <v>https://www.facebook.com/100001579807530</v>
      </c>
      <c r="K1107">
        <v>861</v>
      </c>
      <c r="L1107" t="s">
        <v>6063</v>
      </c>
      <c r="N1107" t="s">
        <v>13</v>
      </c>
      <c r="O1107" t="s">
        <v>1970</v>
      </c>
      <c r="P1107" s="2" t="str">
        <f>HYPERLINK("https://www.facebook.com/100001579807530")</f>
        <v>https://www.facebook.com/100001579807530</v>
      </c>
      <c r="Q1107">
        <v>861</v>
      </c>
      <c r="R1107" t="s">
        <v>6067</v>
      </c>
      <c r="S1107" t="s">
        <v>6073</v>
      </c>
    </row>
    <row r="1108" spans="1:19" ht="14.25" customHeight="1" x14ac:dyDescent="0.3">
      <c r="A1108" t="s">
        <v>629</v>
      </c>
      <c r="B1108" t="s">
        <v>1966</v>
      </c>
      <c r="C1108" t="s">
        <v>95</v>
      </c>
      <c r="D1108" t="s">
        <v>370</v>
      </c>
      <c r="E1108" t="s">
        <v>371</v>
      </c>
      <c r="F1108" t="s">
        <v>6058</v>
      </c>
      <c r="G1108" s="2" t="str">
        <f>HYPERLINK("https://www.facebook.com/100001579807530/posts/1766121056783871")</f>
        <v>https://www.facebook.com/100001579807530/posts/1766121056783871</v>
      </c>
      <c r="H1108" t="s">
        <v>6062</v>
      </c>
      <c r="I1108" t="s">
        <v>1970</v>
      </c>
      <c r="J1108" s="2" t="str">
        <f>HYPERLINK("https://www.facebook.com/100001579807530")</f>
        <v>https://www.facebook.com/100001579807530</v>
      </c>
      <c r="K1108">
        <v>861</v>
      </c>
      <c r="L1108" t="s">
        <v>6063</v>
      </c>
      <c r="N1108" t="s">
        <v>13</v>
      </c>
      <c r="O1108" t="s">
        <v>1970</v>
      </c>
      <c r="P1108" s="2" t="str">
        <f>HYPERLINK("https://www.facebook.com/100001579807530")</f>
        <v>https://www.facebook.com/100001579807530</v>
      </c>
      <c r="Q1108">
        <v>861</v>
      </c>
      <c r="R1108" t="s">
        <v>6067</v>
      </c>
      <c r="S1108" t="s">
        <v>6073</v>
      </c>
    </row>
    <row r="1109" spans="1:19" ht="14.25" customHeight="1" x14ac:dyDescent="0.3">
      <c r="A1109" t="s">
        <v>2225</v>
      </c>
      <c r="B1109" t="s">
        <v>3450</v>
      </c>
      <c r="C1109" t="s">
        <v>95</v>
      </c>
      <c r="D1109" t="s">
        <v>2196</v>
      </c>
      <c r="E1109" t="s">
        <v>3451</v>
      </c>
      <c r="F1109" t="s">
        <v>6059</v>
      </c>
      <c r="G1109" s="2" t="str">
        <f>HYPERLINK("https://www.facebook.com/100001415260849/posts/1744734525583706?comment_id=1745626162161209")</f>
        <v>https://www.facebook.com/100001415260849/posts/1744734525583706?comment_id=1745626162161209</v>
      </c>
      <c r="H1109" t="s">
        <v>6062</v>
      </c>
      <c r="I1109" t="s">
        <v>3434</v>
      </c>
      <c r="J1109" s="2" t="str">
        <f>HYPERLINK("https://www.facebook.com/100000731655133")</f>
        <v>https://www.facebook.com/100000731655133</v>
      </c>
      <c r="K1109">
        <v>163</v>
      </c>
      <c r="L1109" t="s">
        <v>6063</v>
      </c>
      <c r="N1109" t="s">
        <v>13</v>
      </c>
      <c r="O1109" t="s">
        <v>2199</v>
      </c>
      <c r="P1109" s="2" t="str">
        <f>HYPERLINK("https://www.facebook.com/100001415260849")</f>
        <v>https://www.facebook.com/100001415260849</v>
      </c>
      <c r="Q1109">
        <v>0</v>
      </c>
      <c r="R1109" t="s">
        <v>6067</v>
      </c>
      <c r="S1109" t="s">
        <v>6073</v>
      </c>
    </row>
    <row r="1110" spans="1:19" ht="14.25" customHeight="1" x14ac:dyDescent="0.3">
      <c r="A1110" t="s">
        <v>2225</v>
      </c>
      <c r="B1110" t="s">
        <v>3444</v>
      </c>
      <c r="C1110" t="s">
        <v>95</v>
      </c>
      <c r="D1110" t="s">
        <v>2196</v>
      </c>
      <c r="E1110" t="s">
        <v>3445</v>
      </c>
      <c r="F1110" t="s">
        <v>6059</v>
      </c>
      <c r="G1110" s="2" t="str">
        <f>HYPERLINK("https://www.facebook.com/100001415260849/posts/1744734525583706?comment_id=1745637005493458")</f>
        <v>https://www.facebook.com/100001415260849/posts/1744734525583706?comment_id=1745637005493458</v>
      </c>
      <c r="H1110" t="s">
        <v>6062</v>
      </c>
      <c r="I1110" t="s">
        <v>3434</v>
      </c>
      <c r="J1110" s="2" t="str">
        <f>HYPERLINK("https://www.facebook.com/100000731655133")</f>
        <v>https://www.facebook.com/100000731655133</v>
      </c>
      <c r="K1110">
        <v>163</v>
      </c>
      <c r="L1110" t="s">
        <v>6063</v>
      </c>
      <c r="N1110" t="s">
        <v>13</v>
      </c>
      <c r="O1110" t="s">
        <v>2199</v>
      </c>
      <c r="P1110" s="2" t="str">
        <f>HYPERLINK("https://www.facebook.com/100001415260849")</f>
        <v>https://www.facebook.com/100001415260849</v>
      </c>
      <c r="Q1110">
        <v>0</v>
      </c>
      <c r="R1110" t="s">
        <v>6067</v>
      </c>
      <c r="S1110" t="s">
        <v>6073</v>
      </c>
    </row>
    <row r="1111" spans="1:19" ht="14.25" customHeight="1" x14ac:dyDescent="0.3">
      <c r="A1111" t="s">
        <v>2225</v>
      </c>
      <c r="B1111" t="s">
        <v>2646</v>
      </c>
      <c r="C1111" t="s">
        <v>95</v>
      </c>
      <c r="D1111" t="s">
        <v>544</v>
      </c>
      <c r="E1111" t="s">
        <v>545</v>
      </c>
      <c r="F1111" t="s">
        <v>6058</v>
      </c>
      <c r="G1111" s="2" t="str">
        <f>HYPERLINK("https://www.facebook.com/100012249342748/posts/467510080333966")</f>
        <v>https://www.facebook.com/100012249342748/posts/467510080333966</v>
      </c>
      <c r="H1111" t="s">
        <v>6062</v>
      </c>
      <c r="I1111" t="s">
        <v>1900</v>
      </c>
      <c r="J1111" s="2" t="str">
        <f>HYPERLINK("https://www.facebook.com/100012249342748")</f>
        <v>https://www.facebook.com/100012249342748</v>
      </c>
      <c r="K1111">
        <v>908</v>
      </c>
      <c r="L1111" t="s">
        <v>6063</v>
      </c>
      <c r="N1111" t="s">
        <v>13</v>
      </c>
      <c r="O1111" t="s">
        <v>1900</v>
      </c>
      <c r="P1111" s="2" t="str">
        <f>HYPERLINK("https://www.facebook.com/100012249342748")</f>
        <v>https://www.facebook.com/100012249342748</v>
      </c>
      <c r="Q1111">
        <v>908</v>
      </c>
      <c r="R1111" t="s">
        <v>6067</v>
      </c>
    </row>
    <row r="1112" spans="1:19" ht="14.25" customHeight="1" x14ac:dyDescent="0.3">
      <c r="A1112" t="s">
        <v>629</v>
      </c>
      <c r="B1112" t="s">
        <v>459</v>
      </c>
      <c r="C1112" t="s">
        <v>95</v>
      </c>
      <c r="D1112" t="s">
        <v>370</v>
      </c>
      <c r="E1112" t="s">
        <v>371</v>
      </c>
      <c r="F1112" t="s">
        <v>6058</v>
      </c>
      <c r="G1112" s="2" t="str">
        <f>HYPERLINK("https://www.facebook.com/100012249342748/posts/467688443649463")</f>
        <v>https://www.facebook.com/100012249342748/posts/467688443649463</v>
      </c>
      <c r="H1112" t="s">
        <v>6062</v>
      </c>
      <c r="I1112" t="s">
        <v>1900</v>
      </c>
      <c r="J1112" s="2" t="str">
        <f>HYPERLINK("https://www.facebook.com/100012249342748")</f>
        <v>https://www.facebook.com/100012249342748</v>
      </c>
      <c r="K1112">
        <v>908</v>
      </c>
      <c r="L1112" t="s">
        <v>6063</v>
      </c>
      <c r="N1112" t="s">
        <v>13</v>
      </c>
      <c r="O1112" t="s">
        <v>1900</v>
      </c>
      <c r="P1112" s="2" t="str">
        <f>HYPERLINK("https://www.facebook.com/100012249342748")</f>
        <v>https://www.facebook.com/100012249342748</v>
      </c>
      <c r="Q1112">
        <v>908</v>
      </c>
      <c r="R1112" t="s">
        <v>6067</v>
      </c>
    </row>
    <row r="1113" spans="1:19" ht="14.25" customHeight="1" x14ac:dyDescent="0.3">
      <c r="A1113" t="s">
        <v>5409</v>
      </c>
      <c r="B1113" t="s">
        <v>311</v>
      </c>
      <c r="C1113" t="s">
        <v>3538</v>
      </c>
      <c r="D1113" t="s">
        <v>4675</v>
      </c>
      <c r="E1113" t="s">
        <v>5832</v>
      </c>
      <c r="F1113" t="s">
        <v>6059</v>
      </c>
      <c r="G1113" s="2" t="str">
        <f>HYPERLINK("https://www.facebook.com/1439247584/posts/10217349741762401?comment_id=10217355465345487")</f>
        <v>https://www.facebook.com/1439247584/posts/10217349741762401?comment_id=10217355465345487</v>
      </c>
      <c r="H1113" t="s">
        <v>6062</v>
      </c>
      <c r="I1113" t="s">
        <v>5833</v>
      </c>
      <c r="J1113" s="2" t="str">
        <f>HYPERLINK("https://www.facebook.com/100000997078409")</f>
        <v>https://www.facebook.com/100000997078409</v>
      </c>
      <c r="K1113">
        <v>2308</v>
      </c>
      <c r="L1113" t="s">
        <v>6063</v>
      </c>
      <c r="N1113" t="s">
        <v>13</v>
      </c>
      <c r="O1113" t="s">
        <v>4678</v>
      </c>
      <c r="P1113" s="2" t="str">
        <f>HYPERLINK("https://www.facebook.com/1439247584")</f>
        <v>https://www.facebook.com/1439247584</v>
      </c>
      <c r="Q1113">
        <v>54</v>
      </c>
      <c r="R1113" t="s">
        <v>6067</v>
      </c>
      <c r="S1113" t="s">
        <v>6073</v>
      </c>
    </row>
    <row r="1114" spans="1:19" ht="14.25" customHeight="1" x14ac:dyDescent="0.3">
      <c r="A1114" t="s">
        <v>2225</v>
      </c>
      <c r="B1114" t="s">
        <v>745</v>
      </c>
      <c r="C1114" t="s">
        <v>95</v>
      </c>
      <c r="D1114" t="s">
        <v>544</v>
      </c>
      <c r="E1114" t="s">
        <v>545</v>
      </c>
      <c r="F1114" t="s">
        <v>6058</v>
      </c>
      <c r="G1114" s="2" t="str">
        <f>HYPERLINK("https://www.facebook.com/100005406645423/posts/764475757075972")</f>
        <v>https://www.facebook.com/100005406645423/posts/764475757075972</v>
      </c>
      <c r="H1114" t="s">
        <v>6062</v>
      </c>
      <c r="I1114" t="s">
        <v>1899</v>
      </c>
      <c r="J1114" s="2" t="str">
        <f>HYPERLINK("https://www.facebook.com/100005406645423")</f>
        <v>https://www.facebook.com/100005406645423</v>
      </c>
      <c r="K1114">
        <v>129</v>
      </c>
      <c r="L1114" t="s">
        <v>6064</v>
      </c>
      <c r="N1114" t="s">
        <v>13</v>
      </c>
      <c r="O1114" t="s">
        <v>1899</v>
      </c>
      <c r="P1114" s="2" t="str">
        <f>HYPERLINK("https://www.facebook.com/100005406645423")</f>
        <v>https://www.facebook.com/100005406645423</v>
      </c>
      <c r="Q1114">
        <v>129</v>
      </c>
      <c r="R1114" t="s">
        <v>6067</v>
      </c>
      <c r="S1114" t="s">
        <v>6073</v>
      </c>
    </row>
    <row r="1115" spans="1:19" ht="14.25" customHeight="1" x14ac:dyDescent="0.3">
      <c r="A1115" t="s">
        <v>629</v>
      </c>
      <c r="B1115" t="s">
        <v>459</v>
      </c>
      <c r="C1115" t="s">
        <v>95</v>
      </c>
      <c r="D1115" t="s">
        <v>370</v>
      </c>
      <c r="E1115" t="s">
        <v>371</v>
      </c>
      <c r="F1115" t="s">
        <v>6058</v>
      </c>
      <c r="G1115" s="2" t="str">
        <f>HYPERLINK("https://www.facebook.com/100005406645423/posts/764654420391439")</f>
        <v>https://www.facebook.com/100005406645423/posts/764654420391439</v>
      </c>
      <c r="H1115" t="s">
        <v>6062</v>
      </c>
      <c r="I1115" t="s">
        <v>1899</v>
      </c>
      <c r="J1115" s="2" t="str">
        <f>HYPERLINK("https://www.facebook.com/100005406645423")</f>
        <v>https://www.facebook.com/100005406645423</v>
      </c>
      <c r="K1115">
        <v>129</v>
      </c>
      <c r="L1115" t="s">
        <v>6064</v>
      </c>
      <c r="N1115" t="s">
        <v>13</v>
      </c>
      <c r="O1115" t="s">
        <v>1899</v>
      </c>
      <c r="P1115" s="2" t="str">
        <f>HYPERLINK("https://www.facebook.com/100005406645423")</f>
        <v>https://www.facebook.com/100005406645423</v>
      </c>
      <c r="Q1115">
        <v>129</v>
      </c>
      <c r="R1115" t="s">
        <v>6067</v>
      </c>
      <c r="S1115" t="s">
        <v>6073</v>
      </c>
    </row>
    <row r="1116" spans="1:19" ht="14.25" customHeight="1" x14ac:dyDescent="0.3">
      <c r="A1116" t="s">
        <v>2225</v>
      </c>
      <c r="B1116" t="s">
        <v>2413</v>
      </c>
      <c r="C1116" t="s">
        <v>95</v>
      </c>
      <c r="D1116" t="s">
        <v>2419</v>
      </c>
      <c r="E1116" t="s">
        <v>2420</v>
      </c>
      <c r="F1116" t="s">
        <v>6058</v>
      </c>
      <c r="G1116" s="2" t="str">
        <f>HYPERLINK("https://www.facebook.com/100001315329428/posts/1675113745875787")</f>
        <v>https://www.facebook.com/100001315329428/posts/1675113745875787</v>
      </c>
      <c r="H1116" t="s">
        <v>6062</v>
      </c>
      <c r="I1116" t="s">
        <v>2421</v>
      </c>
      <c r="J1116" s="2" t="str">
        <f>HYPERLINK("https://www.facebook.com/100001315329428")</f>
        <v>https://www.facebook.com/100001315329428</v>
      </c>
      <c r="K1116">
        <v>0</v>
      </c>
      <c r="L1116" t="s">
        <v>6064</v>
      </c>
      <c r="N1116" t="s">
        <v>13</v>
      </c>
      <c r="O1116" t="s">
        <v>2421</v>
      </c>
      <c r="P1116" s="2" t="str">
        <f>HYPERLINK("https://www.facebook.com/100001315329428")</f>
        <v>https://www.facebook.com/100001315329428</v>
      </c>
      <c r="Q1116">
        <v>0</v>
      </c>
      <c r="R1116" t="s">
        <v>6067</v>
      </c>
      <c r="S1116" t="s">
        <v>6073</v>
      </c>
    </row>
    <row r="1117" spans="1:19" ht="14.25" customHeight="1" x14ac:dyDescent="0.3">
      <c r="A1117" t="s">
        <v>2225</v>
      </c>
      <c r="B1117" t="s">
        <v>1557</v>
      </c>
      <c r="C1117" t="s">
        <v>95</v>
      </c>
      <c r="D1117" t="s">
        <v>3194</v>
      </c>
      <c r="E1117" t="s">
        <v>3195</v>
      </c>
      <c r="F1117" t="s">
        <v>6058</v>
      </c>
      <c r="G1117" s="2" t="str">
        <f>HYPERLINK("https://www.facebook.com/100005273502582/posts/870297373156038")</f>
        <v>https://www.facebook.com/100005273502582/posts/870297373156038</v>
      </c>
      <c r="H1117" t="s">
        <v>6062</v>
      </c>
      <c r="I1117" t="s">
        <v>1626</v>
      </c>
      <c r="J1117" s="2" t="str">
        <f>HYPERLINK("https://www.facebook.com/100005273502582")</f>
        <v>https://www.facebook.com/100005273502582</v>
      </c>
      <c r="K1117">
        <v>0</v>
      </c>
      <c r="L1117" t="s">
        <v>6064</v>
      </c>
      <c r="N1117" t="s">
        <v>13</v>
      </c>
      <c r="O1117" t="s">
        <v>1626</v>
      </c>
      <c r="P1117" s="2" t="str">
        <f>HYPERLINK("https://www.facebook.com/100005273502582")</f>
        <v>https://www.facebook.com/100005273502582</v>
      </c>
      <c r="Q1117">
        <v>0</v>
      </c>
      <c r="R1117" t="s">
        <v>6067</v>
      </c>
    </row>
    <row r="1118" spans="1:19" ht="14.25" customHeight="1" x14ac:dyDescent="0.3">
      <c r="A1118" t="s">
        <v>629</v>
      </c>
      <c r="B1118" t="s">
        <v>1624</v>
      </c>
      <c r="C1118" t="s">
        <v>95</v>
      </c>
      <c r="D1118" t="s">
        <v>370</v>
      </c>
      <c r="E1118" t="s">
        <v>371</v>
      </c>
      <c r="F1118" t="s">
        <v>6058</v>
      </c>
      <c r="G1118" s="2" t="str">
        <f>HYPERLINK("https://www.facebook.com/100005273502582/posts/870754113110364")</f>
        <v>https://www.facebook.com/100005273502582/posts/870754113110364</v>
      </c>
      <c r="H1118" t="s">
        <v>6062</v>
      </c>
      <c r="I1118" t="s">
        <v>1626</v>
      </c>
      <c r="J1118" s="2" t="str">
        <f>HYPERLINK("https://www.facebook.com/100005273502582")</f>
        <v>https://www.facebook.com/100005273502582</v>
      </c>
      <c r="K1118">
        <v>0</v>
      </c>
      <c r="L1118" t="s">
        <v>6064</v>
      </c>
      <c r="N1118" t="s">
        <v>13</v>
      </c>
      <c r="O1118" t="s">
        <v>1626</v>
      </c>
      <c r="P1118" s="2" t="str">
        <f>HYPERLINK("https://www.facebook.com/100005273502582")</f>
        <v>https://www.facebook.com/100005273502582</v>
      </c>
      <c r="Q1118">
        <v>0</v>
      </c>
      <c r="R1118" t="s">
        <v>6067</v>
      </c>
    </row>
    <row r="1119" spans="1:19" ht="14.25" customHeight="1" x14ac:dyDescent="0.3">
      <c r="A1119" t="s">
        <v>5409</v>
      </c>
      <c r="B1119" t="s">
        <v>357</v>
      </c>
      <c r="C1119" t="s">
        <v>3538</v>
      </c>
      <c r="D1119" t="s">
        <v>5425</v>
      </c>
      <c r="E1119" t="s">
        <v>5857</v>
      </c>
      <c r="F1119" t="s">
        <v>6059</v>
      </c>
      <c r="G1119" s="2" t="str">
        <f>HYPERLINK("https://www.facebook.com/1717320447/posts/10204642291893366?comment_id=10204642301733612")</f>
        <v>https://www.facebook.com/1717320447/posts/10204642291893366?comment_id=10204642301733612</v>
      </c>
      <c r="H1119" t="s">
        <v>6062</v>
      </c>
      <c r="I1119" t="s">
        <v>5858</v>
      </c>
      <c r="J1119" s="2" t="str">
        <f>HYPERLINK("https://www.facebook.com/100001476424545")</f>
        <v>https://www.facebook.com/100001476424545</v>
      </c>
      <c r="K1119">
        <v>843</v>
      </c>
      <c r="L1119" t="s">
        <v>6064</v>
      </c>
      <c r="N1119" t="s">
        <v>13</v>
      </c>
      <c r="O1119" t="s">
        <v>5427</v>
      </c>
      <c r="P1119" s="2" t="str">
        <f>HYPERLINK("https://www.facebook.com/1717320447")</f>
        <v>https://www.facebook.com/1717320447</v>
      </c>
      <c r="Q1119">
        <v>0</v>
      </c>
      <c r="R1119" t="s">
        <v>6067</v>
      </c>
      <c r="S1119" t="s">
        <v>6073</v>
      </c>
    </row>
    <row r="1120" spans="1:19" ht="14.25" customHeight="1" x14ac:dyDescent="0.3">
      <c r="A1120" t="s">
        <v>5409</v>
      </c>
      <c r="B1120" t="s">
        <v>1667</v>
      </c>
      <c r="C1120" t="s">
        <v>3538</v>
      </c>
      <c r="D1120" t="s">
        <v>5425</v>
      </c>
      <c r="E1120" t="s">
        <v>5865</v>
      </c>
      <c r="F1120" t="s">
        <v>6059</v>
      </c>
      <c r="G1120" s="2" t="str">
        <f>HYPERLINK("https://www.facebook.com/1717320447/posts/10204642291893366?comment_id=10204642293133397")</f>
        <v>https://www.facebook.com/1717320447/posts/10204642291893366?comment_id=10204642293133397</v>
      </c>
      <c r="H1120" t="s">
        <v>6062</v>
      </c>
      <c r="I1120" t="s">
        <v>5858</v>
      </c>
      <c r="J1120" s="2" t="str">
        <f>HYPERLINK("https://www.facebook.com/100001476424545")</f>
        <v>https://www.facebook.com/100001476424545</v>
      </c>
      <c r="K1120">
        <v>843</v>
      </c>
      <c r="L1120" t="s">
        <v>6064</v>
      </c>
      <c r="N1120" t="s">
        <v>13</v>
      </c>
      <c r="O1120" t="s">
        <v>5427</v>
      </c>
      <c r="P1120" s="2" t="str">
        <f>HYPERLINK("https://www.facebook.com/1717320447")</f>
        <v>https://www.facebook.com/1717320447</v>
      </c>
      <c r="Q1120">
        <v>0</v>
      </c>
      <c r="R1120" t="s">
        <v>6067</v>
      </c>
      <c r="S1120" t="s">
        <v>6073</v>
      </c>
    </row>
    <row r="1121" spans="1:19" ht="14.25" customHeight="1" x14ac:dyDescent="0.3">
      <c r="A1121" t="s">
        <v>4439</v>
      </c>
      <c r="B1121" t="s">
        <v>4897</v>
      </c>
      <c r="C1121" t="s">
        <v>3538</v>
      </c>
      <c r="D1121" t="s">
        <v>3175</v>
      </c>
      <c r="E1121" t="s">
        <v>4898</v>
      </c>
      <c r="F1121" t="s">
        <v>6059</v>
      </c>
      <c r="G1121" s="2" t="str">
        <f>HYPERLINK("https://www.facebook.com/100001787112815/posts/1612441262158762?comment_id=1613109502091938")</f>
        <v>https://www.facebook.com/100001787112815/posts/1612441262158762?comment_id=1613109502091938</v>
      </c>
      <c r="H1121" t="s">
        <v>6062</v>
      </c>
      <c r="I1121" t="s">
        <v>4899</v>
      </c>
      <c r="J1121" s="2" t="str">
        <f>HYPERLINK("https://www.facebook.com/100002509838178")</f>
        <v>https://www.facebook.com/100002509838178</v>
      </c>
      <c r="K1121">
        <v>86</v>
      </c>
      <c r="L1121" t="s">
        <v>6063</v>
      </c>
      <c r="N1121" t="s">
        <v>13</v>
      </c>
      <c r="O1121" t="s">
        <v>3177</v>
      </c>
      <c r="P1121" s="2" t="str">
        <f>HYPERLINK("https://www.facebook.com/100001787112815")</f>
        <v>https://www.facebook.com/100001787112815</v>
      </c>
      <c r="Q1121">
        <v>652</v>
      </c>
      <c r="R1121" t="s">
        <v>6067</v>
      </c>
      <c r="S1121" t="s">
        <v>6073</v>
      </c>
    </row>
    <row r="1122" spans="1:19" ht="14.25" customHeight="1" x14ac:dyDescent="0.3">
      <c r="A1122" t="s">
        <v>1</v>
      </c>
      <c r="B1122" t="s">
        <v>32</v>
      </c>
      <c r="C1122" t="s">
        <v>22</v>
      </c>
      <c r="D1122" t="s">
        <v>33</v>
      </c>
      <c r="E1122" t="s">
        <v>34</v>
      </c>
      <c r="F1122" t="s">
        <v>6059</v>
      </c>
      <c r="G1122" s="2" t="str">
        <f>HYPERLINK("https://www.facebook.com/161596737328565/posts/954678264687071?comment_id=954746368013594")</f>
        <v>https://www.facebook.com/161596737328565/posts/954678264687071?comment_id=954746368013594</v>
      </c>
      <c r="H1122" t="s">
        <v>6062</v>
      </c>
      <c r="I1122" t="s">
        <v>35</v>
      </c>
      <c r="J1122" s="2" t="str">
        <f>HYPERLINK("https://www.facebook.com/1598424307")</f>
        <v>https://www.facebook.com/1598424307</v>
      </c>
      <c r="K1122">
        <v>0</v>
      </c>
      <c r="L1122" t="s">
        <v>6063</v>
      </c>
      <c r="N1122" t="s">
        <v>13</v>
      </c>
      <c r="O1122" t="s">
        <v>36</v>
      </c>
      <c r="P1122" s="2" t="str">
        <f>HYPERLINK("https://www.facebook.com/161596737328565")</f>
        <v>https://www.facebook.com/161596737328565</v>
      </c>
      <c r="Q1122">
        <v>2433</v>
      </c>
      <c r="R1122" t="s">
        <v>6067</v>
      </c>
      <c r="S1122" t="s">
        <v>6073</v>
      </c>
    </row>
    <row r="1123" spans="1:19" ht="14.25" customHeight="1" x14ac:dyDescent="0.3">
      <c r="A1123" t="s">
        <v>629</v>
      </c>
      <c r="B1123" t="s">
        <v>1124</v>
      </c>
      <c r="C1123" t="s">
        <v>95</v>
      </c>
      <c r="D1123" t="s">
        <v>10</v>
      </c>
      <c r="E1123" t="s">
        <v>1125</v>
      </c>
      <c r="F1123" t="s">
        <v>6059</v>
      </c>
      <c r="G1123" s="2" t="str">
        <f>HYPERLINK("https://www.facebook.com/762053551/posts/10156366210158552?comment_id=10156366296488552")</f>
        <v>https://www.facebook.com/762053551/posts/10156366210158552?comment_id=10156366296488552</v>
      </c>
      <c r="H1123" t="s">
        <v>6062</v>
      </c>
      <c r="I1123" t="s">
        <v>1126</v>
      </c>
      <c r="J1123" s="2" t="str">
        <f>HYPERLINK("https://www.facebook.com/100000732114566")</f>
        <v>https://www.facebook.com/100000732114566</v>
      </c>
      <c r="K1123">
        <v>1381</v>
      </c>
      <c r="L1123" t="s">
        <v>6063</v>
      </c>
      <c r="N1123" t="s">
        <v>13</v>
      </c>
      <c r="O1123" t="s">
        <v>14</v>
      </c>
      <c r="P1123" s="2" t="str">
        <f>HYPERLINK("https://www.facebook.com/762053551")</f>
        <v>https://www.facebook.com/762053551</v>
      </c>
      <c r="Q1123">
        <v>102347</v>
      </c>
      <c r="R1123" t="s">
        <v>6067</v>
      </c>
      <c r="S1123" t="s">
        <v>6073</v>
      </c>
    </row>
    <row r="1124" spans="1:19" ht="14.25" customHeight="1" x14ac:dyDescent="0.3">
      <c r="A1124" t="s">
        <v>629</v>
      </c>
      <c r="B1124" t="s">
        <v>26</v>
      </c>
      <c r="C1124" t="s">
        <v>95</v>
      </c>
      <c r="D1124" t="s">
        <v>10</v>
      </c>
      <c r="E1124" t="s">
        <v>1279</v>
      </c>
      <c r="F1124" t="s">
        <v>6059</v>
      </c>
      <c r="G1124" s="2" t="str">
        <f>HYPERLINK("https://www.facebook.com/762053551/posts/10156366210158552?comment_id=10156366221333552")</f>
        <v>https://www.facebook.com/762053551/posts/10156366210158552?comment_id=10156366221333552</v>
      </c>
      <c r="H1124" t="s">
        <v>6062</v>
      </c>
      <c r="I1124" t="s">
        <v>1126</v>
      </c>
      <c r="J1124" s="2" t="str">
        <f>HYPERLINK("https://www.facebook.com/100000732114566")</f>
        <v>https://www.facebook.com/100000732114566</v>
      </c>
      <c r="K1124">
        <v>1381</v>
      </c>
      <c r="L1124" t="s">
        <v>6063</v>
      </c>
      <c r="N1124" t="s">
        <v>13</v>
      </c>
      <c r="O1124" t="s">
        <v>14</v>
      </c>
      <c r="P1124" s="2" t="str">
        <f>HYPERLINK("https://www.facebook.com/762053551")</f>
        <v>https://www.facebook.com/762053551</v>
      </c>
      <c r="Q1124">
        <v>102347</v>
      </c>
      <c r="R1124" t="s">
        <v>6067</v>
      </c>
      <c r="S1124" t="s">
        <v>6073</v>
      </c>
    </row>
    <row r="1125" spans="1:19" ht="14.25" customHeight="1" x14ac:dyDescent="0.3">
      <c r="A1125" t="s">
        <v>1</v>
      </c>
      <c r="B1125" t="s">
        <v>94</v>
      </c>
      <c r="C1125" t="s">
        <v>95</v>
      </c>
      <c r="D1125" t="s">
        <v>96</v>
      </c>
      <c r="E1125" t="s">
        <v>97</v>
      </c>
      <c r="F1125" t="s">
        <v>6059</v>
      </c>
      <c r="G1125" s="2" t="str">
        <f>HYPERLINK("https://www.facebook.com/1214035469/posts/10211551199794969?comment_id=10211561763339051")</f>
        <v>https://www.facebook.com/1214035469/posts/10211551199794969?comment_id=10211561763339051</v>
      </c>
      <c r="H1125" t="s">
        <v>6062</v>
      </c>
      <c r="I1125" t="s">
        <v>98</v>
      </c>
      <c r="J1125" s="2" t="str">
        <f>HYPERLINK("https://www.facebook.com/100001506166295")</f>
        <v>https://www.facebook.com/100001506166295</v>
      </c>
      <c r="K1125">
        <v>2</v>
      </c>
      <c r="L1125" t="s">
        <v>6063</v>
      </c>
      <c r="N1125" t="s">
        <v>13</v>
      </c>
      <c r="O1125" t="s">
        <v>99</v>
      </c>
      <c r="P1125" s="2" t="str">
        <f>HYPERLINK("https://www.facebook.com/1214035469")</f>
        <v>https://www.facebook.com/1214035469</v>
      </c>
      <c r="Q1125">
        <v>351</v>
      </c>
      <c r="R1125" t="s">
        <v>6067</v>
      </c>
      <c r="S1125" t="s">
        <v>6073</v>
      </c>
    </row>
    <row r="1126" spans="1:19" ht="14.25" customHeight="1" x14ac:dyDescent="0.3">
      <c r="A1126" t="s">
        <v>1</v>
      </c>
      <c r="B1126" t="s">
        <v>549</v>
      </c>
      <c r="C1126" t="s">
        <v>95</v>
      </c>
      <c r="D1126" t="s">
        <v>96</v>
      </c>
      <c r="E1126" t="s">
        <v>550</v>
      </c>
      <c r="F1126" t="s">
        <v>6059</v>
      </c>
      <c r="G1126" s="2" t="str">
        <f>HYPERLINK("https://www.facebook.com/1214035469/posts/10211551199794969?comment_id=10211558827425655")</f>
        <v>https://www.facebook.com/1214035469/posts/10211551199794969?comment_id=10211558827425655</v>
      </c>
      <c r="H1126" t="s">
        <v>6062</v>
      </c>
      <c r="I1126" t="s">
        <v>98</v>
      </c>
      <c r="J1126" s="2" t="str">
        <f>HYPERLINK("https://www.facebook.com/100001506166295")</f>
        <v>https://www.facebook.com/100001506166295</v>
      </c>
      <c r="K1126">
        <v>2</v>
      </c>
      <c r="L1126" t="s">
        <v>6063</v>
      </c>
      <c r="N1126" t="s">
        <v>13</v>
      </c>
      <c r="O1126" t="s">
        <v>99</v>
      </c>
      <c r="P1126" s="2" t="str">
        <f>HYPERLINK("https://www.facebook.com/1214035469")</f>
        <v>https://www.facebook.com/1214035469</v>
      </c>
      <c r="Q1126">
        <v>351</v>
      </c>
      <c r="R1126" t="s">
        <v>6067</v>
      </c>
      <c r="S1126" t="s">
        <v>6073</v>
      </c>
    </row>
    <row r="1127" spans="1:19" ht="14.25" customHeight="1" x14ac:dyDescent="0.3">
      <c r="A1127" t="s">
        <v>629</v>
      </c>
      <c r="B1127" t="s">
        <v>405</v>
      </c>
      <c r="C1127" t="s">
        <v>95</v>
      </c>
      <c r="D1127" t="s">
        <v>370</v>
      </c>
      <c r="E1127" t="s">
        <v>371</v>
      </c>
      <c r="F1127" t="s">
        <v>6058</v>
      </c>
      <c r="G1127" s="2" t="str">
        <f>HYPERLINK("https://www.facebook.com/100001698531922/posts/1764873340245933")</f>
        <v>https://www.facebook.com/100001698531922/posts/1764873340245933</v>
      </c>
      <c r="H1127" t="s">
        <v>6062</v>
      </c>
      <c r="I1127" t="s">
        <v>1767</v>
      </c>
      <c r="J1127" s="2" t="str">
        <f>HYPERLINK("https://www.facebook.com/100001698531922")</f>
        <v>https://www.facebook.com/100001698531922</v>
      </c>
      <c r="K1127">
        <v>0</v>
      </c>
      <c r="L1127" t="s">
        <v>6063</v>
      </c>
      <c r="N1127" t="s">
        <v>13</v>
      </c>
      <c r="O1127" t="s">
        <v>1767</v>
      </c>
      <c r="P1127" s="2" t="str">
        <f>HYPERLINK("https://www.facebook.com/100001698531922")</f>
        <v>https://www.facebook.com/100001698531922</v>
      </c>
      <c r="Q1127">
        <v>0</v>
      </c>
      <c r="R1127" t="s">
        <v>6067</v>
      </c>
      <c r="S1127" t="s">
        <v>6073</v>
      </c>
    </row>
    <row r="1128" spans="1:19" ht="14.25" customHeight="1" x14ac:dyDescent="0.3">
      <c r="A1128" t="s">
        <v>629</v>
      </c>
      <c r="B1128" t="s">
        <v>435</v>
      </c>
      <c r="C1128" t="s">
        <v>95</v>
      </c>
      <c r="D1128" t="s">
        <v>370</v>
      </c>
      <c r="E1128" t="s">
        <v>371</v>
      </c>
      <c r="F1128" t="s">
        <v>6058</v>
      </c>
      <c r="G1128" s="2" t="str">
        <f>HYPERLINK("https://www.facebook.com/100004093987485/posts/1378687245611062")</f>
        <v>https://www.facebook.com/100004093987485/posts/1378687245611062</v>
      </c>
      <c r="H1128" t="s">
        <v>6062</v>
      </c>
      <c r="I1128" t="s">
        <v>1853</v>
      </c>
      <c r="J1128" s="2" t="str">
        <f>HYPERLINK("https://www.facebook.com/100004093987485")</f>
        <v>https://www.facebook.com/100004093987485</v>
      </c>
      <c r="K1128">
        <v>2213</v>
      </c>
      <c r="L1128" t="s">
        <v>6063</v>
      </c>
      <c r="N1128" t="s">
        <v>13</v>
      </c>
      <c r="O1128" t="s">
        <v>1853</v>
      </c>
      <c r="P1128" s="2" t="str">
        <f>HYPERLINK("https://www.facebook.com/100004093987485")</f>
        <v>https://www.facebook.com/100004093987485</v>
      </c>
      <c r="Q1128">
        <v>2213</v>
      </c>
      <c r="R1128" t="s">
        <v>6067</v>
      </c>
      <c r="S1128" t="s">
        <v>6073</v>
      </c>
    </row>
    <row r="1129" spans="1:19" ht="14.25" customHeight="1" x14ac:dyDescent="0.3">
      <c r="A1129" t="s">
        <v>629</v>
      </c>
      <c r="B1129" t="s">
        <v>1924</v>
      </c>
      <c r="C1129" t="s">
        <v>95</v>
      </c>
      <c r="D1129" t="s">
        <v>568</v>
      </c>
      <c r="E1129" t="s">
        <v>1928</v>
      </c>
      <c r="F1129" t="s">
        <v>6059</v>
      </c>
      <c r="G1129" s="2" t="str">
        <f>HYPERLINK("https://www.facebook.com/100010421106042/posts/579987695691929?comment_id=580093725681326")</f>
        <v>https://www.facebook.com/100010421106042/posts/579987695691929?comment_id=580093725681326</v>
      </c>
      <c r="H1129" t="s">
        <v>6062</v>
      </c>
      <c r="I1129" t="s">
        <v>1929</v>
      </c>
      <c r="J1129" s="2" t="str">
        <f>HYPERLINK("https://www.facebook.com/100001258110177")</f>
        <v>https://www.facebook.com/100001258110177</v>
      </c>
      <c r="K1129">
        <v>321</v>
      </c>
      <c r="L1129" t="s">
        <v>6063</v>
      </c>
      <c r="N1129" t="s">
        <v>13</v>
      </c>
      <c r="O1129" t="s">
        <v>571</v>
      </c>
      <c r="P1129" s="2" t="str">
        <f>HYPERLINK("https://www.facebook.com/100010421106042")</f>
        <v>https://www.facebook.com/100010421106042</v>
      </c>
      <c r="Q1129">
        <v>2614</v>
      </c>
      <c r="R1129" t="s">
        <v>6067</v>
      </c>
    </row>
    <row r="1130" spans="1:19" ht="14.25" customHeight="1" x14ac:dyDescent="0.3">
      <c r="A1130" t="s">
        <v>629</v>
      </c>
      <c r="B1130" t="s">
        <v>756</v>
      </c>
      <c r="C1130" t="s">
        <v>95</v>
      </c>
      <c r="D1130" t="s">
        <v>10</v>
      </c>
      <c r="E1130" t="s">
        <v>757</v>
      </c>
      <c r="F1130" t="s">
        <v>6059</v>
      </c>
      <c r="G1130" s="2" t="str">
        <f>HYPERLINK("https://www.facebook.com/762053551/posts/10156366210158552?comment_id=10156366956658552")</f>
        <v>https://www.facebook.com/762053551/posts/10156366210158552?comment_id=10156366956658552</v>
      </c>
      <c r="H1130" t="s">
        <v>6062</v>
      </c>
      <c r="I1130" t="s">
        <v>758</v>
      </c>
      <c r="J1130" s="2" t="str">
        <f>HYPERLINK("https://www.facebook.com/100002269550505")</f>
        <v>https://www.facebook.com/100002269550505</v>
      </c>
      <c r="K1130">
        <v>6124</v>
      </c>
      <c r="L1130" t="s">
        <v>6063</v>
      </c>
      <c r="N1130" t="s">
        <v>13</v>
      </c>
      <c r="O1130" t="s">
        <v>14</v>
      </c>
      <c r="P1130" s="2" t="str">
        <f>HYPERLINK("https://www.facebook.com/762053551")</f>
        <v>https://www.facebook.com/762053551</v>
      </c>
      <c r="Q1130">
        <v>102347</v>
      </c>
      <c r="R1130" t="s">
        <v>6067</v>
      </c>
      <c r="S1130" t="s">
        <v>6073</v>
      </c>
    </row>
    <row r="1131" spans="1:19" ht="14.25" customHeight="1" x14ac:dyDescent="0.3">
      <c r="A1131" t="s">
        <v>5409</v>
      </c>
      <c r="B1131" t="s">
        <v>5973</v>
      </c>
      <c r="C1131" t="s">
        <v>3538</v>
      </c>
      <c r="D1131" t="s">
        <v>3780</v>
      </c>
      <c r="E1131" t="s">
        <v>4672</v>
      </c>
      <c r="F1131" t="s">
        <v>6058</v>
      </c>
      <c r="G1131" s="2" t="str">
        <f>HYPERLINK("https://www.facebook.com/100004882993978/posts/861847173988041")</f>
        <v>https://www.facebook.com/100004882993978/posts/861847173988041</v>
      </c>
      <c r="H1131" t="s">
        <v>6062</v>
      </c>
      <c r="I1131" t="s">
        <v>5974</v>
      </c>
      <c r="J1131" s="2" t="str">
        <f>HYPERLINK("https://www.facebook.com/100004882993978")</f>
        <v>https://www.facebook.com/100004882993978</v>
      </c>
      <c r="K1131">
        <v>152</v>
      </c>
      <c r="L1131" t="s">
        <v>6063</v>
      </c>
      <c r="N1131" t="s">
        <v>13</v>
      </c>
      <c r="O1131" t="s">
        <v>5974</v>
      </c>
      <c r="P1131" s="2" t="str">
        <f>HYPERLINK("https://www.facebook.com/100004882993978")</f>
        <v>https://www.facebook.com/100004882993978</v>
      </c>
      <c r="Q1131">
        <v>152</v>
      </c>
      <c r="R1131" t="s">
        <v>6067</v>
      </c>
      <c r="S1131" t="s">
        <v>6073</v>
      </c>
    </row>
    <row r="1132" spans="1:19" ht="14.25" customHeight="1" x14ac:dyDescent="0.3">
      <c r="A1132" t="s">
        <v>629</v>
      </c>
      <c r="B1132" t="s">
        <v>1496</v>
      </c>
      <c r="C1132" t="s">
        <v>95</v>
      </c>
      <c r="D1132" t="s">
        <v>690</v>
      </c>
      <c r="E1132" t="s">
        <v>1498</v>
      </c>
      <c r="F1132" t="s">
        <v>6059</v>
      </c>
      <c r="G1132" s="2" t="str">
        <f>HYPERLINK("https://www.facebook.com/278105015535592/posts/1935377959808281?comment_id=1937590706253673")</f>
        <v>https://www.facebook.com/278105015535592/posts/1935377959808281?comment_id=1937590706253673</v>
      </c>
      <c r="H1132" t="s">
        <v>6062</v>
      </c>
      <c r="I1132" t="s">
        <v>1499</v>
      </c>
      <c r="J1132" s="2" t="str">
        <f>HYPERLINK("https://www.facebook.com/100001871931723")</f>
        <v>https://www.facebook.com/100001871931723</v>
      </c>
      <c r="K1132">
        <v>301</v>
      </c>
      <c r="L1132" t="s">
        <v>6063</v>
      </c>
      <c r="N1132" t="s">
        <v>13</v>
      </c>
      <c r="O1132" t="s">
        <v>996</v>
      </c>
      <c r="P1132" s="2" t="str">
        <f>HYPERLINK("https://www.facebook.com/278105015535592")</f>
        <v>https://www.facebook.com/278105015535592</v>
      </c>
      <c r="Q1132">
        <v>4845</v>
      </c>
      <c r="R1132" t="s">
        <v>6067</v>
      </c>
      <c r="S1132" t="s">
        <v>6073</v>
      </c>
    </row>
    <row r="1133" spans="1:19" ht="14.25" customHeight="1" x14ac:dyDescent="0.3">
      <c r="A1133" t="s">
        <v>629</v>
      </c>
      <c r="B1133" t="s">
        <v>279</v>
      </c>
      <c r="C1133" t="s">
        <v>95</v>
      </c>
      <c r="D1133" t="s">
        <v>690</v>
      </c>
      <c r="E1133" t="s">
        <v>1500</v>
      </c>
      <c r="F1133" t="s">
        <v>6059</v>
      </c>
      <c r="G1133" s="2" t="str">
        <f>HYPERLINK("https://www.facebook.com/278105015535592/posts/1935377959808281?comment_id=1937590366253707")</f>
        <v>https://www.facebook.com/278105015535592/posts/1935377959808281?comment_id=1937590366253707</v>
      </c>
      <c r="H1133" t="s">
        <v>6062</v>
      </c>
      <c r="I1133" t="s">
        <v>1499</v>
      </c>
      <c r="J1133" s="2" t="str">
        <f>HYPERLINK("https://www.facebook.com/100001871931723")</f>
        <v>https://www.facebook.com/100001871931723</v>
      </c>
      <c r="K1133">
        <v>301</v>
      </c>
      <c r="L1133" t="s">
        <v>6063</v>
      </c>
      <c r="N1133" t="s">
        <v>13</v>
      </c>
      <c r="O1133" t="s">
        <v>996</v>
      </c>
      <c r="P1133" s="2" t="str">
        <f>HYPERLINK("https://www.facebook.com/278105015535592")</f>
        <v>https://www.facebook.com/278105015535592</v>
      </c>
      <c r="Q1133">
        <v>4845</v>
      </c>
      <c r="R1133" t="s">
        <v>6067</v>
      </c>
      <c r="S1133" t="s">
        <v>6073</v>
      </c>
    </row>
    <row r="1134" spans="1:19" ht="14.25" customHeight="1" x14ac:dyDescent="0.3">
      <c r="A1134" t="s">
        <v>629</v>
      </c>
      <c r="B1134" t="s">
        <v>2092</v>
      </c>
      <c r="C1134" t="s">
        <v>95</v>
      </c>
      <c r="D1134" t="s">
        <v>568</v>
      </c>
      <c r="E1134" t="s">
        <v>2093</v>
      </c>
      <c r="F1134" t="s">
        <v>6059</v>
      </c>
      <c r="G1134" s="2" t="str">
        <f>HYPERLINK("https://www.facebook.com/100010421106042/posts/579987695691929?comment_id=580008129023219")</f>
        <v>https://www.facebook.com/100010421106042/posts/579987695691929?comment_id=580008129023219</v>
      </c>
      <c r="H1134" t="s">
        <v>6062</v>
      </c>
      <c r="I1134" t="s">
        <v>2094</v>
      </c>
      <c r="J1134" s="2" t="str">
        <f>HYPERLINK("https://www.facebook.com/100000155340552")</f>
        <v>https://www.facebook.com/100000155340552</v>
      </c>
      <c r="K1134">
        <v>2004</v>
      </c>
      <c r="L1134" t="s">
        <v>6063</v>
      </c>
      <c r="N1134" t="s">
        <v>13</v>
      </c>
      <c r="O1134" t="s">
        <v>571</v>
      </c>
      <c r="P1134" s="2" t="str">
        <f>HYPERLINK("https://www.facebook.com/100010421106042")</f>
        <v>https://www.facebook.com/100010421106042</v>
      </c>
      <c r="Q1134">
        <v>2614</v>
      </c>
      <c r="R1134" t="s">
        <v>6067</v>
      </c>
      <c r="S1134" t="s">
        <v>6073</v>
      </c>
    </row>
    <row r="1135" spans="1:19" ht="14.25" customHeight="1" x14ac:dyDescent="0.3">
      <c r="A1135" t="s">
        <v>629</v>
      </c>
      <c r="B1135" t="s">
        <v>1624</v>
      </c>
      <c r="C1135" t="s">
        <v>95</v>
      </c>
      <c r="D1135" t="s">
        <v>370</v>
      </c>
      <c r="E1135" t="s">
        <v>371</v>
      </c>
      <c r="F1135" t="s">
        <v>6058</v>
      </c>
      <c r="G1135" s="2" t="str">
        <f>HYPERLINK("https://www.facebook.com/100004970768057/posts/1034855150023501")</f>
        <v>https://www.facebook.com/100004970768057/posts/1034855150023501</v>
      </c>
      <c r="H1135" t="s">
        <v>6062</v>
      </c>
      <c r="I1135" t="s">
        <v>1625</v>
      </c>
      <c r="J1135" s="2" t="str">
        <f>HYPERLINK("https://www.facebook.com/100004970768057")</f>
        <v>https://www.facebook.com/100004970768057</v>
      </c>
      <c r="K1135">
        <v>0</v>
      </c>
      <c r="L1135" t="s">
        <v>6063</v>
      </c>
      <c r="N1135" t="s">
        <v>13</v>
      </c>
      <c r="O1135" t="s">
        <v>1625</v>
      </c>
      <c r="P1135" s="2" t="str">
        <f>HYPERLINK("https://www.facebook.com/100004970768057")</f>
        <v>https://www.facebook.com/100004970768057</v>
      </c>
      <c r="Q1135">
        <v>0</v>
      </c>
      <c r="R1135" t="s">
        <v>6067</v>
      </c>
    </row>
    <row r="1136" spans="1:19" ht="14.25" customHeight="1" x14ac:dyDescent="0.3">
      <c r="A1136" t="s">
        <v>4439</v>
      </c>
      <c r="B1136" t="s">
        <v>716</v>
      </c>
      <c r="C1136" t="s">
        <v>3538</v>
      </c>
      <c r="D1136" t="s">
        <v>4171</v>
      </c>
      <c r="E1136" t="s">
        <v>4172</v>
      </c>
      <c r="F1136" t="s">
        <v>6058</v>
      </c>
      <c r="G1136" s="2" t="str">
        <f>HYPERLINK("https://www.facebook.com/100004562043000/posts/935982043230522")</f>
        <v>https://www.facebook.com/100004562043000/posts/935982043230522</v>
      </c>
      <c r="H1136" t="s">
        <v>6062</v>
      </c>
      <c r="I1136" t="s">
        <v>4476</v>
      </c>
      <c r="J1136" s="2" t="str">
        <f>HYPERLINK("https://www.facebook.com/100004562043000")</f>
        <v>https://www.facebook.com/100004562043000</v>
      </c>
      <c r="K1136">
        <v>2002</v>
      </c>
      <c r="L1136" t="s">
        <v>6063</v>
      </c>
      <c r="N1136" t="s">
        <v>13</v>
      </c>
      <c r="O1136" t="s">
        <v>4476</v>
      </c>
      <c r="P1136" s="2" t="str">
        <f>HYPERLINK("https://www.facebook.com/100004562043000")</f>
        <v>https://www.facebook.com/100004562043000</v>
      </c>
      <c r="Q1136">
        <v>2002</v>
      </c>
      <c r="R1136" t="s">
        <v>6067</v>
      </c>
      <c r="S1136" t="s">
        <v>6073</v>
      </c>
    </row>
    <row r="1137" spans="1:19" ht="14.25" customHeight="1" x14ac:dyDescent="0.3">
      <c r="A1137" t="s">
        <v>629</v>
      </c>
      <c r="B1137" t="s">
        <v>1732</v>
      </c>
      <c r="C1137" t="s">
        <v>95</v>
      </c>
      <c r="D1137" t="s">
        <v>370</v>
      </c>
      <c r="E1137" t="s">
        <v>371</v>
      </c>
      <c r="F1137" t="s">
        <v>6058</v>
      </c>
      <c r="G1137" s="2" t="str">
        <f>HYPERLINK("https://www.facebook.com/100004888590801/posts/864979903674955")</f>
        <v>https://www.facebook.com/100004888590801/posts/864979903674955</v>
      </c>
      <c r="H1137" t="s">
        <v>6062</v>
      </c>
      <c r="I1137" t="s">
        <v>1739</v>
      </c>
      <c r="J1137" s="2" t="str">
        <f>HYPERLINK("https://www.facebook.com/100004888590801")</f>
        <v>https://www.facebook.com/100004888590801</v>
      </c>
      <c r="K1137">
        <v>536</v>
      </c>
      <c r="L1137" t="s">
        <v>6063</v>
      </c>
      <c r="N1137" t="s">
        <v>13</v>
      </c>
      <c r="O1137" t="s">
        <v>1739</v>
      </c>
      <c r="P1137" s="2" t="str">
        <f>HYPERLINK("https://www.facebook.com/100004888590801")</f>
        <v>https://www.facebook.com/100004888590801</v>
      </c>
      <c r="Q1137">
        <v>536</v>
      </c>
      <c r="R1137" t="s">
        <v>6067</v>
      </c>
      <c r="S1137" t="s">
        <v>6073</v>
      </c>
    </row>
    <row r="1138" spans="1:19" ht="14.25" customHeight="1" x14ac:dyDescent="0.3">
      <c r="A1138" t="s">
        <v>629</v>
      </c>
      <c r="B1138" t="s">
        <v>918</v>
      </c>
      <c r="C1138" t="s">
        <v>95</v>
      </c>
      <c r="D1138" t="s">
        <v>10</v>
      </c>
      <c r="E1138" t="s">
        <v>919</v>
      </c>
      <c r="F1138" t="s">
        <v>6059</v>
      </c>
      <c r="G1138" s="2" t="str">
        <f>HYPERLINK("https://www.facebook.com/762053551/posts/10156366210158552?comment_id=10156366578913552")</f>
        <v>https://www.facebook.com/762053551/posts/10156366210158552?comment_id=10156366578913552</v>
      </c>
      <c r="H1138" t="s">
        <v>6062</v>
      </c>
      <c r="I1138" t="s">
        <v>920</v>
      </c>
      <c r="J1138" s="2" t="str">
        <f>HYPERLINK("https://www.facebook.com/100001082268402")</f>
        <v>https://www.facebook.com/100001082268402</v>
      </c>
      <c r="K1138">
        <v>219</v>
      </c>
      <c r="L1138" t="s">
        <v>6063</v>
      </c>
      <c r="N1138" t="s">
        <v>13</v>
      </c>
      <c r="O1138" t="s">
        <v>14</v>
      </c>
      <c r="P1138" s="2" t="str">
        <f>HYPERLINK("https://www.facebook.com/762053551")</f>
        <v>https://www.facebook.com/762053551</v>
      </c>
      <c r="Q1138">
        <v>102347</v>
      </c>
      <c r="R1138" t="s">
        <v>6067</v>
      </c>
      <c r="S1138" t="s">
        <v>6073</v>
      </c>
    </row>
    <row r="1139" spans="1:19" ht="14.25" customHeight="1" x14ac:dyDescent="0.3">
      <c r="A1139" t="s">
        <v>629</v>
      </c>
      <c r="B1139" t="s">
        <v>1070</v>
      </c>
      <c r="C1139" t="s">
        <v>95</v>
      </c>
      <c r="D1139" t="s">
        <v>10</v>
      </c>
      <c r="E1139" t="s">
        <v>1071</v>
      </c>
      <c r="F1139" t="s">
        <v>6059</v>
      </c>
      <c r="G1139" s="2" t="str">
        <f>HYPERLINK("https://www.facebook.com/762053551/posts/10156366210158552?comment_id=10156366350808552")</f>
        <v>https://www.facebook.com/762053551/posts/10156366210158552?comment_id=10156366350808552</v>
      </c>
      <c r="H1139" t="s">
        <v>6062</v>
      </c>
      <c r="I1139" t="s">
        <v>920</v>
      </c>
      <c r="J1139" s="2" t="str">
        <f>HYPERLINK("https://www.facebook.com/100001082268402")</f>
        <v>https://www.facebook.com/100001082268402</v>
      </c>
      <c r="K1139">
        <v>219</v>
      </c>
      <c r="L1139" t="s">
        <v>6063</v>
      </c>
      <c r="N1139" t="s">
        <v>13</v>
      </c>
      <c r="O1139" t="s">
        <v>14</v>
      </c>
      <c r="P1139" s="2" t="str">
        <f>HYPERLINK("https://www.facebook.com/762053551")</f>
        <v>https://www.facebook.com/762053551</v>
      </c>
      <c r="Q1139">
        <v>102347</v>
      </c>
      <c r="R1139" t="s">
        <v>6067</v>
      </c>
      <c r="S1139" t="s">
        <v>6073</v>
      </c>
    </row>
    <row r="1140" spans="1:19" ht="14.25" customHeight="1" x14ac:dyDescent="0.3">
      <c r="A1140" t="s">
        <v>629</v>
      </c>
      <c r="B1140" t="s">
        <v>1151</v>
      </c>
      <c r="C1140" t="s">
        <v>95</v>
      </c>
      <c r="D1140" t="s">
        <v>10</v>
      </c>
      <c r="E1140" t="s">
        <v>1154</v>
      </c>
      <c r="F1140" t="s">
        <v>6059</v>
      </c>
      <c r="G1140" s="2" t="str">
        <f>HYPERLINK("https://www.facebook.com/762053551/posts/10156366210158552?comment_id=10156366279758552")</f>
        <v>https://www.facebook.com/762053551/posts/10156366210158552?comment_id=10156366279758552</v>
      </c>
      <c r="H1140" t="s">
        <v>6062</v>
      </c>
      <c r="I1140" t="s">
        <v>920</v>
      </c>
      <c r="J1140" s="2" t="str">
        <f>HYPERLINK("https://www.facebook.com/100001082268402")</f>
        <v>https://www.facebook.com/100001082268402</v>
      </c>
      <c r="K1140">
        <v>219</v>
      </c>
      <c r="L1140" t="s">
        <v>6063</v>
      </c>
      <c r="N1140" t="s">
        <v>13</v>
      </c>
      <c r="O1140" t="s">
        <v>14</v>
      </c>
      <c r="P1140" s="2" t="str">
        <f>HYPERLINK("https://www.facebook.com/762053551")</f>
        <v>https://www.facebook.com/762053551</v>
      </c>
      <c r="Q1140">
        <v>102347</v>
      </c>
      <c r="R1140" t="s">
        <v>6067</v>
      </c>
      <c r="S1140" t="s">
        <v>6073</v>
      </c>
    </row>
    <row r="1141" spans="1:19" ht="14.25" customHeight="1" x14ac:dyDescent="0.3">
      <c r="A1141" t="s">
        <v>629</v>
      </c>
      <c r="B1141" t="s">
        <v>1122</v>
      </c>
      <c r="C1141" t="s">
        <v>95</v>
      </c>
      <c r="D1141" t="s">
        <v>10</v>
      </c>
      <c r="E1141" t="s">
        <v>1123</v>
      </c>
      <c r="F1141" t="s">
        <v>6059</v>
      </c>
      <c r="G1141" s="2" t="str">
        <f>HYPERLINK("https://www.facebook.com/762053551/posts/10156366210158552?comment_id=10156366302103552")</f>
        <v>https://www.facebook.com/762053551/posts/10156366210158552?comment_id=10156366302103552</v>
      </c>
      <c r="H1141" t="s">
        <v>6062</v>
      </c>
      <c r="I1141" t="s">
        <v>920</v>
      </c>
      <c r="J1141" s="2" t="str">
        <f>HYPERLINK("https://www.facebook.com/100001082268402")</f>
        <v>https://www.facebook.com/100001082268402</v>
      </c>
      <c r="K1141">
        <v>219</v>
      </c>
      <c r="L1141" t="s">
        <v>6063</v>
      </c>
      <c r="N1141" t="s">
        <v>13</v>
      </c>
      <c r="O1141" t="s">
        <v>14</v>
      </c>
      <c r="P1141" s="2" t="str">
        <f>HYPERLINK("https://www.facebook.com/762053551")</f>
        <v>https://www.facebook.com/762053551</v>
      </c>
      <c r="Q1141">
        <v>102347</v>
      </c>
      <c r="R1141" t="s">
        <v>6067</v>
      </c>
      <c r="S1141" t="s">
        <v>6073</v>
      </c>
    </row>
    <row r="1142" spans="1:19" ht="14.25" customHeight="1" x14ac:dyDescent="0.3">
      <c r="A1142" t="s">
        <v>629</v>
      </c>
      <c r="B1142" t="s">
        <v>1017</v>
      </c>
      <c r="C1142" t="s">
        <v>95</v>
      </c>
      <c r="D1142" t="s">
        <v>10</v>
      </c>
      <c r="E1142" t="s">
        <v>1019</v>
      </c>
      <c r="F1142" t="s">
        <v>6059</v>
      </c>
      <c r="G1142" s="2" t="str">
        <f>HYPERLINK("https://www.facebook.com/762053551/posts/10156366210158552?comment_id=10156366389998552")</f>
        <v>https://www.facebook.com/762053551/posts/10156366210158552?comment_id=10156366389998552</v>
      </c>
      <c r="H1142" t="s">
        <v>6062</v>
      </c>
      <c r="I1142" t="s">
        <v>920</v>
      </c>
      <c r="J1142" s="2" t="str">
        <f>HYPERLINK("https://www.facebook.com/100001082268402")</f>
        <v>https://www.facebook.com/100001082268402</v>
      </c>
      <c r="K1142">
        <v>219</v>
      </c>
      <c r="L1142" t="s">
        <v>6063</v>
      </c>
      <c r="N1142" t="s">
        <v>13</v>
      </c>
      <c r="O1142" t="s">
        <v>14</v>
      </c>
      <c r="P1142" s="2" t="str">
        <f>HYPERLINK("https://www.facebook.com/762053551")</f>
        <v>https://www.facebook.com/762053551</v>
      </c>
      <c r="Q1142">
        <v>102347</v>
      </c>
      <c r="R1142" t="s">
        <v>6067</v>
      </c>
      <c r="S1142" t="s">
        <v>6073</v>
      </c>
    </row>
    <row r="1143" spans="1:19" ht="14.25" customHeight="1" x14ac:dyDescent="0.3">
      <c r="A1143" t="s">
        <v>2225</v>
      </c>
      <c r="B1143" t="s">
        <v>2547</v>
      </c>
      <c r="C1143" t="s">
        <v>95</v>
      </c>
      <c r="D1143" t="s">
        <v>544</v>
      </c>
      <c r="E1143" t="s">
        <v>545</v>
      </c>
      <c r="F1143" t="s">
        <v>6058</v>
      </c>
      <c r="G1143" s="2" t="str">
        <f>HYPERLINK("https://www.facebook.com/100004347850492/posts/969547899866796")</f>
        <v>https://www.facebook.com/100004347850492/posts/969547899866796</v>
      </c>
      <c r="H1143" t="s">
        <v>6062</v>
      </c>
      <c r="I1143" t="s">
        <v>2551</v>
      </c>
      <c r="J1143" s="2" t="str">
        <f>HYPERLINK("https://www.facebook.com/100004347850492")</f>
        <v>https://www.facebook.com/100004347850492</v>
      </c>
      <c r="K1143">
        <v>217</v>
      </c>
      <c r="L1143" t="s">
        <v>6063</v>
      </c>
      <c r="N1143" t="s">
        <v>13</v>
      </c>
      <c r="O1143" t="s">
        <v>2551</v>
      </c>
      <c r="P1143" s="2" t="str">
        <f>HYPERLINK("https://www.facebook.com/100004347850492")</f>
        <v>https://www.facebook.com/100004347850492</v>
      </c>
      <c r="Q1143">
        <v>217</v>
      </c>
      <c r="R1143" t="s">
        <v>6067</v>
      </c>
      <c r="S1143" t="s">
        <v>6073</v>
      </c>
    </row>
    <row r="1144" spans="1:19" ht="14.25" customHeight="1" x14ac:dyDescent="0.3">
      <c r="A1144" t="s">
        <v>2225</v>
      </c>
      <c r="B1144" t="s">
        <v>2696</v>
      </c>
      <c r="C1144" t="s">
        <v>95</v>
      </c>
      <c r="D1144" t="s">
        <v>2699</v>
      </c>
      <c r="E1144" t="s">
        <v>2700</v>
      </c>
      <c r="F1144" t="s">
        <v>6057</v>
      </c>
      <c r="G1144" s="2" t="str">
        <f>HYPERLINK("https://www.facebook.com/100003099164456/posts/1674740022639287")</f>
        <v>https://www.facebook.com/100003099164456/posts/1674740022639287</v>
      </c>
      <c r="H1144" t="s">
        <v>6062</v>
      </c>
      <c r="I1144" t="s">
        <v>2701</v>
      </c>
      <c r="J1144" s="2" t="str">
        <f>HYPERLINK("https://www.facebook.com/100003099164456")</f>
        <v>https://www.facebook.com/100003099164456</v>
      </c>
      <c r="K1144">
        <v>2885</v>
      </c>
      <c r="L1144" t="s">
        <v>6063</v>
      </c>
      <c r="N1144" t="s">
        <v>13</v>
      </c>
      <c r="O1144" t="s">
        <v>2701</v>
      </c>
      <c r="P1144" s="2" t="str">
        <f>HYPERLINK("https://www.facebook.com/100003099164456")</f>
        <v>https://www.facebook.com/100003099164456</v>
      </c>
      <c r="Q1144">
        <v>2885</v>
      </c>
      <c r="R1144" t="s">
        <v>6067</v>
      </c>
    </row>
    <row r="1145" spans="1:19" ht="14.25" customHeight="1" x14ac:dyDescent="0.3">
      <c r="A1145" t="s">
        <v>2225</v>
      </c>
      <c r="B1145" t="s">
        <v>664</v>
      </c>
      <c r="C1145" t="s">
        <v>95</v>
      </c>
      <c r="D1145" t="s">
        <v>544</v>
      </c>
      <c r="E1145" t="s">
        <v>545</v>
      </c>
      <c r="F1145" t="s">
        <v>6058</v>
      </c>
      <c r="G1145" s="2" t="str">
        <f>HYPERLINK("https://www.facebook.com/100007459536265/posts/2046354808956484")</f>
        <v>https://www.facebook.com/100007459536265/posts/2046354808956484</v>
      </c>
      <c r="H1145" t="s">
        <v>6062</v>
      </c>
      <c r="I1145" t="s">
        <v>2274</v>
      </c>
      <c r="J1145" s="2" t="str">
        <f>HYPERLINK("https://www.facebook.com/100007459536265")</f>
        <v>https://www.facebook.com/100007459536265</v>
      </c>
      <c r="K1145">
        <v>62</v>
      </c>
      <c r="L1145" t="s">
        <v>6063</v>
      </c>
      <c r="N1145" t="s">
        <v>13</v>
      </c>
      <c r="O1145" t="s">
        <v>2274</v>
      </c>
      <c r="P1145" s="2" t="str">
        <f>HYPERLINK("https://www.facebook.com/100007459536265")</f>
        <v>https://www.facebook.com/100007459536265</v>
      </c>
      <c r="Q1145">
        <v>62</v>
      </c>
      <c r="R1145" t="s">
        <v>6067</v>
      </c>
      <c r="S1145" t="s">
        <v>6073</v>
      </c>
    </row>
    <row r="1146" spans="1:19" ht="14.25" customHeight="1" x14ac:dyDescent="0.3">
      <c r="A1146" t="s">
        <v>2225</v>
      </c>
      <c r="B1146" t="s">
        <v>736</v>
      </c>
      <c r="C1146" t="s">
        <v>95</v>
      </c>
      <c r="D1146" t="s">
        <v>2585</v>
      </c>
      <c r="E1146" t="s">
        <v>2586</v>
      </c>
      <c r="F1146" t="s">
        <v>6057</v>
      </c>
      <c r="G1146" s="2" t="str">
        <f>HYPERLINK("https://www.facebook.com/100008039161154/posts/2060508980893721")</f>
        <v>https://www.facebook.com/100008039161154/posts/2060508980893721</v>
      </c>
      <c r="H1146" t="s">
        <v>6062</v>
      </c>
      <c r="I1146" t="s">
        <v>2587</v>
      </c>
      <c r="J1146" s="2" t="str">
        <f>HYPERLINK("https://www.facebook.com/100008039161154")</f>
        <v>https://www.facebook.com/100008039161154</v>
      </c>
      <c r="K1146">
        <v>156</v>
      </c>
      <c r="L1146" t="s">
        <v>6064</v>
      </c>
      <c r="N1146" t="s">
        <v>13</v>
      </c>
      <c r="O1146" t="s">
        <v>2587</v>
      </c>
      <c r="P1146" s="2" t="str">
        <f>HYPERLINK("https://www.facebook.com/100008039161154")</f>
        <v>https://www.facebook.com/100008039161154</v>
      </c>
      <c r="Q1146">
        <v>156</v>
      </c>
      <c r="R1146" t="s">
        <v>6067</v>
      </c>
      <c r="S1146" t="s">
        <v>6073</v>
      </c>
    </row>
    <row r="1147" spans="1:19" ht="14.25" customHeight="1" x14ac:dyDescent="0.3">
      <c r="A1147" t="s">
        <v>2225</v>
      </c>
      <c r="B1147" t="s">
        <v>764</v>
      </c>
      <c r="C1147" t="s">
        <v>95</v>
      </c>
      <c r="D1147" t="s">
        <v>544</v>
      </c>
      <c r="E1147" t="s">
        <v>545</v>
      </c>
      <c r="F1147" t="s">
        <v>6058</v>
      </c>
      <c r="G1147" s="2" t="str">
        <f>HYPERLINK("https://www.facebook.com/100002834653940/posts/1511275925643548")</f>
        <v>https://www.facebook.com/100002834653940/posts/1511275925643548</v>
      </c>
      <c r="H1147" t="s">
        <v>6062</v>
      </c>
      <c r="I1147" t="s">
        <v>2875</v>
      </c>
      <c r="J1147" s="2" t="str">
        <f>HYPERLINK("https://www.facebook.com/100002834653940")</f>
        <v>https://www.facebook.com/100002834653940</v>
      </c>
      <c r="K1147">
        <v>1000</v>
      </c>
      <c r="L1147" t="s">
        <v>6063</v>
      </c>
      <c r="N1147" t="s">
        <v>13</v>
      </c>
      <c r="O1147" t="s">
        <v>2875</v>
      </c>
      <c r="P1147" s="2" t="str">
        <f>HYPERLINK("https://www.facebook.com/100002834653940")</f>
        <v>https://www.facebook.com/100002834653940</v>
      </c>
      <c r="Q1147">
        <v>1000</v>
      </c>
      <c r="R1147" t="s">
        <v>6067</v>
      </c>
      <c r="S1147" t="s">
        <v>6073</v>
      </c>
    </row>
    <row r="1148" spans="1:19" ht="14.25" customHeight="1" x14ac:dyDescent="0.3">
      <c r="A1148" t="s">
        <v>629</v>
      </c>
      <c r="B1148" t="s">
        <v>1195</v>
      </c>
      <c r="C1148" t="s">
        <v>95</v>
      </c>
      <c r="D1148" t="s">
        <v>10</v>
      </c>
      <c r="E1148" t="s">
        <v>1202</v>
      </c>
      <c r="F1148" t="s">
        <v>6059</v>
      </c>
      <c r="G1148" s="2" t="str">
        <f>HYPERLINK("https://www.facebook.com/762053551/posts/10156366210158552?comment_id=10156366253168552")</f>
        <v>https://www.facebook.com/762053551/posts/10156366210158552?comment_id=10156366253168552</v>
      </c>
      <c r="H1148" t="s">
        <v>6062</v>
      </c>
      <c r="I1148" t="s">
        <v>1194</v>
      </c>
      <c r="J1148" s="2" t="str">
        <f>HYPERLINK("https://www.facebook.com/702886820")</f>
        <v>https://www.facebook.com/702886820</v>
      </c>
      <c r="K1148">
        <v>530</v>
      </c>
      <c r="L1148" t="s">
        <v>6063</v>
      </c>
      <c r="N1148" t="s">
        <v>13</v>
      </c>
      <c r="O1148" t="s">
        <v>14</v>
      </c>
      <c r="P1148" s="2" t="str">
        <f>HYPERLINK("https://www.facebook.com/762053551")</f>
        <v>https://www.facebook.com/762053551</v>
      </c>
      <c r="Q1148">
        <v>102347</v>
      </c>
      <c r="R1148" t="s">
        <v>6067</v>
      </c>
      <c r="S1148" t="s">
        <v>6073</v>
      </c>
    </row>
    <row r="1149" spans="1:19" ht="14.25" customHeight="1" x14ac:dyDescent="0.3">
      <c r="A1149" t="s">
        <v>629</v>
      </c>
      <c r="B1149" t="s">
        <v>1192</v>
      </c>
      <c r="C1149" t="s">
        <v>95</v>
      </c>
      <c r="D1149" t="s">
        <v>10</v>
      </c>
      <c r="E1149" t="s">
        <v>1193</v>
      </c>
      <c r="F1149" t="s">
        <v>6059</v>
      </c>
      <c r="G1149" s="2" t="str">
        <f>HYPERLINK("https://www.facebook.com/762053551/posts/10156366210158552?comment_id=10156366254353552")</f>
        <v>https://www.facebook.com/762053551/posts/10156366210158552?comment_id=10156366254353552</v>
      </c>
      <c r="H1149" t="s">
        <v>6062</v>
      </c>
      <c r="I1149" t="s">
        <v>1194</v>
      </c>
      <c r="J1149" s="2" t="str">
        <f>HYPERLINK("https://www.facebook.com/702886820")</f>
        <v>https://www.facebook.com/702886820</v>
      </c>
      <c r="K1149">
        <v>530</v>
      </c>
      <c r="L1149" t="s">
        <v>6063</v>
      </c>
      <c r="N1149" t="s">
        <v>13</v>
      </c>
      <c r="O1149" t="s">
        <v>14</v>
      </c>
      <c r="P1149" s="2" t="str">
        <f>HYPERLINK("https://www.facebook.com/762053551")</f>
        <v>https://www.facebook.com/762053551</v>
      </c>
      <c r="Q1149">
        <v>102347</v>
      </c>
      <c r="R1149" t="s">
        <v>6067</v>
      </c>
      <c r="S1149" t="s">
        <v>6073</v>
      </c>
    </row>
    <row r="1150" spans="1:19" ht="14.25" customHeight="1" x14ac:dyDescent="0.3">
      <c r="A1150" t="s">
        <v>629</v>
      </c>
      <c r="B1150" t="s">
        <v>864</v>
      </c>
      <c r="C1150" t="s">
        <v>95</v>
      </c>
      <c r="D1150" t="s">
        <v>667</v>
      </c>
      <c r="E1150" t="s">
        <v>668</v>
      </c>
      <c r="F1150" t="s">
        <v>6058</v>
      </c>
      <c r="G1150" s="2" t="str">
        <f>HYPERLINK("https://www.facebook.com/100021945129036/posts/228996034508566")</f>
        <v>https://www.facebook.com/100021945129036/posts/228996034508566</v>
      </c>
      <c r="H1150" t="s">
        <v>6062</v>
      </c>
      <c r="I1150" t="s">
        <v>865</v>
      </c>
      <c r="J1150" s="2" t="str">
        <f>HYPERLINK("https://www.facebook.com/100021945129036")</f>
        <v>https://www.facebook.com/100021945129036</v>
      </c>
      <c r="K1150">
        <v>0</v>
      </c>
      <c r="L1150" t="s">
        <v>6063</v>
      </c>
      <c r="N1150" t="s">
        <v>13</v>
      </c>
      <c r="O1150" t="s">
        <v>865</v>
      </c>
      <c r="P1150" s="2" t="str">
        <f>HYPERLINK("https://www.facebook.com/100021945129036")</f>
        <v>https://www.facebook.com/100021945129036</v>
      </c>
      <c r="Q1150">
        <v>0</v>
      </c>
      <c r="R1150" t="s">
        <v>6067</v>
      </c>
      <c r="S1150" t="s">
        <v>6073</v>
      </c>
    </row>
    <row r="1151" spans="1:19" ht="14.25" customHeight="1" x14ac:dyDescent="0.3">
      <c r="A1151" t="s">
        <v>629</v>
      </c>
      <c r="B1151" t="s">
        <v>1393</v>
      </c>
      <c r="C1151" t="s">
        <v>95</v>
      </c>
      <c r="D1151" t="s">
        <v>370</v>
      </c>
      <c r="E1151" t="s">
        <v>371</v>
      </c>
      <c r="F1151" t="s">
        <v>6058</v>
      </c>
      <c r="G1151" s="2" t="str">
        <f>HYPERLINK("https://www.facebook.com/100008271998648/posts/2052670581685322")</f>
        <v>https://www.facebook.com/100008271998648/posts/2052670581685322</v>
      </c>
      <c r="H1151" t="s">
        <v>6062</v>
      </c>
      <c r="I1151" t="s">
        <v>1395</v>
      </c>
      <c r="J1151" s="2" t="str">
        <f>HYPERLINK("https://www.facebook.com/100008271998648")</f>
        <v>https://www.facebook.com/100008271998648</v>
      </c>
      <c r="K1151">
        <v>3077</v>
      </c>
      <c r="L1151" t="s">
        <v>6063</v>
      </c>
      <c r="N1151" t="s">
        <v>13</v>
      </c>
      <c r="O1151" t="s">
        <v>1395</v>
      </c>
      <c r="P1151" s="2" t="str">
        <f>HYPERLINK("https://www.facebook.com/100008271998648")</f>
        <v>https://www.facebook.com/100008271998648</v>
      </c>
      <c r="Q1151">
        <v>3077</v>
      </c>
      <c r="R1151" t="s">
        <v>6067</v>
      </c>
      <c r="S1151" t="s">
        <v>6073</v>
      </c>
    </row>
    <row r="1152" spans="1:19" ht="14.25" customHeight="1" x14ac:dyDescent="0.3">
      <c r="A1152" t="s">
        <v>629</v>
      </c>
      <c r="B1152" t="s">
        <v>1915</v>
      </c>
      <c r="C1152" t="s">
        <v>95</v>
      </c>
      <c r="D1152" t="s">
        <v>370</v>
      </c>
      <c r="E1152" t="s">
        <v>371</v>
      </c>
      <c r="F1152" t="s">
        <v>6058</v>
      </c>
      <c r="G1152" s="2" t="str">
        <f>HYPERLINK("https://www.facebook.com/100000392934142/posts/1788049777884769")</f>
        <v>https://www.facebook.com/100000392934142/posts/1788049777884769</v>
      </c>
      <c r="H1152" t="s">
        <v>6062</v>
      </c>
      <c r="I1152" t="s">
        <v>1916</v>
      </c>
      <c r="J1152" s="2" t="str">
        <f>HYPERLINK("https://www.facebook.com/100000392934142")</f>
        <v>https://www.facebook.com/100000392934142</v>
      </c>
      <c r="K1152">
        <v>174</v>
      </c>
      <c r="L1152" t="s">
        <v>6063</v>
      </c>
      <c r="N1152" t="s">
        <v>13</v>
      </c>
      <c r="O1152" t="s">
        <v>1916</v>
      </c>
      <c r="P1152" s="2" t="str">
        <f>HYPERLINK("https://www.facebook.com/100000392934142")</f>
        <v>https://www.facebook.com/100000392934142</v>
      </c>
      <c r="Q1152">
        <v>174</v>
      </c>
      <c r="R1152" t="s">
        <v>6067</v>
      </c>
    </row>
    <row r="1153" spans="1:19" ht="14.25" customHeight="1" x14ac:dyDescent="0.3">
      <c r="A1153" t="s">
        <v>2225</v>
      </c>
      <c r="B1153" t="s">
        <v>2847</v>
      </c>
      <c r="C1153" t="s">
        <v>95</v>
      </c>
      <c r="D1153" t="s">
        <v>544</v>
      </c>
      <c r="E1153" t="s">
        <v>545</v>
      </c>
      <c r="F1153" t="s">
        <v>6058</v>
      </c>
      <c r="G1153" s="2" t="str">
        <f>HYPERLINK("https://www.facebook.com/100004583130499/posts/985599158269513")</f>
        <v>https://www.facebook.com/100004583130499/posts/985599158269513</v>
      </c>
      <c r="H1153" t="s">
        <v>6062</v>
      </c>
      <c r="I1153" t="s">
        <v>1960</v>
      </c>
      <c r="J1153" s="2" t="str">
        <f>HYPERLINK("https://www.facebook.com/100004583130499")</f>
        <v>https://www.facebook.com/100004583130499</v>
      </c>
      <c r="K1153">
        <v>101</v>
      </c>
      <c r="L1153" t="s">
        <v>6063</v>
      </c>
      <c r="N1153" t="s">
        <v>13</v>
      </c>
      <c r="O1153" t="s">
        <v>1960</v>
      </c>
      <c r="P1153" s="2" t="str">
        <f>HYPERLINK("https://www.facebook.com/100004583130499")</f>
        <v>https://www.facebook.com/100004583130499</v>
      </c>
      <c r="Q1153">
        <v>101</v>
      </c>
      <c r="R1153" t="s">
        <v>6067</v>
      </c>
      <c r="S1153" t="s">
        <v>6073</v>
      </c>
    </row>
    <row r="1154" spans="1:19" ht="14.25" customHeight="1" x14ac:dyDescent="0.3">
      <c r="A1154" t="s">
        <v>629</v>
      </c>
      <c r="B1154" t="s">
        <v>461</v>
      </c>
      <c r="C1154" t="s">
        <v>95</v>
      </c>
      <c r="D1154" t="s">
        <v>370</v>
      </c>
      <c r="E1154" t="s">
        <v>371</v>
      </c>
      <c r="F1154" t="s">
        <v>6058</v>
      </c>
      <c r="G1154" s="2" t="str">
        <f>HYPERLINK("https://www.facebook.com/100004583130499/posts/985834608245968")</f>
        <v>https://www.facebook.com/100004583130499/posts/985834608245968</v>
      </c>
      <c r="H1154" t="s">
        <v>6062</v>
      </c>
      <c r="I1154" t="s">
        <v>1960</v>
      </c>
      <c r="J1154" s="2" t="str">
        <f>HYPERLINK("https://www.facebook.com/100004583130499")</f>
        <v>https://www.facebook.com/100004583130499</v>
      </c>
      <c r="K1154">
        <v>101</v>
      </c>
      <c r="L1154" t="s">
        <v>6063</v>
      </c>
      <c r="N1154" t="s">
        <v>13</v>
      </c>
      <c r="O1154" t="s">
        <v>1960</v>
      </c>
      <c r="P1154" s="2" t="str">
        <f>HYPERLINK("https://www.facebook.com/100004583130499")</f>
        <v>https://www.facebook.com/100004583130499</v>
      </c>
      <c r="Q1154">
        <v>101</v>
      </c>
      <c r="R1154" t="s">
        <v>6067</v>
      </c>
      <c r="S1154" t="s">
        <v>6073</v>
      </c>
    </row>
    <row r="1155" spans="1:19" ht="14.25" customHeight="1" x14ac:dyDescent="0.3">
      <c r="A1155" t="s">
        <v>2225</v>
      </c>
      <c r="B1155" t="s">
        <v>1808</v>
      </c>
      <c r="C1155" t="s">
        <v>95</v>
      </c>
      <c r="D1155" t="s">
        <v>3430</v>
      </c>
      <c r="E1155" t="s">
        <v>3431</v>
      </c>
      <c r="F1155" t="s">
        <v>6056</v>
      </c>
      <c r="G1155" s="2" t="str">
        <f>HYPERLINK("https://www.facebook.com/100017458217400/posts/212227839369155")</f>
        <v>https://www.facebook.com/100017458217400/posts/212227839369155</v>
      </c>
      <c r="H1155" t="s">
        <v>6062</v>
      </c>
      <c r="I1155" t="s">
        <v>3432</v>
      </c>
      <c r="J1155" s="2" t="str">
        <f>HYPERLINK("https://www.facebook.com/100017458217400")</f>
        <v>https://www.facebook.com/100017458217400</v>
      </c>
      <c r="K1155">
        <v>108</v>
      </c>
      <c r="L1155" t="s">
        <v>6063</v>
      </c>
      <c r="N1155" t="s">
        <v>13</v>
      </c>
      <c r="O1155" t="s">
        <v>3432</v>
      </c>
      <c r="P1155" s="2" t="str">
        <f>HYPERLINK("https://www.facebook.com/100017458217400")</f>
        <v>https://www.facebook.com/100017458217400</v>
      </c>
      <c r="Q1155">
        <v>108</v>
      </c>
      <c r="R1155" t="s">
        <v>6067</v>
      </c>
      <c r="S1155" t="s">
        <v>6073</v>
      </c>
    </row>
    <row r="1156" spans="1:19" ht="14.25" customHeight="1" x14ac:dyDescent="0.3">
      <c r="A1156" t="s">
        <v>4995</v>
      </c>
      <c r="B1156" t="s">
        <v>5238</v>
      </c>
      <c r="C1156" t="s">
        <v>3538</v>
      </c>
      <c r="D1156" t="s">
        <v>4468</v>
      </c>
      <c r="E1156" t="s">
        <v>5239</v>
      </c>
      <c r="F1156" t="s">
        <v>6059</v>
      </c>
      <c r="G1156" s="2" t="str">
        <f>HYPERLINK("https://www.facebook.com/1529329267308888/posts/2058827921025684?comment_id=2059185554323254")</f>
        <v>https://www.facebook.com/1529329267308888/posts/2058827921025684?comment_id=2059185554323254</v>
      </c>
      <c r="H1156" t="s">
        <v>6062</v>
      </c>
      <c r="I1156" t="s">
        <v>5240</v>
      </c>
      <c r="J1156" s="2" t="str">
        <f>HYPERLINK("https://www.facebook.com/100003746395467")</f>
        <v>https://www.facebook.com/100003746395467</v>
      </c>
      <c r="K1156">
        <v>7</v>
      </c>
      <c r="L1156" t="s">
        <v>6063</v>
      </c>
      <c r="N1156" t="s">
        <v>13</v>
      </c>
      <c r="O1156" t="s">
        <v>4471</v>
      </c>
      <c r="P1156" s="2" t="str">
        <f>HYPERLINK("https://www.facebook.com/1529329267308888")</f>
        <v>https://www.facebook.com/1529329267308888</v>
      </c>
      <c r="R1156" t="s">
        <v>6067</v>
      </c>
      <c r="S1156" t="s">
        <v>6073</v>
      </c>
    </row>
    <row r="1157" spans="1:19" ht="14.25" customHeight="1" x14ac:dyDescent="0.3">
      <c r="A1157" t="s">
        <v>4995</v>
      </c>
      <c r="B1157" t="s">
        <v>4290</v>
      </c>
      <c r="C1157" t="s">
        <v>3538</v>
      </c>
      <c r="D1157" t="s">
        <v>4468</v>
      </c>
      <c r="E1157" t="s">
        <v>4960</v>
      </c>
      <c r="F1157" t="s">
        <v>6059</v>
      </c>
      <c r="G1157" s="2" t="str">
        <f>HYPERLINK("https://www.facebook.com/1529329267308888/posts/2058827921025684?comment_id=2059153357659807")</f>
        <v>https://www.facebook.com/1529329267308888/posts/2058827921025684?comment_id=2059153357659807</v>
      </c>
      <c r="H1157" t="s">
        <v>6062</v>
      </c>
      <c r="I1157" t="s">
        <v>5240</v>
      </c>
      <c r="J1157" s="2" t="str">
        <f>HYPERLINK("https://www.facebook.com/100003746395467")</f>
        <v>https://www.facebook.com/100003746395467</v>
      </c>
      <c r="K1157">
        <v>7</v>
      </c>
      <c r="L1157" t="s">
        <v>6063</v>
      </c>
      <c r="N1157" t="s">
        <v>13</v>
      </c>
      <c r="O1157" t="s">
        <v>4471</v>
      </c>
      <c r="P1157" s="2" t="str">
        <f>HYPERLINK("https://www.facebook.com/1529329267308888")</f>
        <v>https://www.facebook.com/1529329267308888</v>
      </c>
      <c r="R1157" t="s">
        <v>6067</v>
      </c>
      <c r="S1157" t="s">
        <v>6073</v>
      </c>
    </row>
    <row r="1158" spans="1:19" ht="14.25" customHeight="1" x14ac:dyDescent="0.3">
      <c r="A1158" t="s">
        <v>5409</v>
      </c>
      <c r="B1158" t="s">
        <v>5986</v>
      </c>
      <c r="C1158" t="s">
        <v>3538</v>
      </c>
      <c r="D1158" t="s">
        <v>3780</v>
      </c>
      <c r="E1158" t="s">
        <v>4672</v>
      </c>
      <c r="F1158" t="s">
        <v>6058</v>
      </c>
      <c r="G1158" s="2" t="str">
        <f>HYPERLINK("https://www.facebook.com/100004238081050/posts/1015029898648270")</f>
        <v>https://www.facebook.com/100004238081050/posts/1015029898648270</v>
      </c>
      <c r="H1158" t="s">
        <v>6062</v>
      </c>
      <c r="I1158" t="s">
        <v>5987</v>
      </c>
      <c r="J1158" s="2" t="str">
        <f>HYPERLINK("https://www.facebook.com/100004238081050")</f>
        <v>https://www.facebook.com/100004238081050</v>
      </c>
      <c r="K1158">
        <v>171</v>
      </c>
      <c r="L1158" t="s">
        <v>6063</v>
      </c>
      <c r="N1158" t="s">
        <v>13</v>
      </c>
      <c r="O1158" t="s">
        <v>5987</v>
      </c>
      <c r="P1158" s="2" t="str">
        <f>HYPERLINK("https://www.facebook.com/100004238081050")</f>
        <v>https://www.facebook.com/100004238081050</v>
      </c>
      <c r="Q1158">
        <v>171</v>
      </c>
      <c r="R1158" t="s">
        <v>6067</v>
      </c>
      <c r="S1158" t="s">
        <v>6073</v>
      </c>
    </row>
    <row r="1159" spans="1:19" ht="14.25" customHeight="1" x14ac:dyDescent="0.3">
      <c r="A1159" t="s">
        <v>5409</v>
      </c>
      <c r="B1159" t="s">
        <v>4914</v>
      </c>
      <c r="C1159" t="s">
        <v>3538</v>
      </c>
      <c r="D1159" t="s">
        <v>3780</v>
      </c>
      <c r="E1159" t="s">
        <v>4672</v>
      </c>
      <c r="F1159" t="s">
        <v>6058</v>
      </c>
      <c r="G1159" s="2" t="str">
        <f>HYPERLINK("https://www.facebook.com/100004238081050/posts/1015027161981877")</f>
        <v>https://www.facebook.com/100004238081050/posts/1015027161981877</v>
      </c>
      <c r="H1159" t="s">
        <v>6062</v>
      </c>
      <c r="I1159" t="s">
        <v>5987</v>
      </c>
      <c r="J1159" s="2" t="str">
        <f>HYPERLINK("https://www.facebook.com/100004238081050")</f>
        <v>https://www.facebook.com/100004238081050</v>
      </c>
      <c r="K1159">
        <v>171</v>
      </c>
      <c r="L1159" t="s">
        <v>6063</v>
      </c>
      <c r="N1159" t="s">
        <v>13</v>
      </c>
      <c r="O1159" t="s">
        <v>5987</v>
      </c>
      <c r="P1159" s="2" t="str">
        <f>HYPERLINK("https://www.facebook.com/100004238081050")</f>
        <v>https://www.facebook.com/100004238081050</v>
      </c>
      <c r="Q1159">
        <v>171</v>
      </c>
      <c r="R1159" t="s">
        <v>6067</v>
      </c>
      <c r="S1159" t="s">
        <v>6073</v>
      </c>
    </row>
    <row r="1160" spans="1:19" ht="14.25" customHeight="1" x14ac:dyDescent="0.3">
      <c r="A1160" t="s">
        <v>5409</v>
      </c>
      <c r="B1160" t="s">
        <v>5599</v>
      </c>
      <c r="C1160" t="s">
        <v>3538</v>
      </c>
      <c r="D1160" t="s">
        <v>522</v>
      </c>
      <c r="E1160" t="s">
        <v>3994</v>
      </c>
      <c r="F1160" t="s">
        <v>6056</v>
      </c>
      <c r="G1160" s="2" t="str">
        <f>HYPERLINK("https://www.facebook.com/125689264174640/posts/1627782823965269")</f>
        <v>https://www.facebook.com/125689264174640/posts/1627782823965269</v>
      </c>
      <c r="H1160" t="s">
        <v>6062</v>
      </c>
      <c r="I1160" t="s">
        <v>4064</v>
      </c>
      <c r="J1160" s="2" t="str">
        <f>HYPERLINK("https://www.facebook.com/125689264174640")</f>
        <v>https://www.facebook.com/125689264174640</v>
      </c>
      <c r="K1160">
        <v>2625</v>
      </c>
      <c r="L1160" t="s">
        <v>6065</v>
      </c>
      <c r="N1160" t="s">
        <v>13</v>
      </c>
      <c r="O1160" t="s">
        <v>4064</v>
      </c>
      <c r="P1160" s="2" t="str">
        <f>HYPERLINK("https://www.facebook.com/125689264174640")</f>
        <v>https://www.facebook.com/125689264174640</v>
      </c>
      <c r="Q1160">
        <v>2625</v>
      </c>
      <c r="R1160" t="s">
        <v>6067</v>
      </c>
    </row>
    <row r="1161" spans="1:19" ht="14.25" customHeight="1" x14ac:dyDescent="0.3">
      <c r="A1161" t="s">
        <v>5409</v>
      </c>
      <c r="B1161" t="s">
        <v>2348</v>
      </c>
      <c r="C1161" t="s">
        <v>3538</v>
      </c>
      <c r="D1161" t="s">
        <v>5364</v>
      </c>
      <c r="E1161" t="s">
        <v>5365</v>
      </c>
      <c r="F1161" t="s">
        <v>6058</v>
      </c>
      <c r="G1161" s="2" t="str">
        <f>HYPERLINK("https://www.facebook.com/100004936029194/posts/927586834082509")</f>
        <v>https://www.facebook.com/100004936029194/posts/927586834082509</v>
      </c>
      <c r="H1161" t="s">
        <v>6062</v>
      </c>
      <c r="I1161" t="s">
        <v>5085</v>
      </c>
      <c r="J1161" s="2" t="str">
        <f>HYPERLINK("https://www.facebook.com/100004936029194")</f>
        <v>https://www.facebook.com/100004936029194</v>
      </c>
      <c r="K1161">
        <v>97</v>
      </c>
      <c r="L1161" t="s">
        <v>6064</v>
      </c>
      <c r="N1161" t="s">
        <v>13</v>
      </c>
      <c r="O1161" t="s">
        <v>5085</v>
      </c>
      <c r="P1161" s="2" t="str">
        <f>HYPERLINK("https://www.facebook.com/100004936029194")</f>
        <v>https://www.facebook.com/100004936029194</v>
      </c>
      <c r="Q1161">
        <v>97</v>
      </c>
      <c r="R1161" t="s">
        <v>6067</v>
      </c>
      <c r="S1161" t="s">
        <v>6073</v>
      </c>
    </row>
    <row r="1162" spans="1:19" ht="14.25" customHeight="1" x14ac:dyDescent="0.3">
      <c r="A1162" t="s">
        <v>4995</v>
      </c>
      <c r="B1162" t="s">
        <v>2970</v>
      </c>
      <c r="C1162" t="s">
        <v>3538</v>
      </c>
      <c r="D1162" t="s">
        <v>508</v>
      </c>
      <c r="E1162" t="s">
        <v>509</v>
      </c>
      <c r="F1162" t="s">
        <v>6058</v>
      </c>
      <c r="G1162" s="2" t="str">
        <f>HYPERLINK("https://www.facebook.com/100004936029194/posts/928015317372994")</f>
        <v>https://www.facebook.com/100004936029194/posts/928015317372994</v>
      </c>
      <c r="H1162" t="s">
        <v>6062</v>
      </c>
      <c r="I1162" t="s">
        <v>5085</v>
      </c>
      <c r="J1162" s="2" t="str">
        <f>HYPERLINK("https://www.facebook.com/100004936029194")</f>
        <v>https://www.facebook.com/100004936029194</v>
      </c>
      <c r="K1162">
        <v>97</v>
      </c>
      <c r="L1162" t="s">
        <v>6064</v>
      </c>
      <c r="N1162" t="s">
        <v>13</v>
      </c>
      <c r="O1162" t="s">
        <v>5085</v>
      </c>
      <c r="P1162" s="2" t="str">
        <f>HYPERLINK("https://www.facebook.com/100004936029194")</f>
        <v>https://www.facebook.com/100004936029194</v>
      </c>
      <c r="Q1162">
        <v>97</v>
      </c>
      <c r="R1162" t="s">
        <v>6067</v>
      </c>
      <c r="S1162" t="s">
        <v>6073</v>
      </c>
    </row>
    <row r="1163" spans="1:19" ht="14.25" customHeight="1" x14ac:dyDescent="0.3">
      <c r="A1163" t="s">
        <v>629</v>
      </c>
      <c r="B1163" t="s">
        <v>1213</v>
      </c>
      <c r="C1163" t="s">
        <v>95</v>
      </c>
      <c r="D1163" t="s">
        <v>10</v>
      </c>
      <c r="E1163" t="s">
        <v>1214</v>
      </c>
      <c r="F1163" t="s">
        <v>6059</v>
      </c>
      <c r="G1163" s="2" t="str">
        <f>HYPERLINK("https://www.facebook.com/762053551/posts/10156366210158552?comment_id=10156366250403552")</f>
        <v>https://www.facebook.com/762053551/posts/10156366210158552?comment_id=10156366250403552</v>
      </c>
      <c r="H1163" t="s">
        <v>6062</v>
      </c>
      <c r="I1163" t="s">
        <v>1215</v>
      </c>
      <c r="J1163" s="2" t="str">
        <f>HYPERLINK("https://www.facebook.com/1681514316")</f>
        <v>https://www.facebook.com/1681514316</v>
      </c>
      <c r="K1163">
        <v>674</v>
      </c>
      <c r="L1163" t="s">
        <v>6064</v>
      </c>
      <c r="N1163" t="s">
        <v>13</v>
      </c>
      <c r="O1163" t="s">
        <v>14</v>
      </c>
      <c r="P1163" s="2" t="str">
        <f>HYPERLINK("https://www.facebook.com/762053551")</f>
        <v>https://www.facebook.com/762053551</v>
      </c>
      <c r="Q1163">
        <v>102347</v>
      </c>
      <c r="R1163" t="s">
        <v>6067</v>
      </c>
      <c r="S1163" t="s">
        <v>6111</v>
      </c>
    </row>
    <row r="1164" spans="1:19" ht="14.25" customHeight="1" x14ac:dyDescent="0.3">
      <c r="A1164" t="s">
        <v>2225</v>
      </c>
      <c r="B1164" t="s">
        <v>320</v>
      </c>
      <c r="C1164" t="s">
        <v>95</v>
      </c>
      <c r="D1164" t="s">
        <v>3382</v>
      </c>
      <c r="E1164" t="s">
        <v>3383</v>
      </c>
      <c r="F1164" t="s">
        <v>6059</v>
      </c>
      <c r="G1164" s="2" t="str">
        <f>HYPERLINK("https://www.facebook.com/100001586799463/posts/1873311919398350?comment_id=1874262759303266")</f>
        <v>https://www.facebook.com/100001586799463/posts/1873311919398350?comment_id=1874262759303266</v>
      </c>
      <c r="H1164" t="s">
        <v>6062</v>
      </c>
      <c r="I1164" t="s">
        <v>3384</v>
      </c>
      <c r="J1164" s="2" t="str">
        <f>HYPERLINK("https://www.facebook.com/100000331035413")</f>
        <v>https://www.facebook.com/100000331035413</v>
      </c>
      <c r="K1164">
        <v>0</v>
      </c>
      <c r="L1164" t="s">
        <v>6064</v>
      </c>
      <c r="N1164" t="s">
        <v>13</v>
      </c>
      <c r="O1164" t="s">
        <v>3385</v>
      </c>
      <c r="P1164" s="2" t="str">
        <f>HYPERLINK("https://www.facebook.com/100001586799463")</f>
        <v>https://www.facebook.com/100001586799463</v>
      </c>
      <c r="Q1164">
        <v>2246</v>
      </c>
      <c r="R1164" t="s">
        <v>6067</v>
      </c>
      <c r="S1164" t="s">
        <v>6073</v>
      </c>
    </row>
    <row r="1165" spans="1:19" ht="14.25" customHeight="1" x14ac:dyDescent="0.3">
      <c r="A1165" t="s">
        <v>2225</v>
      </c>
      <c r="B1165" t="s">
        <v>3465</v>
      </c>
      <c r="C1165" t="s">
        <v>95</v>
      </c>
      <c r="D1165" t="s">
        <v>753</v>
      </c>
      <c r="E1165" t="s">
        <v>3466</v>
      </c>
      <c r="F1165" t="s">
        <v>6056</v>
      </c>
      <c r="G1165" s="2" t="str">
        <f>HYPERLINK("https://www.facebook.com/100002353713008/posts/1647648988656876")</f>
        <v>https://www.facebook.com/100002353713008/posts/1647648988656876</v>
      </c>
      <c r="H1165" t="s">
        <v>6062</v>
      </c>
      <c r="I1165" t="s">
        <v>3467</v>
      </c>
      <c r="J1165" s="2" t="str">
        <f>HYPERLINK("https://www.facebook.com/100002353713008")</f>
        <v>https://www.facebook.com/100002353713008</v>
      </c>
      <c r="K1165">
        <v>523</v>
      </c>
      <c r="L1165" t="s">
        <v>6063</v>
      </c>
      <c r="N1165" t="s">
        <v>13</v>
      </c>
      <c r="O1165" t="s">
        <v>3467</v>
      </c>
      <c r="P1165" s="2" t="str">
        <f>HYPERLINK("https://www.facebook.com/100002353713008")</f>
        <v>https://www.facebook.com/100002353713008</v>
      </c>
      <c r="Q1165">
        <v>523</v>
      </c>
      <c r="R1165" t="s">
        <v>6067</v>
      </c>
    </row>
    <row r="1166" spans="1:19" ht="14.25" customHeight="1" x14ac:dyDescent="0.3">
      <c r="A1166" t="s">
        <v>1</v>
      </c>
      <c r="B1166" t="s">
        <v>136</v>
      </c>
      <c r="C1166" t="s">
        <v>95</v>
      </c>
      <c r="D1166" t="s">
        <v>45</v>
      </c>
      <c r="E1166" t="s">
        <v>46</v>
      </c>
      <c r="F1166" t="s">
        <v>6058</v>
      </c>
      <c r="G1166" s="2" t="str">
        <f>HYPERLINK("https://www.facebook.com/100000874141480/posts/1717421724963616")</f>
        <v>https://www.facebook.com/100000874141480/posts/1717421724963616</v>
      </c>
      <c r="H1166" t="s">
        <v>6062</v>
      </c>
      <c r="I1166" t="s">
        <v>139</v>
      </c>
      <c r="J1166" s="2" t="str">
        <f>HYPERLINK("https://www.facebook.com/100000874141480")</f>
        <v>https://www.facebook.com/100000874141480</v>
      </c>
      <c r="K1166">
        <v>237</v>
      </c>
      <c r="L1166" t="s">
        <v>6063</v>
      </c>
      <c r="N1166" t="s">
        <v>13</v>
      </c>
      <c r="O1166" t="s">
        <v>139</v>
      </c>
      <c r="P1166" s="2" t="str">
        <f>HYPERLINK("https://www.facebook.com/100000874141480")</f>
        <v>https://www.facebook.com/100000874141480</v>
      </c>
      <c r="Q1166">
        <v>237</v>
      </c>
      <c r="R1166" t="s">
        <v>6067</v>
      </c>
      <c r="S1166" t="s">
        <v>6073</v>
      </c>
    </row>
    <row r="1167" spans="1:19" ht="14.25" customHeight="1" x14ac:dyDescent="0.3">
      <c r="A1167" t="s">
        <v>4995</v>
      </c>
      <c r="B1167" t="s">
        <v>5016</v>
      </c>
      <c r="C1167" t="s">
        <v>3538</v>
      </c>
      <c r="D1167" t="s">
        <v>5017</v>
      </c>
      <c r="E1167" t="s">
        <v>5018</v>
      </c>
      <c r="F1167" t="s">
        <v>6058</v>
      </c>
      <c r="G1167" s="2" t="str">
        <f>HYPERLINK("https://www.facebook.com/100000652034325/posts/1839434429421607")</f>
        <v>https://www.facebook.com/100000652034325/posts/1839434429421607</v>
      </c>
      <c r="H1167" t="s">
        <v>6062</v>
      </c>
      <c r="I1167" t="s">
        <v>5019</v>
      </c>
      <c r="J1167" s="2" t="str">
        <f>HYPERLINK("https://www.facebook.com/100000652034325")</f>
        <v>https://www.facebook.com/100000652034325</v>
      </c>
      <c r="K1167">
        <v>244</v>
      </c>
      <c r="L1167" t="s">
        <v>6063</v>
      </c>
      <c r="N1167" t="s">
        <v>13</v>
      </c>
      <c r="O1167" t="s">
        <v>5019</v>
      </c>
      <c r="P1167" s="2" t="str">
        <f>HYPERLINK("https://www.facebook.com/100000652034325")</f>
        <v>https://www.facebook.com/100000652034325</v>
      </c>
      <c r="Q1167">
        <v>244</v>
      </c>
      <c r="R1167" t="s">
        <v>6067</v>
      </c>
      <c r="S1167" t="s">
        <v>6073</v>
      </c>
    </row>
    <row r="1168" spans="1:19" ht="14.25" customHeight="1" x14ac:dyDescent="0.3">
      <c r="A1168" t="s">
        <v>2225</v>
      </c>
      <c r="B1168" t="s">
        <v>2922</v>
      </c>
      <c r="C1168" t="s">
        <v>95</v>
      </c>
      <c r="D1168" t="s">
        <v>1056</v>
      </c>
      <c r="E1168" t="s">
        <v>2054</v>
      </c>
      <c r="F1168" t="s">
        <v>6056</v>
      </c>
      <c r="G1168" s="2" t="str">
        <f>HYPERLINK("https://www.facebook.com/100009472622939/posts/2060114117647656")</f>
        <v>https://www.facebook.com/100009472622939/posts/2060114117647656</v>
      </c>
      <c r="H1168" t="s">
        <v>6062</v>
      </c>
      <c r="I1168" t="s">
        <v>2923</v>
      </c>
      <c r="J1168" s="2" t="str">
        <f>HYPERLINK("https://www.facebook.com/100009472622939")</f>
        <v>https://www.facebook.com/100009472622939</v>
      </c>
      <c r="K1168">
        <v>8531</v>
      </c>
      <c r="L1168" t="s">
        <v>6063</v>
      </c>
      <c r="N1168" t="s">
        <v>13</v>
      </c>
      <c r="O1168" t="s">
        <v>2923</v>
      </c>
      <c r="P1168" s="2" t="str">
        <f>HYPERLINK("https://www.facebook.com/100009472622939")</f>
        <v>https://www.facebook.com/100009472622939</v>
      </c>
      <c r="Q1168">
        <v>8531</v>
      </c>
      <c r="R1168" t="s">
        <v>6067</v>
      </c>
      <c r="S1168" t="s">
        <v>6073</v>
      </c>
    </row>
    <row r="1169" spans="1:19" ht="14.25" customHeight="1" x14ac:dyDescent="0.3">
      <c r="A1169" t="s">
        <v>4439</v>
      </c>
      <c r="B1169" t="s">
        <v>1678</v>
      </c>
      <c r="C1169" t="s">
        <v>3538</v>
      </c>
      <c r="D1169" t="s">
        <v>4787</v>
      </c>
      <c r="E1169" t="s">
        <v>4821</v>
      </c>
      <c r="F1169" t="s">
        <v>6059</v>
      </c>
      <c r="G1169" s="2" t="str">
        <f>HYPERLINK("https://www.facebook.com/170089376357131/posts/1923259707706747?comment_id=1923301844369200")</f>
        <v>https://www.facebook.com/170089376357131/posts/1923259707706747?comment_id=1923301844369200</v>
      </c>
      <c r="H1169" t="s">
        <v>6062</v>
      </c>
      <c r="I1169" t="s">
        <v>4822</v>
      </c>
      <c r="J1169" s="2" t="str">
        <f>HYPERLINK("https://www.facebook.com/100000017775070")</f>
        <v>https://www.facebook.com/100000017775070</v>
      </c>
      <c r="K1169">
        <v>0</v>
      </c>
      <c r="L1169" t="s">
        <v>6063</v>
      </c>
      <c r="N1169" t="s">
        <v>13</v>
      </c>
      <c r="O1169" t="s">
        <v>2017</v>
      </c>
      <c r="P1169" s="2" t="str">
        <f>HYPERLINK("https://www.facebook.com/170089376357131")</f>
        <v>https://www.facebook.com/170089376357131</v>
      </c>
      <c r="R1169" t="s">
        <v>6067</v>
      </c>
      <c r="S1169" t="s">
        <v>6073</v>
      </c>
    </row>
    <row r="1170" spans="1:19" ht="14.25" customHeight="1" x14ac:dyDescent="0.3">
      <c r="A1170" t="s">
        <v>4439</v>
      </c>
      <c r="B1170" t="s">
        <v>390</v>
      </c>
      <c r="C1170" t="s">
        <v>3538</v>
      </c>
      <c r="D1170" t="s">
        <v>4787</v>
      </c>
      <c r="E1170" t="s">
        <v>4825</v>
      </c>
      <c r="F1170" t="s">
        <v>6059</v>
      </c>
      <c r="G1170" s="2" t="str">
        <f>HYPERLINK("https://www.facebook.com/170089376357131/posts/1923259707706747?comment_id=1923299554369429")</f>
        <v>https://www.facebook.com/170089376357131/posts/1923259707706747?comment_id=1923299554369429</v>
      </c>
      <c r="H1170" t="s">
        <v>6062</v>
      </c>
      <c r="I1170" t="s">
        <v>4822</v>
      </c>
      <c r="J1170" s="2" t="str">
        <f>HYPERLINK("https://www.facebook.com/100000017775070")</f>
        <v>https://www.facebook.com/100000017775070</v>
      </c>
      <c r="K1170">
        <v>0</v>
      </c>
      <c r="L1170" t="s">
        <v>6063</v>
      </c>
      <c r="N1170" t="s">
        <v>13</v>
      </c>
      <c r="O1170" t="s">
        <v>2017</v>
      </c>
      <c r="P1170" s="2" t="str">
        <f>HYPERLINK("https://www.facebook.com/170089376357131")</f>
        <v>https://www.facebook.com/170089376357131</v>
      </c>
      <c r="R1170" t="s">
        <v>6067</v>
      </c>
      <c r="S1170" t="s">
        <v>6073</v>
      </c>
    </row>
    <row r="1171" spans="1:19" ht="14.25" customHeight="1" x14ac:dyDescent="0.3">
      <c r="A1171" t="s">
        <v>4439</v>
      </c>
      <c r="B1171" t="s">
        <v>203</v>
      </c>
      <c r="C1171" t="s">
        <v>3538</v>
      </c>
      <c r="D1171" t="s">
        <v>4725</v>
      </c>
      <c r="E1171" t="s">
        <v>4726</v>
      </c>
      <c r="F1171" t="s">
        <v>6056</v>
      </c>
      <c r="G1171" s="2" t="str">
        <f>HYPERLINK("https://www.facebook.com/100008223482235/posts/2061653944118702")</f>
        <v>https://www.facebook.com/100008223482235/posts/2061653944118702</v>
      </c>
      <c r="H1171" t="s">
        <v>6062</v>
      </c>
      <c r="I1171" t="s">
        <v>4727</v>
      </c>
      <c r="J1171" s="2" t="str">
        <f>HYPERLINK("https://www.facebook.com/100008223482235")</f>
        <v>https://www.facebook.com/100008223482235</v>
      </c>
      <c r="K1171">
        <v>245</v>
      </c>
      <c r="L1171" t="s">
        <v>6063</v>
      </c>
      <c r="N1171" t="s">
        <v>13</v>
      </c>
      <c r="O1171" t="s">
        <v>4727</v>
      </c>
      <c r="P1171" s="2" t="str">
        <f>HYPERLINK("https://www.facebook.com/100008223482235")</f>
        <v>https://www.facebook.com/100008223482235</v>
      </c>
      <c r="Q1171">
        <v>245</v>
      </c>
      <c r="R1171" t="s">
        <v>6067</v>
      </c>
      <c r="S1171" t="s">
        <v>6073</v>
      </c>
    </row>
    <row r="1172" spans="1:19" ht="14.25" customHeight="1" x14ac:dyDescent="0.3">
      <c r="A1172" t="s">
        <v>629</v>
      </c>
      <c r="B1172" t="s">
        <v>1813</v>
      </c>
      <c r="C1172" t="s">
        <v>95</v>
      </c>
      <c r="D1172" t="s">
        <v>370</v>
      </c>
      <c r="E1172" t="s">
        <v>371</v>
      </c>
      <c r="F1172" t="s">
        <v>6058</v>
      </c>
      <c r="G1172" s="2" t="str">
        <f>HYPERLINK("https://www.facebook.com/100001884058153/posts/1879002798839170")</f>
        <v>https://www.facebook.com/100001884058153/posts/1879002798839170</v>
      </c>
      <c r="H1172" t="s">
        <v>6062</v>
      </c>
      <c r="I1172" t="s">
        <v>1815</v>
      </c>
      <c r="J1172" s="2" t="str">
        <f>HYPERLINK("https://www.facebook.com/100001884058153")</f>
        <v>https://www.facebook.com/100001884058153</v>
      </c>
      <c r="K1172">
        <v>3053</v>
      </c>
      <c r="L1172" t="s">
        <v>6063</v>
      </c>
      <c r="M1172">
        <v>45</v>
      </c>
      <c r="N1172" t="s">
        <v>13</v>
      </c>
      <c r="O1172" t="s">
        <v>1815</v>
      </c>
      <c r="P1172" s="2" t="str">
        <f>HYPERLINK("https://www.facebook.com/100001884058153")</f>
        <v>https://www.facebook.com/100001884058153</v>
      </c>
      <c r="Q1172">
        <v>3053</v>
      </c>
      <c r="R1172" t="s">
        <v>6067</v>
      </c>
      <c r="S1172" t="s">
        <v>6090</v>
      </c>
    </row>
    <row r="1173" spans="1:19" ht="14.25" customHeight="1" x14ac:dyDescent="0.3">
      <c r="A1173" t="s">
        <v>5409</v>
      </c>
      <c r="B1173" t="s">
        <v>625</v>
      </c>
      <c r="C1173" t="s">
        <v>3538</v>
      </c>
      <c r="D1173" t="s">
        <v>6036</v>
      </c>
      <c r="E1173" t="s">
        <v>6037</v>
      </c>
      <c r="F1173" t="s">
        <v>6059</v>
      </c>
      <c r="G1173" s="2" t="str">
        <f>HYPERLINK("https://www.facebook.com/100007195171808/posts/2024779364438550?comment_id=2024784971104656")</f>
        <v>https://www.facebook.com/100007195171808/posts/2024779364438550?comment_id=2024784971104656</v>
      </c>
      <c r="H1173" t="s">
        <v>6062</v>
      </c>
      <c r="I1173" t="s">
        <v>5483</v>
      </c>
      <c r="J1173" s="2" t="str">
        <f>HYPERLINK("https://www.facebook.com/100007195171808")</f>
        <v>https://www.facebook.com/100007195171808</v>
      </c>
      <c r="K1173">
        <v>917</v>
      </c>
      <c r="L1173" t="s">
        <v>6064</v>
      </c>
      <c r="N1173" t="s">
        <v>13</v>
      </c>
      <c r="O1173" t="s">
        <v>5483</v>
      </c>
      <c r="P1173" s="2" t="str">
        <f>HYPERLINK("https://www.facebook.com/100007195171808")</f>
        <v>https://www.facebook.com/100007195171808</v>
      </c>
      <c r="Q1173">
        <v>917</v>
      </c>
      <c r="R1173" t="s">
        <v>6067</v>
      </c>
      <c r="S1173" t="s">
        <v>6073</v>
      </c>
    </row>
    <row r="1174" spans="1:19" ht="14.25" customHeight="1" x14ac:dyDescent="0.3">
      <c r="A1174" t="s">
        <v>629</v>
      </c>
      <c r="B1174" t="s">
        <v>603</v>
      </c>
      <c r="C1174" t="s">
        <v>95</v>
      </c>
      <c r="D1174" t="s">
        <v>544</v>
      </c>
      <c r="E1174" t="s">
        <v>545</v>
      </c>
      <c r="F1174" t="s">
        <v>6058</v>
      </c>
      <c r="G1174" s="2" t="str">
        <f>HYPERLINK("https://www.facebook.com/100011472241809/posts/618980675161002")</f>
        <v>https://www.facebook.com/100011472241809/posts/618980675161002</v>
      </c>
      <c r="H1174" t="s">
        <v>6062</v>
      </c>
      <c r="I1174" t="s">
        <v>1417</v>
      </c>
      <c r="J1174" s="2" t="str">
        <f>HYPERLINK("https://www.facebook.com/100011472241809")</f>
        <v>https://www.facebook.com/100011472241809</v>
      </c>
      <c r="K1174">
        <v>128</v>
      </c>
      <c r="L1174" t="s">
        <v>6064</v>
      </c>
      <c r="N1174" t="s">
        <v>13</v>
      </c>
      <c r="O1174" t="s">
        <v>1417</v>
      </c>
      <c r="P1174" s="2" t="str">
        <f>HYPERLINK("https://www.facebook.com/100011472241809")</f>
        <v>https://www.facebook.com/100011472241809</v>
      </c>
      <c r="Q1174">
        <v>128</v>
      </c>
      <c r="R1174" t="s">
        <v>6067</v>
      </c>
      <c r="S1174" t="s">
        <v>6094</v>
      </c>
    </row>
    <row r="1175" spans="1:19" ht="14.25" customHeight="1" x14ac:dyDescent="0.3">
      <c r="A1175" t="s">
        <v>629</v>
      </c>
      <c r="B1175" t="s">
        <v>171</v>
      </c>
      <c r="C1175" t="s">
        <v>95</v>
      </c>
      <c r="D1175" t="s">
        <v>370</v>
      </c>
      <c r="E1175" t="s">
        <v>371</v>
      </c>
      <c r="F1175" t="s">
        <v>6058</v>
      </c>
      <c r="G1175" s="2" t="str">
        <f>HYPERLINK("https://www.facebook.com/100011472241809/posts/619208048471598")</f>
        <v>https://www.facebook.com/100011472241809/posts/619208048471598</v>
      </c>
      <c r="H1175" t="s">
        <v>6062</v>
      </c>
      <c r="I1175" t="s">
        <v>1417</v>
      </c>
      <c r="J1175" s="2" t="str">
        <f>HYPERLINK("https://www.facebook.com/100011472241809")</f>
        <v>https://www.facebook.com/100011472241809</v>
      </c>
      <c r="K1175">
        <v>128</v>
      </c>
      <c r="L1175" t="s">
        <v>6064</v>
      </c>
      <c r="N1175" t="s">
        <v>13</v>
      </c>
      <c r="O1175" t="s">
        <v>1417</v>
      </c>
      <c r="P1175" s="2" t="str">
        <f>HYPERLINK("https://www.facebook.com/100011472241809")</f>
        <v>https://www.facebook.com/100011472241809</v>
      </c>
      <c r="Q1175">
        <v>128</v>
      </c>
      <c r="R1175" t="s">
        <v>6067</v>
      </c>
      <c r="S1175" t="s">
        <v>6094</v>
      </c>
    </row>
    <row r="1176" spans="1:19" ht="14.25" customHeight="1" x14ac:dyDescent="0.3">
      <c r="A1176" t="s">
        <v>1</v>
      </c>
      <c r="B1176" t="s">
        <v>430</v>
      </c>
      <c r="C1176" t="s">
        <v>95</v>
      </c>
      <c r="D1176" t="s">
        <v>10</v>
      </c>
      <c r="E1176" t="s">
        <v>431</v>
      </c>
      <c r="F1176" t="s">
        <v>6059</v>
      </c>
      <c r="G1176" s="2" t="str">
        <f>HYPERLINK("https://www.facebook.com/1070092426/posts/10213398046920195?comment_id=10213402081821065")</f>
        <v>https://www.facebook.com/1070092426/posts/10213398046920195?comment_id=10213402081821065</v>
      </c>
      <c r="H1176" t="s">
        <v>6062</v>
      </c>
      <c r="I1176" t="s">
        <v>421</v>
      </c>
      <c r="J1176" s="2" t="str">
        <f>HYPERLINK("https://www.facebook.com/100002488136288")</f>
        <v>https://www.facebook.com/100002488136288</v>
      </c>
      <c r="K1176">
        <v>383</v>
      </c>
      <c r="L1176" t="s">
        <v>6063</v>
      </c>
      <c r="N1176" t="s">
        <v>13</v>
      </c>
      <c r="O1176" t="s">
        <v>314</v>
      </c>
      <c r="P1176" s="2" t="str">
        <f>HYPERLINK("https://www.facebook.com/1070092426")</f>
        <v>https://www.facebook.com/1070092426</v>
      </c>
      <c r="Q1176">
        <v>5892</v>
      </c>
      <c r="R1176" t="s">
        <v>6067</v>
      </c>
      <c r="S1176" t="s">
        <v>6073</v>
      </c>
    </row>
    <row r="1177" spans="1:19" ht="14.25" customHeight="1" x14ac:dyDescent="0.3">
      <c r="A1177" t="s">
        <v>1</v>
      </c>
      <c r="B1177" t="s">
        <v>432</v>
      </c>
      <c r="C1177" t="s">
        <v>95</v>
      </c>
      <c r="D1177" t="s">
        <v>10</v>
      </c>
      <c r="E1177" t="s">
        <v>434</v>
      </c>
      <c r="F1177" t="s">
        <v>6059</v>
      </c>
      <c r="G1177" s="2" t="str">
        <f>HYPERLINK("https://www.facebook.com/1070092426/posts/10213398046920195?comment_id=10213402077340953")</f>
        <v>https://www.facebook.com/1070092426/posts/10213398046920195?comment_id=10213402077340953</v>
      </c>
      <c r="H1177" t="s">
        <v>6062</v>
      </c>
      <c r="I1177" t="s">
        <v>421</v>
      </c>
      <c r="J1177" s="2" t="str">
        <f>HYPERLINK("https://www.facebook.com/100002488136288")</f>
        <v>https://www.facebook.com/100002488136288</v>
      </c>
      <c r="K1177">
        <v>383</v>
      </c>
      <c r="L1177" t="s">
        <v>6063</v>
      </c>
      <c r="N1177" t="s">
        <v>13</v>
      </c>
      <c r="O1177" t="s">
        <v>314</v>
      </c>
      <c r="P1177" s="2" t="str">
        <f>HYPERLINK("https://www.facebook.com/1070092426")</f>
        <v>https://www.facebook.com/1070092426</v>
      </c>
      <c r="Q1177">
        <v>5892</v>
      </c>
      <c r="R1177" t="s">
        <v>6067</v>
      </c>
      <c r="S1177" t="s">
        <v>6073</v>
      </c>
    </row>
    <row r="1178" spans="1:19" ht="14.25" customHeight="1" x14ac:dyDescent="0.3">
      <c r="A1178" t="s">
        <v>1</v>
      </c>
      <c r="B1178" t="s">
        <v>579</v>
      </c>
      <c r="C1178" t="s">
        <v>95</v>
      </c>
      <c r="D1178" t="s">
        <v>10</v>
      </c>
      <c r="E1178" t="s">
        <v>580</v>
      </c>
      <c r="F1178" t="s">
        <v>6059</v>
      </c>
      <c r="G1178" s="2" t="str">
        <f>HYPERLINK("https://www.facebook.com/1070092426/posts/10213398046920195?comment_id=10213399436914944")</f>
        <v>https://www.facebook.com/1070092426/posts/10213398046920195?comment_id=10213399436914944</v>
      </c>
      <c r="H1178" t="s">
        <v>6062</v>
      </c>
      <c r="I1178" t="s">
        <v>421</v>
      </c>
      <c r="J1178" s="2" t="str">
        <f>HYPERLINK("https://www.facebook.com/100002488136288")</f>
        <v>https://www.facebook.com/100002488136288</v>
      </c>
      <c r="K1178">
        <v>383</v>
      </c>
      <c r="L1178" t="s">
        <v>6063</v>
      </c>
      <c r="N1178" t="s">
        <v>13</v>
      </c>
      <c r="O1178" t="s">
        <v>314</v>
      </c>
      <c r="P1178" s="2" t="str">
        <f>HYPERLINK("https://www.facebook.com/1070092426")</f>
        <v>https://www.facebook.com/1070092426</v>
      </c>
      <c r="Q1178">
        <v>5892</v>
      </c>
      <c r="R1178" t="s">
        <v>6067</v>
      </c>
      <c r="S1178" t="s">
        <v>6073</v>
      </c>
    </row>
    <row r="1179" spans="1:19" ht="14.25" customHeight="1" x14ac:dyDescent="0.3">
      <c r="A1179" t="s">
        <v>1</v>
      </c>
      <c r="B1179" t="s">
        <v>563</v>
      </c>
      <c r="C1179" t="s">
        <v>95</v>
      </c>
      <c r="D1179" t="s">
        <v>10</v>
      </c>
      <c r="E1179" t="s">
        <v>564</v>
      </c>
      <c r="F1179" t="s">
        <v>6059</v>
      </c>
      <c r="G1179" s="2" t="str">
        <f>HYPERLINK("https://www.facebook.com/1070092426/posts/10213398046920195?comment_id=10213399490316279")</f>
        <v>https://www.facebook.com/1070092426/posts/10213398046920195?comment_id=10213399490316279</v>
      </c>
      <c r="H1179" t="s">
        <v>6062</v>
      </c>
      <c r="I1179" t="s">
        <v>421</v>
      </c>
      <c r="J1179" s="2" t="str">
        <f>HYPERLINK("https://www.facebook.com/100002488136288")</f>
        <v>https://www.facebook.com/100002488136288</v>
      </c>
      <c r="K1179">
        <v>383</v>
      </c>
      <c r="L1179" t="s">
        <v>6063</v>
      </c>
      <c r="N1179" t="s">
        <v>13</v>
      </c>
      <c r="O1179" t="s">
        <v>314</v>
      </c>
      <c r="P1179" s="2" t="str">
        <f>HYPERLINK("https://www.facebook.com/1070092426")</f>
        <v>https://www.facebook.com/1070092426</v>
      </c>
      <c r="Q1179">
        <v>5892</v>
      </c>
      <c r="R1179" t="s">
        <v>6067</v>
      </c>
      <c r="S1179" t="s">
        <v>6073</v>
      </c>
    </row>
    <row r="1180" spans="1:19" ht="14.25" customHeight="1" x14ac:dyDescent="0.3">
      <c r="A1180" t="s">
        <v>629</v>
      </c>
      <c r="B1180" t="s">
        <v>869</v>
      </c>
      <c r="C1180" t="s">
        <v>95</v>
      </c>
      <c r="D1180" t="s">
        <v>870</v>
      </c>
      <c r="E1180" t="s">
        <v>871</v>
      </c>
      <c r="F1180" t="s">
        <v>6059</v>
      </c>
      <c r="G1180" s="2" t="str">
        <f>HYPERLINK("https://www.facebook.com/100006051378479/posts/2008569489354744?comment_id=2008758339335859")</f>
        <v>https://www.facebook.com/100006051378479/posts/2008569489354744?comment_id=2008758339335859</v>
      </c>
      <c r="H1180" t="s">
        <v>6062</v>
      </c>
      <c r="I1180" t="s">
        <v>872</v>
      </c>
      <c r="J1180" s="2" t="str">
        <f>HYPERLINK("https://www.facebook.com/100013291566015")</f>
        <v>https://www.facebook.com/100013291566015</v>
      </c>
      <c r="K1180">
        <v>0</v>
      </c>
      <c r="L1180" t="s">
        <v>6063</v>
      </c>
      <c r="N1180" t="s">
        <v>13</v>
      </c>
      <c r="O1180" t="s">
        <v>873</v>
      </c>
      <c r="P1180" s="2" t="str">
        <f>HYPERLINK("https://www.facebook.com/100006051378479")</f>
        <v>https://www.facebook.com/100006051378479</v>
      </c>
      <c r="Q1180">
        <v>58</v>
      </c>
      <c r="R1180" t="s">
        <v>6067</v>
      </c>
      <c r="S1180" t="s">
        <v>6073</v>
      </c>
    </row>
    <row r="1181" spans="1:19" ht="14.25" customHeight="1" x14ac:dyDescent="0.3">
      <c r="A1181" t="s">
        <v>5409</v>
      </c>
      <c r="B1181" t="s">
        <v>1302</v>
      </c>
      <c r="C1181" t="s">
        <v>3538</v>
      </c>
      <c r="D1181" t="s">
        <v>3757</v>
      </c>
      <c r="E1181" t="s">
        <v>5695</v>
      </c>
      <c r="F1181" t="s">
        <v>6059</v>
      </c>
      <c r="G1181" s="2" t="str">
        <f>HYPERLINK("https://www.facebook.com/1676376791/posts/10209685538090004?comment_id=10209687156010451")</f>
        <v>https://www.facebook.com/1676376791/posts/10209685538090004?comment_id=10209687156010451</v>
      </c>
      <c r="H1181" t="s">
        <v>6062</v>
      </c>
      <c r="I1181" t="s">
        <v>3759</v>
      </c>
      <c r="J1181" s="2" t="str">
        <f t="shared" ref="J1181:J1188" si="27">HYPERLINK("https://www.facebook.com/1419471070")</f>
        <v>https://www.facebook.com/1419471070</v>
      </c>
      <c r="K1181">
        <v>383</v>
      </c>
      <c r="L1181" t="s">
        <v>6063</v>
      </c>
      <c r="N1181" t="s">
        <v>13</v>
      </c>
      <c r="O1181" t="s">
        <v>3760</v>
      </c>
      <c r="P1181" s="2" t="str">
        <f t="shared" ref="P1181:P1188" si="28">HYPERLINK("https://www.facebook.com/1676376791")</f>
        <v>https://www.facebook.com/1676376791</v>
      </c>
      <c r="Q1181">
        <v>4013</v>
      </c>
      <c r="R1181" t="s">
        <v>6067</v>
      </c>
      <c r="S1181" t="s">
        <v>6073</v>
      </c>
    </row>
    <row r="1182" spans="1:19" ht="14.25" customHeight="1" x14ac:dyDescent="0.3">
      <c r="A1182" t="s">
        <v>5409</v>
      </c>
      <c r="B1182" t="s">
        <v>1548</v>
      </c>
      <c r="C1182" t="s">
        <v>3538</v>
      </c>
      <c r="D1182" t="s">
        <v>3757</v>
      </c>
      <c r="E1182" t="s">
        <v>5842</v>
      </c>
      <c r="F1182" t="s">
        <v>6059</v>
      </c>
      <c r="G1182" s="2" t="str">
        <f>HYPERLINK("https://www.facebook.com/1676376791/posts/10209685538090004?comment_id=10209686189466288")</f>
        <v>https://www.facebook.com/1676376791/posts/10209685538090004?comment_id=10209686189466288</v>
      </c>
      <c r="H1182" t="s">
        <v>6062</v>
      </c>
      <c r="I1182" t="s">
        <v>3759</v>
      </c>
      <c r="J1182" s="2" t="str">
        <f t="shared" si="27"/>
        <v>https://www.facebook.com/1419471070</v>
      </c>
      <c r="K1182">
        <v>383</v>
      </c>
      <c r="L1182" t="s">
        <v>6063</v>
      </c>
      <c r="N1182" t="s">
        <v>13</v>
      </c>
      <c r="O1182" t="s">
        <v>3760</v>
      </c>
      <c r="P1182" s="2" t="str">
        <f t="shared" si="28"/>
        <v>https://www.facebook.com/1676376791</v>
      </c>
      <c r="Q1182">
        <v>4013</v>
      </c>
      <c r="R1182" t="s">
        <v>6067</v>
      </c>
      <c r="S1182" t="s">
        <v>6073</v>
      </c>
    </row>
    <row r="1183" spans="1:19" ht="14.25" customHeight="1" x14ac:dyDescent="0.3">
      <c r="A1183" t="s">
        <v>5409</v>
      </c>
      <c r="B1183" t="s">
        <v>311</v>
      </c>
      <c r="C1183" t="s">
        <v>3538</v>
      </c>
      <c r="D1183" t="s">
        <v>3757</v>
      </c>
      <c r="E1183" t="s">
        <v>5834</v>
      </c>
      <c r="F1183" t="s">
        <v>6059</v>
      </c>
      <c r="G1183" s="2" t="str">
        <f>HYPERLINK("https://www.facebook.com/1676376791/posts/10209685538090004?comment_id=10209686216746970")</f>
        <v>https://www.facebook.com/1676376791/posts/10209685538090004?comment_id=10209686216746970</v>
      </c>
      <c r="H1183" t="s">
        <v>6062</v>
      </c>
      <c r="I1183" t="s">
        <v>3759</v>
      </c>
      <c r="J1183" s="2" t="str">
        <f t="shared" si="27"/>
        <v>https://www.facebook.com/1419471070</v>
      </c>
      <c r="K1183">
        <v>383</v>
      </c>
      <c r="L1183" t="s">
        <v>6063</v>
      </c>
      <c r="N1183" t="s">
        <v>13</v>
      </c>
      <c r="O1183" t="s">
        <v>3760</v>
      </c>
      <c r="P1183" s="2" t="str">
        <f t="shared" si="28"/>
        <v>https://www.facebook.com/1676376791</v>
      </c>
      <c r="Q1183">
        <v>4013</v>
      </c>
      <c r="R1183" t="s">
        <v>6067</v>
      </c>
      <c r="S1183" t="s">
        <v>6073</v>
      </c>
    </row>
    <row r="1184" spans="1:19" ht="14.25" customHeight="1" x14ac:dyDescent="0.3">
      <c r="A1184" t="s">
        <v>5409</v>
      </c>
      <c r="B1184" t="s">
        <v>338</v>
      </c>
      <c r="C1184" t="s">
        <v>3538</v>
      </c>
      <c r="D1184" t="s">
        <v>3757</v>
      </c>
      <c r="E1184" t="s">
        <v>5838</v>
      </c>
      <c r="F1184" t="s">
        <v>6059</v>
      </c>
      <c r="G1184" s="2" t="str">
        <f>HYPERLINK("https://www.facebook.com/1676376791/posts/10209685538090004?comment_id=10209686193266383")</f>
        <v>https://www.facebook.com/1676376791/posts/10209685538090004?comment_id=10209686193266383</v>
      </c>
      <c r="H1184" t="s">
        <v>6062</v>
      </c>
      <c r="I1184" t="s">
        <v>3759</v>
      </c>
      <c r="J1184" s="2" t="str">
        <f t="shared" si="27"/>
        <v>https://www.facebook.com/1419471070</v>
      </c>
      <c r="K1184">
        <v>383</v>
      </c>
      <c r="L1184" t="s">
        <v>6063</v>
      </c>
      <c r="N1184" t="s">
        <v>13</v>
      </c>
      <c r="O1184" t="s">
        <v>3760</v>
      </c>
      <c r="P1184" s="2" t="str">
        <f t="shared" si="28"/>
        <v>https://www.facebook.com/1676376791</v>
      </c>
      <c r="Q1184">
        <v>4013</v>
      </c>
      <c r="R1184" t="s">
        <v>6067</v>
      </c>
      <c r="S1184" t="s">
        <v>6073</v>
      </c>
    </row>
    <row r="1185" spans="1:19" ht="14.25" customHeight="1" x14ac:dyDescent="0.3">
      <c r="A1185" t="s">
        <v>5409</v>
      </c>
      <c r="B1185" t="s">
        <v>1624</v>
      </c>
      <c r="C1185" t="s">
        <v>3538</v>
      </c>
      <c r="D1185" t="s">
        <v>3757</v>
      </c>
      <c r="E1185" t="s">
        <v>5855</v>
      </c>
      <c r="F1185" t="s">
        <v>6059</v>
      </c>
      <c r="G1185" s="2" t="str">
        <f>HYPERLINK("https://www.facebook.com/1676376791/posts/10209685538090004?comment_id=10209686109384286")</f>
        <v>https://www.facebook.com/1676376791/posts/10209685538090004?comment_id=10209686109384286</v>
      </c>
      <c r="H1185" t="s">
        <v>6062</v>
      </c>
      <c r="I1185" t="s">
        <v>3759</v>
      </c>
      <c r="J1185" s="2" t="str">
        <f t="shared" si="27"/>
        <v>https://www.facebook.com/1419471070</v>
      </c>
      <c r="K1185">
        <v>383</v>
      </c>
      <c r="L1185" t="s">
        <v>6063</v>
      </c>
      <c r="N1185" t="s">
        <v>13</v>
      </c>
      <c r="O1185" t="s">
        <v>3760</v>
      </c>
      <c r="P1185" s="2" t="str">
        <f t="shared" si="28"/>
        <v>https://www.facebook.com/1676376791</v>
      </c>
      <c r="Q1185">
        <v>4013</v>
      </c>
      <c r="R1185" t="s">
        <v>6067</v>
      </c>
      <c r="S1185" t="s">
        <v>6073</v>
      </c>
    </row>
    <row r="1186" spans="1:19" ht="14.25" customHeight="1" x14ac:dyDescent="0.3">
      <c r="A1186" t="s">
        <v>3527</v>
      </c>
      <c r="B1186" t="s">
        <v>3804</v>
      </c>
      <c r="C1186" t="s">
        <v>95</v>
      </c>
      <c r="D1186" t="s">
        <v>3757</v>
      </c>
      <c r="E1186" t="s">
        <v>3807</v>
      </c>
      <c r="F1186" t="s">
        <v>6059</v>
      </c>
      <c r="G1186" s="2" t="str">
        <f>HYPERLINK("https://www.facebook.com/1676376791/posts/10209685538090004?comment_id=10209708307219218")</f>
        <v>https://www.facebook.com/1676376791/posts/10209685538090004?comment_id=10209708307219218</v>
      </c>
      <c r="H1186" t="s">
        <v>6062</v>
      </c>
      <c r="I1186" t="s">
        <v>3759</v>
      </c>
      <c r="J1186" s="2" t="str">
        <f t="shared" si="27"/>
        <v>https://www.facebook.com/1419471070</v>
      </c>
      <c r="K1186">
        <v>383</v>
      </c>
      <c r="L1186" t="s">
        <v>6063</v>
      </c>
      <c r="N1186" t="s">
        <v>13</v>
      </c>
      <c r="O1186" t="s">
        <v>3760</v>
      </c>
      <c r="P1186" s="2" t="str">
        <f t="shared" si="28"/>
        <v>https://www.facebook.com/1676376791</v>
      </c>
      <c r="Q1186">
        <v>4013</v>
      </c>
      <c r="R1186" t="s">
        <v>6067</v>
      </c>
      <c r="S1186" t="s">
        <v>6073</v>
      </c>
    </row>
    <row r="1187" spans="1:19" ht="14.25" customHeight="1" x14ac:dyDescent="0.3">
      <c r="A1187" t="s">
        <v>3527</v>
      </c>
      <c r="B1187" t="s">
        <v>814</v>
      </c>
      <c r="C1187" t="s">
        <v>95</v>
      </c>
      <c r="D1187" t="s">
        <v>3757</v>
      </c>
      <c r="E1187" t="s">
        <v>3758</v>
      </c>
      <c r="F1187" t="s">
        <v>6059</v>
      </c>
      <c r="G1187" s="2" t="str">
        <f>HYPERLINK("https://www.facebook.com/1676376791/posts/10209685538090004?comment_id=10209708409381772")</f>
        <v>https://www.facebook.com/1676376791/posts/10209685538090004?comment_id=10209708409381772</v>
      </c>
      <c r="H1187" t="s">
        <v>6062</v>
      </c>
      <c r="I1187" t="s">
        <v>3759</v>
      </c>
      <c r="J1187" s="2" t="str">
        <f t="shared" si="27"/>
        <v>https://www.facebook.com/1419471070</v>
      </c>
      <c r="K1187">
        <v>383</v>
      </c>
      <c r="L1187" t="s">
        <v>6063</v>
      </c>
      <c r="N1187" t="s">
        <v>13</v>
      </c>
      <c r="O1187" t="s">
        <v>3760</v>
      </c>
      <c r="P1187" s="2" t="str">
        <f t="shared" si="28"/>
        <v>https://www.facebook.com/1676376791</v>
      </c>
      <c r="Q1187">
        <v>4013</v>
      </c>
      <c r="R1187" t="s">
        <v>6067</v>
      </c>
      <c r="S1187" t="s">
        <v>6073</v>
      </c>
    </row>
    <row r="1188" spans="1:19" ht="14.25" customHeight="1" x14ac:dyDescent="0.3">
      <c r="A1188" t="s">
        <v>3527</v>
      </c>
      <c r="B1188" t="s">
        <v>3796</v>
      </c>
      <c r="C1188" t="s">
        <v>95</v>
      </c>
      <c r="D1188" t="s">
        <v>3757</v>
      </c>
      <c r="E1188" t="s">
        <v>3797</v>
      </c>
      <c r="F1188" t="s">
        <v>6059</v>
      </c>
      <c r="G1188" s="2" t="str">
        <f>HYPERLINK("https://www.facebook.com/1676376791/posts/10209685538090004?comment_id=10209708320379547")</f>
        <v>https://www.facebook.com/1676376791/posts/10209685538090004?comment_id=10209708320379547</v>
      </c>
      <c r="H1188" t="s">
        <v>6062</v>
      </c>
      <c r="I1188" t="s">
        <v>3759</v>
      </c>
      <c r="J1188" s="2" t="str">
        <f t="shared" si="27"/>
        <v>https://www.facebook.com/1419471070</v>
      </c>
      <c r="K1188">
        <v>383</v>
      </c>
      <c r="L1188" t="s">
        <v>6063</v>
      </c>
      <c r="N1188" t="s">
        <v>13</v>
      </c>
      <c r="O1188" t="s">
        <v>3760</v>
      </c>
      <c r="P1188" s="2" t="str">
        <f t="shared" si="28"/>
        <v>https://www.facebook.com/1676376791</v>
      </c>
      <c r="Q1188">
        <v>4013</v>
      </c>
      <c r="R1188" t="s">
        <v>6067</v>
      </c>
      <c r="S1188" t="s">
        <v>6073</v>
      </c>
    </row>
    <row r="1189" spans="1:19" ht="14.25" customHeight="1" x14ac:dyDescent="0.3">
      <c r="A1189" t="s">
        <v>2225</v>
      </c>
      <c r="B1189" t="s">
        <v>2614</v>
      </c>
      <c r="C1189" t="s">
        <v>95</v>
      </c>
      <c r="D1189" t="s">
        <v>853</v>
      </c>
      <c r="E1189" t="s">
        <v>2615</v>
      </c>
      <c r="F1189" t="s">
        <v>6059</v>
      </c>
      <c r="G1189" s="2" t="str">
        <f>HYPERLINK("https://www.facebook.com/100008934274771/posts/1810262525948206?comment_id=1810285105945948")</f>
        <v>https://www.facebook.com/100008934274771/posts/1810262525948206?comment_id=1810285105945948</v>
      </c>
      <c r="H1189" t="s">
        <v>6062</v>
      </c>
      <c r="I1189" t="s">
        <v>2616</v>
      </c>
      <c r="J1189" s="2" t="str">
        <f>HYPERLINK("https://www.facebook.com/100002337187977")</f>
        <v>https://www.facebook.com/100002337187977</v>
      </c>
      <c r="K1189">
        <v>3264</v>
      </c>
      <c r="L1189" t="s">
        <v>6063</v>
      </c>
      <c r="N1189" t="s">
        <v>13</v>
      </c>
      <c r="O1189" t="s">
        <v>856</v>
      </c>
      <c r="P1189" s="2" t="str">
        <f>HYPERLINK("https://www.facebook.com/100008934274771")</f>
        <v>https://www.facebook.com/100008934274771</v>
      </c>
      <c r="Q1189">
        <v>10395</v>
      </c>
      <c r="R1189" t="s">
        <v>6067</v>
      </c>
      <c r="S1189" t="s">
        <v>6073</v>
      </c>
    </row>
    <row r="1190" spans="1:19" ht="14.25" customHeight="1" x14ac:dyDescent="0.3">
      <c r="A1190" t="s">
        <v>629</v>
      </c>
      <c r="B1190" t="s">
        <v>713</v>
      </c>
      <c r="C1190" t="s">
        <v>95</v>
      </c>
      <c r="D1190" t="s">
        <v>533</v>
      </c>
      <c r="E1190" t="s">
        <v>714</v>
      </c>
      <c r="F1190" t="s">
        <v>6059</v>
      </c>
      <c r="G1190" s="2" t="str">
        <f>HYPERLINK("https://www.facebook.com/100002561969210/posts/1627306987364684?comment_id=1627314114030638")</f>
        <v>https://www.facebook.com/100002561969210/posts/1627306987364684?comment_id=1627314114030638</v>
      </c>
      <c r="H1190" t="s">
        <v>6062</v>
      </c>
      <c r="I1190" t="s">
        <v>715</v>
      </c>
      <c r="J1190" s="2" t="str">
        <f>HYPERLINK("https://www.facebook.com/100000348002730")</f>
        <v>https://www.facebook.com/100000348002730</v>
      </c>
      <c r="K1190">
        <v>790</v>
      </c>
      <c r="L1190" t="s">
        <v>6063</v>
      </c>
      <c r="N1190" t="s">
        <v>13</v>
      </c>
      <c r="O1190" t="s">
        <v>536</v>
      </c>
      <c r="P1190" s="2" t="str">
        <f>HYPERLINK("https://www.facebook.com/100002561969210")</f>
        <v>https://www.facebook.com/100002561969210</v>
      </c>
      <c r="Q1190">
        <v>0</v>
      </c>
      <c r="R1190" t="s">
        <v>6067</v>
      </c>
      <c r="S1190" t="s">
        <v>6073</v>
      </c>
    </row>
    <row r="1191" spans="1:19" ht="14.25" customHeight="1" x14ac:dyDescent="0.3">
      <c r="A1191" t="s">
        <v>5409</v>
      </c>
      <c r="B1191" t="s">
        <v>422</v>
      </c>
      <c r="C1191" t="s">
        <v>3538</v>
      </c>
      <c r="D1191" t="s">
        <v>4943</v>
      </c>
      <c r="E1191" t="s">
        <v>5898</v>
      </c>
      <c r="F1191" t="s">
        <v>6059</v>
      </c>
      <c r="G1191" s="2" t="str">
        <f>HYPERLINK("https://www.facebook.com/1181011217/posts/10215757430106998?comment_id=10215760077253175")</f>
        <v>https://www.facebook.com/1181011217/posts/10215757430106998?comment_id=10215760077253175</v>
      </c>
      <c r="H1191" t="s">
        <v>6062</v>
      </c>
      <c r="I1191" t="s">
        <v>5899</v>
      </c>
      <c r="J1191" s="2" t="str">
        <f>HYPERLINK("https://www.facebook.com/100005106522239")</f>
        <v>https://www.facebook.com/100005106522239</v>
      </c>
      <c r="K1191">
        <v>0</v>
      </c>
      <c r="L1191" t="s">
        <v>6063</v>
      </c>
      <c r="N1191" t="s">
        <v>13</v>
      </c>
      <c r="O1191" t="s">
        <v>4945</v>
      </c>
      <c r="P1191" s="2" t="str">
        <f>HYPERLINK("https://www.facebook.com/1181011217")</f>
        <v>https://www.facebook.com/1181011217</v>
      </c>
      <c r="Q1191">
        <v>0</v>
      </c>
      <c r="R1191" t="s">
        <v>6067</v>
      </c>
      <c r="S1191" t="s">
        <v>6073</v>
      </c>
    </row>
    <row r="1192" spans="1:19" ht="14.25" customHeight="1" x14ac:dyDescent="0.3">
      <c r="A1192" t="s">
        <v>5409</v>
      </c>
      <c r="B1192" t="s">
        <v>5560</v>
      </c>
      <c r="C1192" t="s">
        <v>3538</v>
      </c>
      <c r="D1192" t="s">
        <v>5311</v>
      </c>
      <c r="E1192" t="s">
        <v>5561</v>
      </c>
      <c r="F1192" t="s">
        <v>6059</v>
      </c>
      <c r="G1192" s="2" t="str">
        <f>HYPERLINK("https://www.facebook.com/1529329267308888/posts/2058800057695137?comment_id=2058808844360925")</f>
        <v>https://www.facebook.com/1529329267308888/posts/2058800057695137?comment_id=2058808844360925</v>
      </c>
      <c r="H1192" t="s">
        <v>6062</v>
      </c>
      <c r="I1192" t="s">
        <v>5503</v>
      </c>
      <c r="J1192" s="2" t="str">
        <f>HYPERLINK("https://www.facebook.com/100001640315868")</f>
        <v>https://www.facebook.com/100001640315868</v>
      </c>
      <c r="K1192">
        <v>110</v>
      </c>
      <c r="L1192" t="s">
        <v>6063</v>
      </c>
      <c r="N1192" t="s">
        <v>13</v>
      </c>
      <c r="O1192" t="s">
        <v>4471</v>
      </c>
      <c r="P1192" s="2" t="str">
        <f>HYPERLINK("https://www.facebook.com/1529329267308888")</f>
        <v>https://www.facebook.com/1529329267308888</v>
      </c>
      <c r="R1192" t="s">
        <v>6067</v>
      </c>
      <c r="S1192" t="s">
        <v>6073</v>
      </c>
    </row>
    <row r="1193" spans="1:19" ht="14.25" customHeight="1" x14ac:dyDescent="0.3">
      <c r="A1193" t="s">
        <v>5409</v>
      </c>
      <c r="B1193" t="s">
        <v>808</v>
      </c>
      <c r="C1193" t="s">
        <v>3538</v>
      </c>
      <c r="D1193" t="s">
        <v>4468</v>
      </c>
      <c r="E1193" t="s">
        <v>5502</v>
      </c>
      <c r="F1193" t="s">
        <v>6059</v>
      </c>
      <c r="G1193" s="2" t="str">
        <f>HYPERLINK("https://www.facebook.com/1529329267308888/posts/2058827921025684?comment_id=2058837747691368")</f>
        <v>https://www.facebook.com/1529329267308888/posts/2058827921025684?comment_id=2058837747691368</v>
      </c>
      <c r="H1193" t="s">
        <v>6062</v>
      </c>
      <c r="I1193" t="s">
        <v>5503</v>
      </c>
      <c r="J1193" s="2" t="str">
        <f>HYPERLINK("https://www.facebook.com/100001640315868")</f>
        <v>https://www.facebook.com/100001640315868</v>
      </c>
      <c r="K1193">
        <v>110</v>
      </c>
      <c r="L1193" t="s">
        <v>6063</v>
      </c>
      <c r="N1193" t="s">
        <v>13</v>
      </c>
      <c r="O1193" t="s">
        <v>4471</v>
      </c>
      <c r="P1193" s="2" t="str">
        <f>HYPERLINK("https://www.facebook.com/1529329267308888")</f>
        <v>https://www.facebook.com/1529329267308888</v>
      </c>
      <c r="R1193" t="s">
        <v>6067</v>
      </c>
      <c r="S1193" t="s">
        <v>6073</v>
      </c>
    </row>
    <row r="1194" spans="1:19" ht="14.25" customHeight="1" x14ac:dyDescent="0.3">
      <c r="A1194" t="s">
        <v>5409</v>
      </c>
      <c r="B1194" t="s">
        <v>3867</v>
      </c>
      <c r="C1194" t="s">
        <v>3538</v>
      </c>
      <c r="D1194" t="s">
        <v>5311</v>
      </c>
      <c r="E1194" t="s">
        <v>5559</v>
      </c>
      <c r="F1194" t="s">
        <v>6059</v>
      </c>
      <c r="G1194" s="2" t="str">
        <f>HYPERLINK("https://www.facebook.com/1529329267308888/posts/2058800057695137?comment_id=2058810227694120")</f>
        <v>https://www.facebook.com/1529329267308888/posts/2058800057695137?comment_id=2058810227694120</v>
      </c>
      <c r="H1194" t="s">
        <v>6062</v>
      </c>
      <c r="I1194" t="s">
        <v>5503</v>
      </c>
      <c r="J1194" s="2" t="str">
        <f>HYPERLINK("https://www.facebook.com/100001640315868")</f>
        <v>https://www.facebook.com/100001640315868</v>
      </c>
      <c r="K1194">
        <v>110</v>
      </c>
      <c r="L1194" t="s">
        <v>6063</v>
      </c>
      <c r="N1194" t="s">
        <v>13</v>
      </c>
      <c r="O1194" t="s">
        <v>4471</v>
      </c>
      <c r="P1194" s="2" t="str">
        <f>HYPERLINK("https://www.facebook.com/1529329267308888")</f>
        <v>https://www.facebook.com/1529329267308888</v>
      </c>
      <c r="R1194" t="s">
        <v>6067</v>
      </c>
      <c r="S1194" t="s">
        <v>6073</v>
      </c>
    </row>
    <row r="1195" spans="1:19" ht="14.25" customHeight="1" x14ac:dyDescent="0.3">
      <c r="A1195" t="s">
        <v>629</v>
      </c>
      <c r="B1195" t="s">
        <v>1985</v>
      </c>
      <c r="C1195" t="s">
        <v>95</v>
      </c>
      <c r="D1195" t="s">
        <v>370</v>
      </c>
      <c r="E1195" t="s">
        <v>371</v>
      </c>
      <c r="F1195" t="s">
        <v>6058</v>
      </c>
      <c r="G1195" s="2" t="str">
        <f>HYPERLINK("https://www.facebook.com/100023484860269/posts/185406742252153")</f>
        <v>https://www.facebook.com/100023484860269/posts/185406742252153</v>
      </c>
      <c r="H1195" t="s">
        <v>6062</v>
      </c>
      <c r="I1195" t="s">
        <v>1987</v>
      </c>
      <c r="J1195" s="2" t="str">
        <f>HYPERLINK("https://www.facebook.com/100023484860269")</f>
        <v>https://www.facebook.com/100023484860269</v>
      </c>
      <c r="K1195">
        <v>4639</v>
      </c>
      <c r="L1195" t="s">
        <v>6063</v>
      </c>
      <c r="N1195" t="s">
        <v>13</v>
      </c>
      <c r="O1195" t="s">
        <v>1987</v>
      </c>
      <c r="P1195" s="2" t="str">
        <f>HYPERLINK("https://www.facebook.com/100023484860269")</f>
        <v>https://www.facebook.com/100023484860269</v>
      </c>
      <c r="Q1195">
        <v>4639</v>
      </c>
      <c r="R1195" t="s">
        <v>6067</v>
      </c>
    </row>
    <row r="1196" spans="1:19" ht="14.25" customHeight="1" x14ac:dyDescent="0.3">
      <c r="A1196" t="s">
        <v>629</v>
      </c>
      <c r="B1196" t="s">
        <v>1854</v>
      </c>
      <c r="C1196" t="s">
        <v>95</v>
      </c>
      <c r="D1196" t="s">
        <v>370</v>
      </c>
      <c r="E1196" t="s">
        <v>371</v>
      </c>
      <c r="F1196" t="s">
        <v>6058</v>
      </c>
      <c r="G1196" s="2" t="str">
        <f>HYPERLINK("https://www.facebook.com/100021464510580/posts/186656602059822")</f>
        <v>https://www.facebook.com/100021464510580/posts/186656602059822</v>
      </c>
      <c r="H1196" t="s">
        <v>6062</v>
      </c>
      <c r="I1196" t="s">
        <v>1855</v>
      </c>
      <c r="J1196" s="2" t="str">
        <f>HYPERLINK("https://www.facebook.com/100021464510580")</f>
        <v>https://www.facebook.com/100021464510580</v>
      </c>
      <c r="K1196">
        <v>752</v>
      </c>
      <c r="L1196" t="s">
        <v>6063</v>
      </c>
      <c r="N1196" t="s">
        <v>13</v>
      </c>
      <c r="O1196" t="s">
        <v>1855</v>
      </c>
      <c r="P1196" s="2" t="str">
        <f>HYPERLINK("https://www.facebook.com/100021464510580")</f>
        <v>https://www.facebook.com/100021464510580</v>
      </c>
      <c r="Q1196">
        <v>752</v>
      </c>
      <c r="R1196" t="s">
        <v>6067</v>
      </c>
      <c r="S1196" t="s">
        <v>6073</v>
      </c>
    </row>
    <row r="1197" spans="1:19" ht="14.25" customHeight="1" x14ac:dyDescent="0.3">
      <c r="A1197" t="s">
        <v>5409</v>
      </c>
      <c r="B1197" t="s">
        <v>5946</v>
      </c>
      <c r="C1197" t="s">
        <v>3538</v>
      </c>
      <c r="D1197" t="s">
        <v>3780</v>
      </c>
      <c r="E1197" t="s">
        <v>4672</v>
      </c>
      <c r="F1197" t="s">
        <v>6058</v>
      </c>
      <c r="G1197" s="2" t="str">
        <f>HYPERLINK("https://www.facebook.com/100004351839431/posts/954971567991229")</f>
        <v>https://www.facebook.com/100004351839431/posts/954971567991229</v>
      </c>
      <c r="H1197" t="s">
        <v>6062</v>
      </c>
      <c r="I1197" t="s">
        <v>5947</v>
      </c>
      <c r="J1197" s="2" t="str">
        <f>HYPERLINK("https://www.facebook.com/100004351839431")</f>
        <v>https://www.facebook.com/100004351839431</v>
      </c>
      <c r="K1197">
        <v>110</v>
      </c>
      <c r="L1197" t="s">
        <v>6063</v>
      </c>
      <c r="N1197" t="s">
        <v>13</v>
      </c>
      <c r="O1197" t="s">
        <v>5947</v>
      </c>
      <c r="P1197" s="2" t="str">
        <f>HYPERLINK("https://www.facebook.com/100004351839431")</f>
        <v>https://www.facebook.com/100004351839431</v>
      </c>
      <c r="Q1197">
        <v>110</v>
      </c>
      <c r="R1197" t="s">
        <v>6067</v>
      </c>
      <c r="S1197" t="s">
        <v>6073</v>
      </c>
    </row>
    <row r="1198" spans="1:19" ht="14.25" customHeight="1" x14ac:dyDescent="0.3">
      <c r="A1198" t="s">
        <v>629</v>
      </c>
      <c r="B1198" t="s">
        <v>1567</v>
      </c>
      <c r="C1198" t="s">
        <v>95</v>
      </c>
      <c r="D1198" t="s">
        <v>1310</v>
      </c>
      <c r="E1198" t="s">
        <v>1568</v>
      </c>
      <c r="F1198" t="s">
        <v>6059</v>
      </c>
      <c r="G1198" s="2" t="str">
        <f>HYPERLINK("https://www.facebook.com/100002596202440/posts/1614339498662575?comment_id=1614794145283777")</f>
        <v>https://www.facebook.com/100002596202440/posts/1614339498662575?comment_id=1614794145283777</v>
      </c>
      <c r="H1198" t="s">
        <v>6062</v>
      </c>
      <c r="I1198" t="s">
        <v>1317</v>
      </c>
      <c r="J1198" s="2" t="str">
        <f>HYPERLINK("https://www.facebook.com/100001473607753")</f>
        <v>https://www.facebook.com/100001473607753</v>
      </c>
      <c r="K1198">
        <v>399</v>
      </c>
      <c r="L1198" t="s">
        <v>6064</v>
      </c>
      <c r="N1198" t="s">
        <v>13</v>
      </c>
      <c r="O1198" t="s">
        <v>1312</v>
      </c>
      <c r="P1198" s="2" t="str">
        <f>HYPERLINK("https://www.facebook.com/100002596202440")</f>
        <v>https://www.facebook.com/100002596202440</v>
      </c>
      <c r="Q1198">
        <v>531</v>
      </c>
      <c r="R1198" t="s">
        <v>6067</v>
      </c>
      <c r="S1198" t="s">
        <v>6073</v>
      </c>
    </row>
    <row r="1199" spans="1:19" ht="14.25" customHeight="1" x14ac:dyDescent="0.3">
      <c r="A1199" t="s">
        <v>3527</v>
      </c>
      <c r="B1199" t="s">
        <v>3159</v>
      </c>
      <c r="C1199" t="s">
        <v>95</v>
      </c>
      <c r="D1199" t="s">
        <v>4065</v>
      </c>
      <c r="E1199" t="s">
        <v>4066</v>
      </c>
      <c r="F1199" t="s">
        <v>6059</v>
      </c>
      <c r="G1199" s="2" t="str">
        <f>HYPERLINK("https://www.facebook.com/1736152623/posts/10204283825412555?comment_id=10204284399266901")</f>
        <v>https://www.facebook.com/1736152623/posts/10204283825412555?comment_id=10204284399266901</v>
      </c>
      <c r="H1199" t="s">
        <v>6062</v>
      </c>
      <c r="I1199" t="s">
        <v>4067</v>
      </c>
      <c r="J1199" s="2" t="str">
        <f>HYPERLINK("https://www.facebook.com/100002380092491")</f>
        <v>https://www.facebook.com/100002380092491</v>
      </c>
      <c r="K1199">
        <v>0</v>
      </c>
      <c r="L1199" t="s">
        <v>6064</v>
      </c>
      <c r="N1199" t="s">
        <v>13</v>
      </c>
      <c r="O1199" t="s">
        <v>4068</v>
      </c>
      <c r="P1199" s="2" t="str">
        <f>HYPERLINK("https://www.facebook.com/1736152623")</f>
        <v>https://www.facebook.com/1736152623</v>
      </c>
      <c r="Q1199">
        <v>408</v>
      </c>
      <c r="R1199" t="s">
        <v>6067</v>
      </c>
      <c r="S1199" t="s">
        <v>6073</v>
      </c>
    </row>
    <row r="1200" spans="1:19" ht="14.25" customHeight="1" x14ac:dyDescent="0.3">
      <c r="A1200" t="s">
        <v>5409</v>
      </c>
      <c r="B1200" t="s">
        <v>245</v>
      </c>
      <c r="C1200" t="s">
        <v>3538</v>
      </c>
      <c r="D1200" t="s">
        <v>4318</v>
      </c>
      <c r="E1200" t="s">
        <v>5429</v>
      </c>
      <c r="F1200" t="s">
        <v>6058</v>
      </c>
      <c r="G1200" s="2" t="str">
        <f>HYPERLINK("https://www.facebook.com/100005752031077/posts/805539652981095")</f>
        <v>https://www.facebook.com/100005752031077/posts/805539652981095</v>
      </c>
      <c r="H1200" t="s">
        <v>6062</v>
      </c>
      <c r="I1200" t="s">
        <v>5794</v>
      </c>
      <c r="J1200" s="2" t="str">
        <f>HYPERLINK("https://www.facebook.com/100005752031077")</f>
        <v>https://www.facebook.com/100005752031077</v>
      </c>
      <c r="K1200">
        <v>153</v>
      </c>
      <c r="L1200" t="s">
        <v>6064</v>
      </c>
      <c r="N1200" t="s">
        <v>13</v>
      </c>
      <c r="O1200" t="s">
        <v>5794</v>
      </c>
      <c r="P1200" s="2" t="str">
        <f>HYPERLINK("https://www.facebook.com/100005752031077")</f>
        <v>https://www.facebook.com/100005752031077</v>
      </c>
      <c r="Q1200">
        <v>153</v>
      </c>
      <c r="R1200" t="s">
        <v>6067</v>
      </c>
      <c r="S1200" t="s">
        <v>6073</v>
      </c>
    </row>
    <row r="1201" spans="1:19" ht="14.25" customHeight="1" x14ac:dyDescent="0.3">
      <c r="A1201" t="s">
        <v>629</v>
      </c>
      <c r="B1201" t="s">
        <v>365</v>
      </c>
      <c r="C1201" t="s">
        <v>95</v>
      </c>
      <c r="D1201" t="s">
        <v>370</v>
      </c>
      <c r="E1201" t="s">
        <v>371</v>
      </c>
      <c r="F1201" t="s">
        <v>6058</v>
      </c>
      <c r="G1201" s="2" t="str">
        <f>HYPERLINK("https://www.facebook.com/100001217218361/posts/1896237703760118")</f>
        <v>https://www.facebook.com/100001217218361/posts/1896237703760118</v>
      </c>
      <c r="H1201" t="s">
        <v>6062</v>
      </c>
      <c r="I1201" t="s">
        <v>1660</v>
      </c>
      <c r="J1201" s="2" t="str">
        <f>HYPERLINK("https://www.facebook.com/100001217218361")</f>
        <v>https://www.facebook.com/100001217218361</v>
      </c>
      <c r="K1201">
        <v>350</v>
      </c>
      <c r="L1201" t="s">
        <v>6064</v>
      </c>
      <c r="N1201" t="s">
        <v>13</v>
      </c>
      <c r="O1201" t="s">
        <v>1660</v>
      </c>
      <c r="P1201" s="2" t="str">
        <f>HYPERLINK("https://www.facebook.com/100001217218361")</f>
        <v>https://www.facebook.com/100001217218361</v>
      </c>
      <c r="Q1201">
        <v>350</v>
      </c>
      <c r="R1201" t="s">
        <v>6067</v>
      </c>
      <c r="S1201" t="s">
        <v>6073</v>
      </c>
    </row>
    <row r="1202" spans="1:19" ht="14.25" customHeight="1" x14ac:dyDescent="0.3">
      <c r="A1202" t="s">
        <v>4995</v>
      </c>
      <c r="B1202" t="s">
        <v>1536</v>
      </c>
      <c r="C1202" t="s">
        <v>3538</v>
      </c>
      <c r="D1202" t="s">
        <v>5017</v>
      </c>
      <c r="E1202" t="s">
        <v>5018</v>
      </c>
      <c r="F1202" t="s">
        <v>6058</v>
      </c>
      <c r="G1202" s="2" t="str">
        <f>HYPERLINK("https://www.facebook.com/100000337186655/posts/1747432151944674")</f>
        <v>https://www.facebook.com/100000337186655/posts/1747432151944674</v>
      </c>
      <c r="H1202" t="s">
        <v>6062</v>
      </c>
      <c r="I1202" t="s">
        <v>47</v>
      </c>
      <c r="J1202" s="2" t="str">
        <f>HYPERLINK("https://www.facebook.com/100000337186655")</f>
        <v>https://www.facebook.com/100000337186655</v>
      </c>
      <c r="K1202">
        <v>0</v>
      </c>
      <c r="L1202" t="s">
        <v>6064</v>
      </c>
      <c r="N1202" t="s">
        <v>13</v>
      </c>
      <c r="O1202" t="s">
        <v>47</v>
      </c>
      <c r="P1202" s="2" t="str">
        <f>HYPERLINK("https://www.facebook.com/100000337186655")</f>
        <v>https://www.facebook.com/100000337186655</v>
      </c>
      <c r="Q1202">
        <v>0</v>
      </c>
      <c r="R1202" t="s">
        <v>6067</v>
      </c>
      <c r="S1202" t="s">
        <v>6073</v>
      </c>
    </row>
    <row r="1203" spans="1:19" ht="14.25" customHeight="1" x14ac:dyDescent="0.3">
      <c r="A1203" t="s">
        <v>5409</v>
      </c>
      <c r="B1203" t="s">
        <v>1531</v>
      </c>
      <c r="C1203" t="s">
        <v>3538</v>
      </c>
      <c r="D1203" t="s">
        <v>4318</v>
      </c>
      <c r="E1203" t="s">
        <v>5429</v>
      </c>
      <c r="F1203" t="s">
        <v>6058</v>
      </c>
      <c r="G1203" s="2" t="str">
        <f>HYPERLINK("https://www.facebook.com/100000337186655/posts/1746426765378546")</f>
        <v>https://www.facebook.com/100000337186655/posts/1746426765378546</v>
      </c>
      <c r="H1203" t="s">
        <v>6062</v>
      </c>
      <c r="I1203" t="s">
        <v>47</v>
      </c>
      <c r="J1203" s="2" t="str">
        <f>HYPERLINK("https://www.facebook.com/100000337186655")</f>
        <v>https://www.facebook.com/100000337186655</v>
      </c>
      <c r="K1203">
        <v>0</v>
      </c>
      <c r="L1203" t="s">
        <v>6064</v>
      </c>
      <c r="N1203" t="s">
        <v>13</v>
      </c>
      <c r="O1203" t="s">
        <v>47</v>
      </c>
      <c r="P1203" s="2" t="str">
        <f>HYPERLINK("https://www.facebook.com/100000337186655")</f>
        <v>https://www.facebook.com/100000337186655</v>
      </c>
      <c r="Q1203">
        <v>0</v>
      </c>
      <c r="R1203" t="s">
        <v>6067</v>
      </c>
      <c r="S1203" t="s">
        <v>6073</v>
      </c>
    </row>
    <row r="1204" spans="1:19" ht="14.25" customHeight="1" x14ac:dyDescent="0.3">
      <c r="A1204" t="s">
        <v>1</v>
      </c>
      <c r="B1204" t="s">
        <v>43</v>
      </c>
      <c r="C1204" t="s">
        <v>44</v>
      </c>
      <c r="D1204" t="s">
        <v>45</v>
      </c>
      <c r="E1204" t="s">
        <v>46</v>
      </c>
      <c r="F1204" t="s">
        <v>6058</v>
      </c>
      <c r="G1204" s="2" t="str">
        <f>HYPERLINK("https://www.facebook.com/100000337186655/posts/1752660848088471")</f>
        <v>https://www.facebook.com/100000337186655/posts/1752660848088471</v>
      </c>
      <c r="H1204" t="s">
        <v>6062</v>
      </c>
      <c r="I1204" t="s">
        <v>47</v>
      </c>
      <c r="J1204" s="2" t="str">
        <f>HYPERLINK("https://www.facebook.com/100000337186655")</f>
        <v>https://www.facebook.com/100000337186655</v>
      </c>
      <c r="K1204">
        <v>0</v>
      </c>
      <c r="L1204" t="s">
        <v>6064</v>
      </c>
      <c r="N1204" t="s">
        <v>13</v>
      </c>
      <c r="O1204" t="s">
        <v>47</v>
      </c>
      <c r="P1204" s="2" t="str">
        <f>HYPERLINK("https://www.facebook.com/100000337186655")</f>
        <v>https://www.facebook.com/100000337186655</v>
      </c>
      <c r="Q1204">
        <v>0</v>
      </c>
      <c r="R1204" t="s">
        <v>6067</v>
      </c>
      <c r="S1204" t="s">
        <v>6073</v>
      </c>
    </row>
    <row r="1205" spans="1:19" ht="14.25" customHeight="1" x14ac:dyDescent="0.3">
      <c r="A1205" t="s">
        <v>3527</v>
      </c>
      <c r="B1205" t="s">
        <v>3804</v>
      </c>
      <c r="C1205" t="s">
        <v>95</v>
      </c>
      <c r="D1205" t="s">
        <v>522</v>
      </c>
      <c r="E1205" t="s">
        <v>523</v>
      </c>
      <c r="F1205" t="s">
        <v>6058</v>
      </c>
      <c r="G1205" s="2" t="str">
        <f>HYPERLINK("https://www.facebook.com/100000337186655/posts/1749842301703659")</f>
        <v>https://www.facebook.com/100000337186655/posts/1749842301703659</v>
      </c>
      <c r="H1205" t="s">
        <v>6062</v>
      </c>
      <c r="I1205" t="s">
        <v>47</v>
      </c>
      <c r="J1205" s="2" t="str">
        <f>HYPERLINK("https://www.facebook.com/100000337186655")</f>
        <v>https://www.facebook.com/100000337186655</v>
      </c>
      <c r="K1205">
        <v>0</v>
      </c>
      <c r="L1205" t="s">
        <v>6064</v>
      </c>
      <c r="N1205" t="s">
        <v>13</v>
      </c>
      <c r="O1205" t="s">
        <v>47</v>
      </c>
      <c r="P1205" s="2" t="str">
        <f>HYPERLINK("https://www.facebook.com/100000337186655")</f>
        <v>https://www.facebook.com/100000337186655</v>
      </c>
      <c r="Q1205">
        <v>0</v>
      </c>
      <c r="R1205" t="s">
        <v>6067</v>
      </c>
      <c r="S1205" t="s">
        <v>6073</v>
      </c>
    </row>
    <row r="1206" spans="1:19" ht="14.25" customHeight="1" x14ac:dyDescent="0.3">
      <c r="A1206" t="s">
        <v>5409</v>
      </c>
      <c r="B1206" t="s">
        <v>1830</v>
      </c>
      <c r="C1206" t="s">
        <v>3538</v>
      </c>
      <c r="D1206" t="s">
        <v>5904</v>
      </c>
      <c r="E1206" t="s">
        <v>5905</v>
      </c>
      <c r="F1206" t="s">
        <v>6057</v>
      </c>
      <c r="G1206" s="2" t="str">
        <f>HYPERLINK("https://www.facebook.com/100000883010729/posts/1719547878084629")</f>
        <v>https://www.facebook.com/100000883010729/posts/1719547878084629</v>
      </c>
      <c r="H1206" t="s">
        <v>6062</v>
      </c>
      <c r="I1206" t="s">
        <v>5906</v>
      </c>
      <c r="J1206" s="2" t="str">
        <f>HYPERLINK("https://www.facebook.com/100000883010729")</f>
        <v>https://www.facebook.com/100000883010729</v>
      </c>
      <c r="K1206">
        <v>0</v>
      </c>
      <c r="L1206" t="s">
        <v>6064</v>
      </c>
      <c r="N1206" t="s">
        <v>13</v>
      </c>
      <c r="O1206" t="s">
        <v>5906</v>
      </c>
      <c r="P1206" s="2" t="str">
        <f>HYPERLINK("https://www.facebook.com/100000883010729")</f>
        <v>https://www.facebook.com/100000883010729</v>
      </c>
      <c r="Q1206">
        <v>0</v>
      </c>
      <c r="R1206" t="s">
        <v>6067</v>
      </c>
    </row>
    <row r="1207" spans="1:19" ht="14.25" customHeight="1" x14ac:dyDescent="0.3">
      <c r="A1207" t="s">
        <v>2225</v>
      </c>
      <c r="B1207" t="s">
        <v>736</v>
      </c>
      <c r="C1207" t="s">
        <v>95</v>
      </c>
      <c r="D1207" t="s">
        <v>544</v>
      </c>
      <c r="E1207" t="s">
        <v>545</v>
      </c>
      <c r="F1207" t="s">
        <v>6058</v>
      </c>
      <c r="G1207" s="2" t="str">
        <f>HYPERLINK("https://www.facebook.com/100003278944034/posts/1643562215763061")</f>
        <v>https://www.facebook.com/100003278944034/posts/1643562215763061</v>
      </c>
      <c r="H1207" t="s">
        <v>6062</v>
      </c>
      <c r="I1207" t="s">
        <v>2362</v>
      </c>
      <c r="J1207" s="2" t="str">
        <f>HYPERLINK("https://www.facebook.com/100003278944034")</f>
        <v>https://www.facebook.com/100003278944034</v>
      </c>
      <c r="K1207">
        <v>54</v>
      </c>
      <c r="L1207" t="s">
        <v>6064</v>
      </c>
      <c r="N1207" t="s">
        <v>13</v>
      </c>
      <c r="O1207" t="s">
        <v>2362</v>
      </c>
      <c r="P1207" s="2" t="str">
        <f>HYPERLINK("https://www.facebook.com/100003278944034")</f>
        <v>https://www.facebook.com/100003278944034</v>
      </c>
      <c r="Q1207">
        <v>54</v>
      </c>
      <c r="R1207" t="s">
        <v>6067</v>
      </c>
      <c r="S1207" t="s">
        <v>6073</v>
      </c>
    </row>
    <row r="1208" spans="1:19" ht="14.25" customHeight="1" x14ac:dyDescent="0.3">
      <c r="A1208" t="s">
        <v>2225</v>
      </c>
      <c r="B1208" t="s">
        <v>720</v>
      </c>
      <c r="C1208" t="s">
        <v>95</v>
      </c>
      <c r="D1208" t="s">
        <v>96</v>
      </c>
      <c r="E1208" t="s">
        <v>2410</v>
      </c>
      <c r="F1208" t="s">
        <v>6059</v>
      </c>
      <c r="G1208" s="2" t="str">
        <f>HYPERLINK("https://www.facebook.com/1214035469/posts/10211551199794969?comment_id=10211551275636865")</f>
        <v>https://www.facebook.com/1214035469/posts/10211551199794969?comment_id=10211551275636865</v>
      </c>
      <c r="H1208" t="s">
        <v>6062</v>
      </c>
      <c r="I1208" t="s">
        <v>2411</v>
      </c>
      <c r="J1208" s="2" t="str">
        <f>HYPERLINK("https://www.facebook.com/100000059513297")</f>
        <v>https://www.facebook.com/100000059513297</v>
      </c>
      <c r="K1208">
        <v>1957</v>
      </c>
      <c r="L1208" t="s">
        <v>6063</v>
      </c>
      <c r="N1208" t="s">
        <v>13</v>
      </c>
      <c r="O1208" t="s">
        <v>99</v>
      </c>
      <c r="P1208" s="2" t="str">
        <f>HYPERLINK("https://www.facebook.com/1214035469")</f>
        <v>https://www.facebook.com/1214035469</v>
      </c>
      <c r="Q1208">
        <v>351</v>
      </c>
      <c r="R1208" t="s">
        <v>6067</v>
      </c>
    </row>
    <row r="1209" spans="1:19" ht="14.25" customHeight="1" x14ac:dyDescent="0.3">
      <c r="A1209" t="s">
        <v>2225</v>
      </c>
      <c r="B1209" t="s">
        <v>2516</v>
      </c>
      <c r="C1209" t="s">
        <v>95</v>
      </c>
      <c r="D1209" t="s">
        <v>544</v>
      </c>
      <c r="E1209" t="s">
        <v>545</v>
      </c>
      <c r="F1209" t="s">
        <v>6058</v>
      </c>
      <c r="G1209" s="2" t="str">
        <f>HYPERLINK("https://www.facebook.com/100000634013345/posts/1842454999118949")</f>
        <v>https://www.facebook.com/100000634013345/posts/1842454999118949</v>
      </c>
      <c r="H1209" t="s">
        <v>6062</v>
      </c>
      <c r="I1209" t="s">
        <v>2519</v>
      </c>
      <c r="J1209" s="2" t="str">
        <f>HYPERLINK("https://www.facebook.com/100000634013345")</f>
        <v>https://www.facebook.com/100000634013345</v>
      </c>
      <c r="K1209">
        <v>390</v>
      </c>
      <c r="N1209" t="s">
        <v>13</v>
      </c>
      <c r="O1209" t="s">
        <v>2519</v>
      </c>
      <c r="P1209" s="2" t="str">
        <f>HYPERLINK("https://www.facebook.com/100000634013345")</f>
        <v>https://www.facebook.com/100000634013345</v>
      </c>
      <c r="Q1209">
        <v>390</v>
      </c>
      <c r="R1209" t="s">
        <v>6067</v>
      </c>
    </row>
    <row r="1210" spans="1:19" ht="14.25" customHeight="1" x14ac:dyDescent="0.3">
      <c r="A1210" t="s">
        <v>629</v>
      </c>
      <c r="B1210" t="s">
        <v>1399</v>
      </c>
      <c r="C1210" t="s">
        <v>95</v>
      </c>
      <c r="D1210" t="s">
        <v>667</v>
      </c>
      <c r="E1210" t="s">
        <v>668</v>
      </c>
      <c r="F1210" t="s">
        <v>6058</v>
      </c>
      <c r="G1210" s="2" t="str">
        <f>HYPERLINK("https://www.facebook.com/100000910042924/posts/2131033323603648")</f>
        <v>https://www.facebook.com/100000910042924/posts/2131033323603648</v>
      </c>
      <c r="H1210" t="s">
        <v>6062</v>
      </c>
      <c r="I1210" t="s">
        <v>1400</v>
      </c>
      <c r="J1210" s="2" t="str">
        <f>HYPERLINK("https://www.facebook.com/100000910042924")</f>
        <v>https://www.facebook.com/100000910042924</v>
      </c>
      <c r="K1210">
        <v>28</v>
      </c>
      <c r="L1210" t="s">
        <v>6063</v>
      </c>
      <c r="N1210" t="s">
        <v>13</v>
      </c>
      <c r="O1210" t="s">
        <v>1400</v>
      </c>
      <c r="P1210" s="2" t="str">
        <f>HYPERLINK("https://www.facebook.com/100000910042924")</f>
        <v>https://www.facebook.com/100000910042924</v>
      </c>
      <c r="Q1210">
        <v>28</v>
      </c>
      <c r="R1210" t="s">
        <v>6067</v>
      </c>
      <c r="S1210" t="s">
        <v>6073</v>
      </c>
    </row>
    <row r="1211" spans="1:19" ht="14.25" customHeight="1" x14ac:dyDescent="0.3">
      <c r="A1211" t="s">
        <v>5409</v>
      </c>
      <c r="B1211" t="s">
        <v>5441</v>
      </c>
      <c r="C1211" t="s">
        <v>3538</v>
      </c>
      <c r="D1211" t="s">
        <v>5442</v>
      </c>
      <c r="E1211" t="s">
        <v>5443</v>
      </c>
      <c r="F1211" t="s">
        <v>6059</v>
      </c>
      <c r="G1211" s="2" t="str">
        <f>HYPERLINK("https://www.facebook.com/100000480086400/posts/2357605387598774?comment_id=2359260194099960")</f>
        <v>https://www.facebook.com/100000480086400/posts/2357605387598774?comment_id=2359260194099960</v>
      </c>
      <c r="H1211" t="s">
        <v>6062</v>
      </c>
      <c r="I1211" t="s">
        <v>5444</v>
      </c>
      <c r="J1211" s="2" t="str">
        <f>HYPERLINK("https://www.facebook.com/100002300549041")</f>
        <v>https://www.facebook.com/100002300549041</v>
      </c>
      <c r="K1211">
        <v>149</v>
      </c>
      <c r="L1211" t="s">
        <v>6063</v>
      </c>
      <c r="N1211" t="s">
        <v>13</v>
      </c>
      <c r="O1211" t="s">
        <v>5244</v>
      </c>
      <c r="P1211" s="2" t="str">
        <f>HYPERLINK("https://www.facebook.com/100000480086400")</f>
        <v>https://www.facebook.com/100000480086400</v>
      </c>
      <c r="Q1211">
        <v>6778</v>
      </c>
      <c r="R1211" t="s">
        <v>6067</v>
      </c>
      <c r="S1211" t="s">
        <v>6073</v>
      </c>
    </row>
    <row r="1212" spans="1:19" ht="14.25" customHeight="1" x14ac:dyDescent="0.3">
      <c r="A1212" t="s">
        <v>5409</v>
      </c>
      <c r="B1212" t="s">
        <v>2781</v>
      </c>
      <c r="C1212" t="s">
        <v>3538</v>
      </c>
      <c r="D1212" t="s">
        <v>5481</v>
      </c>
      <c r="E1212" t="s">
        <v>5482</v>
      </c>
      <c r="F1212" t="s">
        <v>6059</v>
      </c>
      <c r="G1212" s="2" t="str">
        <f>HYPERLINK("https://www.facebook.com/100007195171808/posts/2024635934452893?comment_id=2025158707733949")</f>
        <v>https://www.facebook.com/100007195171808/posts/2024635934452893?comment_id=2025158707733949</v>
      </c>
      <c r="H1212" t="s">
        <v>6062</v>
      </c>
      <c r="I1212" t="s">
        <v>5444</v>
      </c>
      <c r="J1212" s="2" t="str">
        <f>HYPERLINK("https://www.facebook.com/100002300549041")</f>
        <v>https://www.facebook.com/100002300549041</v>
      </c>
      <c r="K1212">
        <v>149</v>
      </c>
      <c r="L1212" t="s">
        <v>6063</v>
      </c>
      <c r="N1212" t="s">
        <v>13</v>
      </c>
      <c r="O1212" t="s">
        <v>5483</v>
      </c>
      <c r="P1212" s="2" t="str">
        <f>HYPERLINK("https://www.facebook.com/100007195171808")</f>
        <v>https://www.facebook.com/100007195171808</v>
      </c>
      <c r="Q1212">
        <v>917</v>
      </c>
      <c r="R1212" t="s">
        <v>6067</v>
      </c>
      <c r="S1212" t="s">
        <v>6073</v>
      </c>
    </row>
    <row r="1213" spans="1:19" ht="14.25" customHeight="1" x14ac:dyDescent="0.3">
      <c r="A1213" t="s">
        <v>629</v>
      </c>
      <c r="B1213" t="s">
        <v>1564</v>
      </c>
      <c r="C1213" t="s">
        <v>95</v>
      </c>
      <c r="D1213" t="s">
        <v>370</v>
      </c>
      <c r="E1213" t="s">
        <v>371</v>
      </c>
      <c r="F1213" t="s">
        <v>6058</v>
      </c>
      <c r="G1213" s="2" t="str">
        <f>HYPERLINK("https://www.facebook.com/100001423423033/posts/1825314290859334")</f>
        <v>https://www.facebook.com/100001423423033/posts/1825314290859334</v>
      </c>
      <c r="H1213" t="s">
        <v>6062</v>
      </c>
      <c r="I1213" t="s">
        <v>1565</v>
      </c>
      <c r="J1213" s="2" t="str">
        <f>HYPERLINK("https://www.facebook.com/100001423423033")</f>
        <v>https://www.facebook.com/100001423423033</v>
      </c>
      <c r="K1213">
        <v>546</v>
      </c>
      <c r="L1213" t="s">
        <v>6063</v>
      </c>
      <c r="N1213" t="s">
        <v>13</v>
      </c>
      <c r="O1213" t="s">
        <v>1565</v>
      </c>
      <c r="P1213" s="2" t="str">
        <f>HYPERLINK("https://www.facebook.com/100001423423033")</f>
        <v>https://www.facebook.com/100001423423033</v>
      </c>
      <c r="Q1213">
        <v>546</v>
      </c>
      <c r="R1213" t="s">
        <v>6067</v>
      </c>
      <c r="S1213" t="s">
        <v>6073</v>
      </c>
    </row>
    <row r="1214" spans="1:19" ht="14.25" customHeight="1" x14ac:dyDescent="0.3">
      <c r="A1214" t="s">
        <v>2225</v>
      </c>
      <c r="B1214" t="s">
        <v>1857</v>
      </c>
      <c r="C1214" t="s">
        <v>95</v>
      </c>
      <c r="D1214" t="s">
        <v>2196</v>
      </c>
      <c r="E1214" t="s">
        <v>3437</v>
      </c>
      <c r="F1214" t="s">
        <v>6059</v>
      </c>
      <c r="G1214" s="2" t="str">
        <f>HYPERLINK("https://www.facebook.com/100001415260849/posts/1744734525583706?comment_id=1745669518823540")</f>
        <v>https://www.facebook.com/100001415260849/posts/1744734525583706?comment_id=1745669518823540</v>
      </c>
      <c r="H1214" t="s">
        <v>6062</v>
      </c>
      <c r="I1214" t="s">
        <v>3438</v>
      </c>
      <c r="J1214" s="2" t="str">
        <f>HYPERLINK("https://www.facebook.com/627857845")</f>
        <v>https://www.facebook.com/627857845</v>
      </c>
      <c r="K1214">
        <v>3402</v>
      </c>
      <c r="L1214" t="s">
        <v>6063</v>
      </c>
      <c r="N1214" t="s">
        <v>13</v>
      </c>
      <c r="O1214" t="s">
        <v>2199</v>
      </c>
      <c r="P1214" s="2" t="str">
        <f>HYPERLINK("https://www.facebook.com/100001415260849")</f>
        <v>https://www.facebook.com/100001415260849</v>
      </c>
      <c r="Q1214">
        <v>0</v>
      </c>
      <c r="R1214" t="s">
        <v>6067</v>
      </c>
      <c r="S1214" t="s">
        <v>6073</v>
      </c>
    </row>
    <row r="1215" spans="1:19" ht="14.25" customHeight="1" x14ac:dyDescent="0.3">
      <c r="A1215" t="s">
        <v>2225</v>
      </c>
      <c r="B1215" t="s">
        <v>559</v>
      </c>
      <c r="C1215" t="s">
        <v>95</v>
      </c>
      <c r="D1215" t="s">
        <v>2196</v>
      </c>
      <c r="E1215" t="s">
        <v>3493</v>
      </c>
      <c r="F1215" t="s">
        <v>6059</v>
      </c>
      <c r="G1215" s="2" t="str">
        <f>HYPERLINK("https://www.facebook.com/100001415260849/posts/1744734525583706?comment_id=1745331485524010")</f>
        <v>https://www.facebook.com/100001415260849/posts/1744734525583706?comment_id=1745331485524010</v>
      </c>
      <c r="H1215" t="s">
        <v>6062</v>
      </c>
      <c r="I1215" t="s">
        <v>3438</v>
      </c>
      <c r="J1215" s="2" t="str">
        <f>HYPERLINK("https://www.facebook.com/627857845")</f>
        <v>https://www.facebook.com/627857845</v>
      </c>
      <c r="K1215">
        <v>3402</v>
      </c>
      <c r="L1215" t="s">
        <v>6063</v>
      </c>
      <c r="N1215" t="s">
        <v>13</v>
      </c>
      <c r="O1215" t="s">
        <v>2199</v>
      </c>
      <c r="P1215" s="2" t="str">
        <f>HYPERLINK("https://www.facebook.com/100001415260849")</f>
        <v>https://www.facebook.com/100001415260849</v>
      </c>
      <c r="Q1215">
        <v>0</v>
      </c>
      <c r="R1215" t="s">
        <v>6067</v>
      </c>
      <c r="S1215" t="s">
        <v>6073</v>
      </c>
    </row>
    <row r="1216" spans="1:19" ht="14.25" customHeight="1" x14ac:dyDescent="0.3">
      <c r="A1216" t="s">
        <v>629</v>
      </c>
      <c r="B1216" t="s">
        <v>964</v>
      </c>
      <c r="C1216" t="s">
        <v>95</v>
      </c>
      <c r="D1216" t="s">
        <v>10</v>
      </c>
      <c r="E1216" t="s">
        <v>969</v>
      </c>
      <c r="F1216" t="s">
        <v>6059</v>
      </c>
      <c r="G1216" s="2" t="str">
        <f>HYPERLINK("https://www.facebook.com/762053551/posts/10156366210158552?comment_id=10156366485143552")</f>
        <v>https://www.facebook.com/762053551/posts/10156366210158552?comment_id=10156366485143552</v>
      </c>
      <c r="H1216" t="s">
        <v>6062</v>
      </c>
      <c r="I1216" t="s">
        <v>735</v>
      </c>
      <c r="J1216" s="2" t="str">
        <f>HYPERLINK("https://www.facebook.com/100001743432152")</f>
        <v>https://www.facebook.com/100001743432152</v>
      </c>
      <c r="K1216">
        <v>89</v>
      </c>
      <c r="L1216" t="s">
        <v>6063</v>
      </c>
      <c r="N1216" t="s">
        <v>13</v>
      </c>
      <c r="O1216" t="s">
        <v>14</v>
      </c>
      <c r="P1216" s="2" t="str">
        <f t="shared" ref="P1216:P1222" si="29">HYPERLINK("https://www.facebook.com/762053551")</f>
        <v>https://www.facebook.com/762053551</v>
      </c>
      <c r="Q1216">
        <v>102347</v>
      </c>
      <c r="R1216" t="s">
        <v>6067</v>
      </c>
      <c r="S1216" t="s">
        <v>6073</v>
      </c>
    </row>
    <row r="1217" spans="1:19" ht="14.25" customHeight="1" x14ac:dyDescent="0.3">
      <c r="A1217" t="s">
        <v>629</v>
      </c>
      <c r="B1217" t="s">
        <v>1008</v>
      </c>
      <c r="C1217" t="s">
        <v>95</v>
      </c>
      <c r="D1217" t="s">
        <v>10</v>
      </c>
      <c r="E1217" t="s">
        <v>1009</v>
      </c>
      <c r="F1217" t="s">
        <v>6059</v>
      </c>
      <c r="G1217" s="2" t="str">
        <f>HYPERLINK("https://www.facebook.com/762053551/posts/10156366210158552?comment_id=10156366403338552")</f>
        <v>https://www.facebook.com/762053551/posts/10156366210158552?comment_id=10156366403338552</v>
      </c>
      <c r="H1217" t="s">
        <v>6062</v>
      </c>
      <c r="I1217" t="s">
        <v>735</v>
      </c>
      <c r="J1217" s="2" t="str">
        <f>HYPERLINK("https://www.facebook.com/100001743432152")</f>
        <v>https://www.facebook.com/100001743432152</v>
      </c>
      <c r="K1217">
        <v>89</v>
      </c>
      <c r="L1217" t="s">
        <v>6063</v>
      </c>
      <c r="N1217" t="s">
        <v>13</v>
      </c>
      <c r="O1217" t="s">
        <v>14</v>
      </c>
      <c r="P1217" s="2" t="str">
        <f t="shared" si="29"/>
        <v>https://www.facebook.com/762053551</v>
      </c>
      <c r="Q1217">
        <v>102347</v>
      </c>
      <c r="R1217" t="s">
        <v>6067</v>
      </c>
      <c r="S1217" t="s">
        <v>6073</v>
      </c>
    </row>
    <row r="1218" spans="1:19" ht="14.25" customHeight="1" x14ac:dyDescent="0.3">
      <c r="A1218" t="s">
        <v>629</v>
      </c>
      <c r="B1218" t="s">
        <v>733</v>
      </c>
      <c r="C1218" t="s">
        <v>95</v>
      </c>
      <c r="D1218" t="s">
        <v>10</v>
      </c>
      <c r="E1218" t="s">
        <v>734</v>
      </c>
      <c r="F1218" t="s">
        <v>6059</v>
      </c>
      <c r="G1218" s="2" t="str">
        <f>HYPERLINK("https://www.facebook.com/762053551/posts/10156366210158552?comment_id=10156367022818552")</f>
        <v>https://www.facebook.com/762053551/posts/10156366210158552?comment_id=10156367022818552</v>
      </c>
      <c r="H1218" t="s">
        <v>6062</v>
      </c>
      <c r="I1218" t="s">
        <v>735</v>
      </c>
      <c r="J1218" s="2" t="str">
        <f>HYPERLINK("https://www.facebook.com/100001743432152")</f>
        <v>https://www.facebook.com/100001743432152</v>
      </c>
      <c r="K1218">
        <v>89</v>
      </c>
      <c r="L1218" t="s">
        <v>6063</v>
      </c>
      <c r="N1218" t="s">
        <v>13</v>
      </c>
      <c r="O1218" t="s">
        <v>14</v>
      </c>
      <c r="P1218" s="2" t="str">
        <f t="shared" si="29"/>
        <v>https://www.facebook.com/762053551</v>
      </c>
      <c r="Q1218">
        <v>102347</v>
      </c>
      <c r="R1218" t="s">
        <v>6067</v>
      </c>
      <c r="S1218" t="s">
        <v>6073</v>
      </c>
    </row>
    <row r="1219" spans="1:19" ht="14.25" customHeight="1" x14ac:dyDescent="0.3">
      <c r="A1219" t="s">
        <v>629</v>
      </c>
      <c r="B1219" t="s">
        <v>1005</v>
      </c>
      <c r="C1219" t="s">
        <v>95</v>
      </c>
      <c r="D1219" t="s">
        <v>10</v>
      </c>
      <c r="E1219" t="s">
        <v>1007</v>
      </c>
      <c r="F1219" t="s">
        <v>6059</v>
      </c>
      <c r="G1219" s="2" t="str">
        <f>HYPERLINK("https://www.facebook.com/762053551/posts/10156366210158552?comment_id=10156366405073552")</f>
        <v>https://www.facebook.com/762053551/posts/10156366210158552?comment_id=10156366405073552</v>
      </c>
      <c r="H1219" t="s">
        <v>6062</v>
      </c>
      <c r="I1219" t="s">
        <v>735</v>
      </c>
      <c r="J1219" s="2" t="str">
        <f>HYPERLINK("https://www.facebook.com/100001743432152")</f>
        <v>https://www.facebook.com/100001743432152</v>
      </c>
      <c r="K1219">
        <v>89</v>
      </c>
      <c r="L1219" t="s">
        <v>6063</v>
      </c>
      <c r="N1219" t="s">
        <v>13</v>
      </c>
      <c r="O1219" t="s">
        <v>14</v>
      </c>
      <c r="P1219" s="2" t="str">
        <f t="shared" si="29"/>
        <v>https://www.facebook.com/762053551</v>
      </c>
      <c r="Q1219">
        <v>102347</v>
      </c>
      <c r="R1219" t="s">
        <v>6067</v>
      </c>
      <c r="S1219" t="s">
        <v>6073</v>
      </c>
    </row>
    <row r="1220" spans="1:19" ht="14.25" customHeight="1" x14ac:dyDescent="0.3">
      <c r="A1220" t="s">
        <v>629</v>
      </c>
      <c r="B1220" t="s">
        <v>738</v>
      </c>
      <c r="C1220" t="s">
        <v>95</v>
      </c>
      <c r="D1220" t="s">
        <v>10</v>
      </c>
      <c r="E1220" t="s">
        <v>739</v>
      </c>
      <c r="F1220" t="s">
        <v>6059</v>
      </c>
      <c r="G1220" s="2" t="str">
        <f>HYPERLINK("https://www.facebook.com/762053551/posts/10156366210158552?comment_id=10156367003303552")</f>
        <v>https://www.facebook.com/762053551/posts/10156366210158552?comment_id=10156367003303552</v>
      </c>
      <c r="H1220" t="s">
        <v>6062</v>
      </c>
      <c r="I1220" t="s">
        <v>735</v>
      </c>
      <c r="J1220" s="2" t="str">
        <f>HYPERLINK("https://www.facebook.com/100001743432152")</f>
        <v>https://www.facebook.com/100001743432152</v>
      </c>
      <c r="K1220">
        <v>89</v>
      </c>
      <c r="L1220" t="s">
        <v>6063</v>
      </c>
      <c r="N1220" t="s">
        <v>13</v>
      </c>
      <c r="O1220" t="s">
        <v>14</v>
      </c>
      <c r="P1220" s="2" t="str">
        <f t="shared" si="29"/>
        <v>https://www.facebook.com/762053551</v>
      </c>
      <c r="Q1220">
        <v>102347</v>
      </c>
      <c r="R1220" t="s">
        <v>6067</v>
      </c>
      <c r="S1220" t="s">
        <v>6073</v>
      </c>
    </row>
    <row r="1221" spans="1:19" ht="14.25" customHeight="1" x14ac:dyDescent="0.3">
      <c r="A1221" t="s">
        <v>629</v>
      </c>
      <c r="B1221" t="s">
        <v>742</v>
      </c>
      <c r="C1221" t="s">
        <v>95</v>
      </c>
      <c r="D1221" t="s">
        <v>10</v>
      </c>
      <c r="E1221" t="s">
        <v>743</v>
      </c>
      <c r="F1221" t="s">
        <v>6059</v>
      </c>
      <c r="G1221" s="2" t="str">
        <f>HYPERLINK("https://www.facebook.com/762053551/posts/10156366210158552?comment_id=10156366985778552")</f>
        <v>https://www.facebook.com/762053551/posts/10156366210158552?comment_id=10156366985778552</v>
      </c>
      <c r="H1221" t="s">
        <v>6062</v>
      </c>
      <c r="I1221" t="s">
        <v>744</v>
      </c>
      <c r="J1221" s="2" t="str">
        <f>HYPERLINK("https://www.facebook.com/100001210905832")</f>
        <v>https://www.facebook.com/100001210905832</v>
      </c>
      <c r="K1221">
        <v>549</v>
      </c>
      <c r="L1221" t="s">
        <v>6063</v>
      </c>
      <c r="M1221">
        <v>39</v>
      </c>
      <c r="N1221" t="s">
        <v>13</v>
      </c>
      <c r="O1221" t="s">
        <v>14</v>
      </c>
      <c r="P1221" s="2" t="str">
        <f t="shared" si="29"/>
        <v>https://www.facebook.com/762053551</v>
      </c>
      <c r="Q1221">
        <v>102347</v>
      </c>
      <c r="R1221" t="s">
        <v>6067</v>
      </c>
      <c r="S1221" t="s">
        <v>6096</v>
      </c>
    </row>
    <row r="1222" spans="1:19" ht="14.25" customHeight="1" x14ac:dyDescent="0.3">
      <c r="A1222" t="s">
        <v>629</v>
      </c>
      <c r="B1222" t="s">
        <v>762</v>
      </c>
      <c r="C1222" t="s">
        <v>95</v>
      </c>
      <c r="D1222" t="s">
        <v>10</v>
      </c>
      <c r="E1222" t="s">
        <v>763</v>
      </c>
      <c r="F1222" t="s">
        <v>6059</v>
      </c>
      <c r="G1222" s="2" t="str">
        <f>HYPERLINK("https://www.facebook.com/762053551/posts/10156366210158552?comment_id=10156366933123552")</f>
        <v>https://www.facebook.com/762053551/posts/10156366210158552?comment_id=10156366933123552</v>
      </c>
      <c r="H1222" t="s">
        <v>6062</v>
      </c>
      <c r="I1222" t="s">
        <v>744</v>
      </c>
      <c r="J1222" s="2" t="str">
        <f>HYPERLINK("https://www.facebook.com/100001210905832")</f>
        <v>https://www.facebook.com/100001210905832</v>
      </c>
      <c r="K1222">
        <v>549</v>
      </c>
      <c r="L1222" t="s">
        <v>6063</v>
      </c>
      <c r="M1222">
        <v>39</v>
      </c>
      <c r="N1222" t="s">
        <v>13</v>
      </c>
      <c r="O1222" t="s">
        <v>14</v>
      </c>
      <c r="P1222" s="2" t="str">
        <f t="shared" si="29"/>
        <v>https://www.facebook.com/762053551</v>
      </c>
      <c r="Q1222">
        <v>102347</v>
      </c>
      <c r="R1222" t="s">
        <v>6067</v>
      </c>
      <c r="S1222" t="s">
        <v>6096</v>
      </c>
    </row>
    <row r="1223" spans="1:19" ht="14.25" customHeight="1" x14ac:dyDescent="0.3">
      <c r="A1223" t="s">
        <v>629</v>
      </c>
      <c r="B1223" t="s">
        <v>459</v>
      </c>
      <c r="C1223" t="s">
        <v>95</v>
      </c>
      <c r="D1223" t="s">
        <v>370</v>
      </c>
      <c r="E1223" t="s">
        <v>371</v>
      </c>
      <c r="F1223" t="s">
        <v>6058</v>
      </c>
      <c r="G1223" s="2" t="str">
        <f>HYPERLINK("https://www.facebook.com/100005392412134/posts/802571096599297")</f>
        <v>https://www.facebook.com/100005392412134/posts/802571096599297</v>
      </c>
      <c r="H1223" t="s">
        <v>6062</v>
      </c>
      <c r="I1223" t="s">
        <v>1902</v>
      </c>
      <c r="J1223" s="2" t="str">
        <f>HYPERLINK("https://www.facebook.com/100005392412134")</f>
        <v>https://www.facebook.com/100005392412134</v>
      </c>
      <c r="K1223">
        <v>707</v>
      </c>
      <c r="L1223" t="s">
        <v>6063</v>
      </c>
      <c r="N1223" t="s">
        <v>13</v>
      </c>
      <c r="O1223" t="s">
        <v>1902</v>
      </c>
      <c r="P1223" s="2" t="str">
        <f>HYPERLINK("https://www.facebook.com/100005392412134")</f>
        <v>https://www.facebook.com/100005392412134</v>
      </c>
      <c r="Q1223">
        <v>707</v>
      </c>
      <c r="R1223" t="s">
        <v>6067</v>
      </c>
    </row>
    <row r="1224" spans="1:19" ht="14.25" customHeight="1" x14ac:dyDescent="0.3">
      <c r="A1224" t="s">
        <v>629</v>
      </c>
      <c r="B1224" t="s">
        <v>479</v>
      </c>
      <c r="C1224" t="s">
        <v>95</v>
      </c>
      <c r="D1224" t="s">
        <v>370</v>
      </c>
      <c r="E1224" t="s">
        <v>371</v>
      </c>
      <c r="F1224" t="s">
        <v>6058</v>
      </c>
      <c r="G1224" s="2" t="str">
        <f>HYPERLINK("https://www.facebook.com/100005392412134/posts/802554946600912")</f>
        <v>https://www.facebook.com/100005392412134/posts/802554946600912</v>
      </c>
      <c r="H1224" t="s">
        <v>6062</v>
      </c>
      <c r="I1224" t="s">
        <v>1902</v>
      </c>
      <c r="J1224" s="2" t="str">
        <f>HYPERLINK("https://www.facebook.com/100005392412134")</f>
        <v>https://www.facebook.com/100005392412134</v>
      </c>
      <c r="K1224">
        <v>707</v>
      </c>
      <c r="L1224" t="s">
        <v>6063</v>
      </c>
      <c r="N1224" t="s">
        <v>13</v>
      </c>
      <c r="O1224" t="s">
        <v>1902</v>
      </c>
      <c r="P1224" s="2" t="str">
        <f>HYPERLINK("https://www.facebook.com/100005392412134")</f>
        <v>https://www.facebook.com/100005392412134</v>
      </c>
      <c r="Q1224">
        <v>707</v>
      </c>
      <c r="R1224" t="s">
        <v>6067</v>
      </c>
    </row>
    <row r="1225" spans="1:19" ht="14.25" customHeight="1" x14ac:dyDescent="0.3">
      <c r="A1225" t="s">
        <v>629</v>
      </c>
      <c r="B1225" t="s">
        <v>405</v>
      </c>
      <c r="C1225" t="s">
        <v>95</v>
      </c>
      <c r="D1225" t="s">
        <v>370</v>
      </c>
      <c r="E1225" t="s">
        <v>1769</v>
      </c>
      <c r="F1225" t="s">
        <v>6057</v>
      </c>
      <c r="G1225" s="2" t="str">
        <f>HYPERLINK("https://www.facebook.com/223847261283456/posts/572857343099249")</f>
        <v>https://www.facebook.com/223847261283456/posts/572857343099249</v>
      </c>
      <c r="H1225" t="s">
        <v>6062</v>
      </c>
      <c r="I1225" t="s">
        <v>1770</v>
      </c>
      <c r="J1225" s="2" t="str">
        <f>HYPERLINK("https://www.facebook.com/500207847030866")</f>
        <v>https://www.facebook.com/500207847030866</v>
      </c>
      <c r="K1225">
        <v>1167</v>
      </c>
      <c r="L1225" t="s">
        <v>6065</v>
      </c>
      <c r="N1225" t="s">
        <v>13</v>
      </c>
      <c r="O1225" t="s">
        <v>1771</v>
      </c>
      <c r="P1225" s="2" t="str">
        <f>HYPERLINK("https://www.facebook.com/223847261283456")</f>
        <v>https://www.facebook.com/223847261283456</v>
      </c>
      <c r="R1225" t="s">
        <v>6067</v>
      </c>
    </row>
    <row r="1226" spans="1:19" ht="14.25" customHeight="1" x14ac:dyDescent="0.3">
      <c r="A1226" t="s">
        <v>629</v>
      </c>
      <c r="B1226" t="s">
        <v>405</v>
      </c>
      <c r="C1226" t="s">
        <v>95</v>
      </c>
      <c r="D1226" t="s">
        <v>370</v>
      </c>
      <c r="E1226" t="s">
        <v>1769</v>
      </c>
      <c r="F1226" t="s">
        <v>6057</v>
      </c>
      <c r="G1226" s="2" t="str">
        <f>HYPERLINK("https://www.facebook.com/223847261283456/posts/608998069435038")</f>
        <v>https://www.facebook.com/223847261283456/posts/608998069435038</v>
      </c>
      <c r="H1226" t="s">
        <v>6062</v>
      </c>
      <c r="I1226" t="s">
        <v>1770</v>
      </c>
      <c r="J1226" s="2" t="str">
        <f>HYPERLINK("https://www.facebook.com/500207847030866")</f>
        <v>https://www.facebook.com/500207847030866</v>
      </c>
      <c r="K1226">
        <v>1167</v>
      </c>
      <c r="L1226" t="s">
        <v>6065</v>
      </c>
      <c r="N1226" t="s">
        <v>13</v>
      </c>
      <c r="O1226" t="s">
        <v>1771</v>
      </c>
      <c r="P1226" s="2" t="str">
        <f>HYPERLINK("https://www.facebook.com/223847261283456")</f>
        <v>https://www.facebook.com/223847261283456</v>
      </c>
      <c r="R1226" t="s">
        <v>6067</v>
      </c>
    </row>
    <row r="1227" spans="1:19" ht="14.25" customHeight="1" x14ac:dyDescent="0.3">
      <c r="A1227" t="s">
        <v>2225</v>
      </c>
      <c r="B1227" t="s">
        <v>764</v>
      </c>
      <c r="C1227" t="s">
        <v>95</v>
      </c>
      <c r="D1227" t="s">
        <v>544</v>
      </c>
      <c r="E1227" t="s">
        <v>545</v>
      </c>
      <c r="F1227" t="s">
        <v>6058</v>
      </c>
      <c r="G1227" s="2" t="str">
        <f>HYPERLINK("https://www.facebook.com/100008405883205/posts/1890139774609534")</f>
        <v>https://www.facebook.com/100008405883205/posts/1890139774609534</v>
      </c>
      <c r="H1227" t="s">
        <v>6062</v>
      </c>
      <c r="I1227" t="s">
        <v>2871</v>
      </c>
      <c r="J1227" s="2" t="str">
        <f>HYPERLINK("https://www.facebook.com/100008405883205")</f>
        <v>https://www.facebook.com/100008405883205</v>
      </c>
      <c r="K1227">
        <v>333</v>
      </c>
      <c r="L1227" t="s">
        <v>6063</v>
      </c>
      <c r="N1227" t="s">
        <v>13</v>
      </c>
      <c r="O1227" t="s">
        <v>2871</v>
      </c>
      <c r="P1227" s="2" t="str">
        <f>HYPERLINK("https://www.facebook.com/100008405883205")</f>
        <v>https://www.facebook.com/100008405883205</v>
      </c>
      <c r="Q1227">
        <v>333</v>
      </c>
      <c r="R1227" t="s">
        <v>6067</v>
      </c>
      <c r="S1227" t="s">
        <v>6073</v>
      </c>
    </row>
    <row r="1228" spans="1:19" ht="14.25" customHeight="1" x14ac:dyDescent="0.3">
      <c r="A1228" t="s">
        <v>2225</v>
      </c>
      <c r="B1228" t="s">
        <v>767</v>
      </c>
      <c r="C1228" t="s">
        <v>95</v>
      </c>
      <c r="D1228" t="s">
        <v>544</v>
      </c>
      <c r="E1228" t="s">
        <v>545</v>
      </c>
      <c r="F1228" t="s">
        <v>6058</v>
      </c>
      <c r="G1228" s="2" t="str">
        <f>HYPERLINK("https://www.facebook.com/100008405883205/posts/1890139674609544")</f>
        <v>https://www.facebook.com/100008405883205/posts/1890139674609544</v>
      </c>
      <c r="H1228" t="s">
        <v>6062</v>
      </c>
      <c r="I1228" t="s">
        <v>2871</v>
      </c>
      <c r="J1228" s="2" t="str">
        <f>HYPERLINK("https://www.facebook.com/100008405883205")</f>
        <v>https://www.facebook.com/100008405883205</v>
      </c>
      <c r="K1228">
        <v>333</v>
      </c>
      <c r="L1228" t="s">
        <v>6063</v>
      </c>
      <c r="N1228" t="s">
        <v>13</v>
      </c>
      <c r="O1228" t="s">
        <v>2871</v>
      </c>
      <c r="P1228" s="2" t="str">
        <f>HYPERLINK("https://www.facebook.com/100008405883205")</f>
        <v>https://www.facebook.com/100008405883205</v>
      </c>
      <c r="Q1228">
        <v>333</v>
      </c>
      <c r="R1228" t="s">
        <v>6067</v>
      </c>
      <c r="S1228" t="s">
        <v>6073</v>
      </c>
    </row>
    <row r="1229" spans="1:19" ht="14.25" customHeight="1" x14ac:dyDescent="0.3">
      <c r="A1229" t="s">
        <v>3527</v>
      </c>
      <c r="B1229" t="s">
        <v>3117</v>
      </c>
      <c r="C1229" t="s">
        <v>95</v>
      </c>
      <c r="D1229" t="s">
        <v>4047</v>
      </c>
      <c r="E1229" t="s">
        <v>4048</v>
      </c>
      <c r="F1229" t="s">
        <v>6058</v>
      </c>
      <c r="G1229" s="2" t="str">
        <f>HYPERLINK("https://www.facebook.com/100014065875987/posts/369588753519984")</f>
        <v>https://www.facebook.com/100014065875987/posts/369588753519984</v>
      </c>
      <c r="H1229" t="s">
        <v>6062</v>
      </c>
      <c r="I1229" t="s">
        <v>4049</v>
      </c>
      <c r="J1229" s="2" t="str">
        <f>HYPERLINK("https://www.facebook.com/100014065875987")</f>
        <v>https://www.facebook.com/100014065875987</v>
      </c>
      <c r="K1229">
        <v>5000</v>
      </c>
      <c r="L1229" t="s">
        <v>6063</v>
      </c>
      <c r="N1229" t="s">
        <v>13</v>
      </c>
      <c r="O1229" t="s">
        <v>4049</v>
      </c>
      <c r="P1229" s="2" t="str">
        <f>HYPERLINK("https://www.facebook.com/100014065875987")</f>
        <v>https://www.facebook.com/100014065875987</v>
      </c>
      <c r="Q1229">
        <v>5000</v>
      </c>
      <c r="R1229" t="s">
        <v>6067</v>
      </c>
      <c r="S1229" t="s">
        <v>6073</v>
      </c>
    </row>
    <row r="1230" spans="1:19" ht="14.25" customHeight="1" x14ac:dyDescent="0.3">
      <c r="A1230" t="s">
        <v>3527</v>
      </c>
      <c r="B1230" t="s">
        <v>3117</v>
      </c>
      <c r="C1230" t="s">
        <v>95</v>
      </c>
      <c r="D1230" t="s">
        <v>4047</v>
      </c>
      <c r="E1230" t="s">
        <v>4048</v>
      </c>
      <c r="F1230" t="s">
        <v>6058</v>
      </c>
      <c r="G1230" s="2" t="str">
        <f>HYPERLINK("https://www.facebook.com/100014065875987/posts/369588746853318")</f>
        <v>https://www.facebook.com/100014065875987/posts/369588746853318</v>
      </c>
      <c r="H1230" t="s">
        <v>6062</v>
      </c>
      <c r="I1230" t="s">
        <v>4049</v>
      </c>
      <c r="J1230" s="2" t="str">
        <f>HYPERLINK("https://www.facebook.com/100014065875987")</f>
        <v>https://www.facebook.com/100014065875987</v>
      </c>
      <c r="K1230">
        <v>5000</v>
      </c>
      <c r="L1230" t="s">
        <v>6063</v>
      </c>
      <c r="N1230" t="s">
        <v>13</v>
      </c>
      <c r="O1230" t="s">
        <v>4049</v>
      </c>
      <c r="P1230" s="2" t="str">
        <f>HYPERLINK("https://www.facebook.com/100014065875987")</f>
        <v>https://www.facebook.com/100014065875987</v>
      </c>
      <c r="Q1230">
        <v>5000</v>
      </c>
      <c r="R1230" t="s">
        <v>6067</v>
      </c>
      <c r="S1230" t="s">
        <v>6073</v>
      </c>
    </row>
    <row r="1231" spans="1:19" ht="14.25" customHeight="1" x14ac:dyDescent="0.3">
      <c r="A1231" t="s">
        <v>5409</v>
      </c>
      <c r="B1231" t="s">
        <v>1557</v>
      </c>
      <c r="C1231" t="s">
        <v>3538</v>
      </c>
      <c r="D1231" t="s">
        <v>3780</v>
      </c>
      <c r="E1231" t="s">
        <v>4672</v>
      </c>
      <c r="F1231" t="s">
        <v>6058</v>
      </c>
      <c r="G1231" s="2" t="str">
        <f>HYPERLINK("https://www.facebook.com/100014065875987/posts/368264666985726")</f>
        <v>https://www.facebook.com/100014065875987/posts/368264666985726</v>
      </c>
      <c r="H1231" t="s">
        <v>6062</v>
      </c>
      <c r="I1231" t="s">
        <v>4049</v>
      </c>
      <c r="J1231" s="2" t="str">
        <f>HYPERLINK("https://www.facebook.com/100014065875987")</f>
        <v>https://www.facebook.com/100014065875987</v>
      </c>
      <c r="K1231">
        <v>5000</v>
      </c>
      <c r="L1231" t="s">
        <v>6063</v>
      </c>
      <c r="N1231" t="s">
        <v>13</v>
      </c>
      <c r="O1231" t="s">
        <v>4049</v>
      </c>
      <c r="P1231" s="2" t="str">
        <f>HYPERLINK("https://www.facebook.com/100014065875987")</f>
        <v>https://www.facebook.com/100014065875987</v>
      </c>
      <c r="Q1231">
        <v>5000</v>
      </c>
      <c r="R1231" t="s">
        <v>6067</v>
      </c>
      <c r="S1231" t="s">
        <v>6073</v>
      </c>
    </row>
    <row r="1232" spans="1:19" ht="14.25" customHeight="1" x14ac:dyDescent="0.3">
      <c r="A1232" t="s">
        <v>629</v>
      </c>
      <c r="B1232" t="s">
        <v>1548</v>
      </c>
      <c r="C1232" t="s">
        <v>95</v>
      </c>
      <c r="D1232" t="s">
        <v>370</v>
      </c>
      <c r="E1232" t="s">
        <v>371</v>
      </c>
      <c r="F1232" t="s">
        <v>6058</v>
      </c>
      <c r="G1232" s="2" t="str">
        <f>HYPERLINK("https://www.facebook.com/100003394864171/posts/1517852531671228")</f>
        <v>https://www.facebook.com/100003394864171/posts/1517852531671228</v>
      </c>
      <c r="H1232" t="s">
        <v>6062</v>
      </c>
      <c r="I1232" t="s">
        <v>1556</v>
      </c>
      <c r="J1232" s="2" t="str">
        <f>HYPERLINK("https://www.facebook.com/100003394864171")</f>
        <v>https://www.facebook.com/100003394864171</v>
      </c>
      <c r="K1232">
        <v>1385</v>
      </c>
      <c r="L1232" t="s">
        <v>6063</v>
      </c>
      <c r="N1232" t="s">
        <v>13</v>
      </c>
      <c r="O1232" t="s">
        <v>1556</v>
      </c>
      <c r="P1232" s="2" t="str">
        <f>HYPERLINK("https://www.facebook.com/100003394864171")</f>
        <v>https://www.facebook.com/100003394864171</v>
      </c>
      <c r="Q1232">
        <v>1385</v>
      </c>
      <c r="R1232" t="s">
        <v>6067</v>
      </c>
      <c r="S1232" t="s">
        <v>6073</v>
      </c>
    </row>
    <row r="1233" spans="1:19" ht="14.25" customHeight="1" x14ac:dyDescent="0.3">
      <c r="A1233" t="s">
        <v>629</v>
      </c>
      <c r="B1233" t="s">
        <v>343</v>
      </c>
      <c r="C1233" t="s">
        <v>95</v>
      </c>
      <c r="D1233" t="s">
        <v>370</v>
      </c>
      <c r="E1233" t="s">
        <v>371</v>
      </c>
      <c r="F1233" t="s">
        <v>6058</v>
      </c>
      <c r="G1233" s="2" t="str">
        <f>HYPERLINK("https://www.facebook.com/100005329033945/posts/873677056153254")</f>
        <v>https://www.facebook.com/100005329033945/posts/873677056153254</v>
      </c>
      <c r="H1233" t="s">
        <v>6062</v>
      </c>
      <c r="I1233" t="s">
        <v>1559</v>
      </c>
      <c r="J1233" s="2" t="str">
        <f>HYPERLINK("https://www.facebook.com/100005329033945")</f>
        <v>https://www.facebook.com/100005329033945</v>
      </c>
      <c r="K1233">
        <v>28</v>
      </c>
      <c r="L1233" t="s">
        <v>6063</v>
      </c>
      <c r="N1233" t="s">
        <v>13</v>
      </c>
      <c r="O1233" t="s">
        <v>1559</v>
      </c>
      <c r="P1233" s="2" t="str">
        <f>HYPERLINK("https://www.facebook.com/100005329033945")</f>
        <v>https://www.facebook.com/100005329033945</v>
      </c>
      <c r="Q1233">
        <v>28</v>
      </c>
      <c r="R1233" t="s">
        <v>6067</v>
      </c>
    </row>
    <row r="1234" spans="1:19" ht="14.25" customHeight="1" x14ac:dyDescent="0.3">
      <c r="A1234" t="s">
        <v>5409</v>
      </c>
      <c r="B1234" t="s">
        <v>2021</v>
      </c>
      <c r="C1234" t="s">
        <v>3538</v>
      </c>
      <c r="D1234" t="s">
        <v>5442</v>
      </c>
      <c r="E1234" t="s">
        <v>5935</v>
      </c>
      <c r="F1234" t="s">
        <v>6059</v>
      </c>
      <c r="G1234" s="2" t="str">
        <f>HYPERLINK("https://www.facebook.com/100000480086400/posts/2357605387598774?comment_id=2358278227531490")</f>
        <v>https://www.facebook.com/100000480086400/posts/2357605387598774?comment_id=2358278227531490</v>
      </c>
      <c r="H1234" t="s">
        <v>6062</v>
      </c>
      <c r="I1234" t="s">
        <v>5244</v>
      </c>
      <c r="J1234" s="2" t="str">
        <f>HYPERLINK("https://www.facebook.com/100000480086400")</f>
        <v>https://www.facebook.com/100000480086400</v>
      </c>
      <c r="K1234">
        <v>6778</v>
      </c>
      <c r="L1234" t="s">
        <v>6063</v>
      </c>
      <c r="M1234">
        <v>44</v>
      </c>
      <c r="N1234" t="s">
        <v>13</v>
      </c>
      <c r="O1234" t="s">
        <v>5244</v>
      </c>
      <c r="P1234" s="2" t="str">
        <f>HYPERLINK("https://www.facebook.com/100000480086400")</f>
        <v>https://www.facebook.com/100000480086400</v>
      </c>
      <c r="Q1234">
        <v>6778</v>
      </c>
      <c r="R1234" t="s">
        <v>6067</v>
      </c>
      <c r="S1234" t="s">
        <v>6073</v>
      </c>
    </row>
    <row r="1235" spans="1:19" ht="14.25" customHeight="1" x14ac:dyDescent="0.3">
      <c r="A1235" t="s">
        <v>2225</v>
      </c>
      <c r="B1235" t="s">
        <v>396</v>
      </c>
      <c r="C1235" t="s">
        <v>95</v>
      </c>
      <c r="D1235" t="s">
        <v>3416</v>
      </c>
      <c r="E1235" t="s">
        <v>3417</v>
      </c>
      <c r="F1235" t="s">
        <v>6058</v>
      </c>
      <c r="G1235" s="2" t="str">
        <f>HYPERLINK("https://www.facebook.com/100009091578091/posts/1961803790799321")</f>
        <v>https://www.facebook.com/100009091578091/posts/1961803790799321</v>
      </c>
      <c r="H1235" t="s">
        <v>6062</v>
      </c>
      <c r="I1235" t="s">
        <v>3418</v>
      </c>
      <c r="J1235" s="2" t="str">
        <f>HYPERLINK("https://www.facebook.com/100009091578091")</f>
        <v>https://www.facebook.com/100009091578091</v>
      </c>
      <c r="K1235">
        <v>2088</v>
      </c>
      <c r="L1235" t="s">
        <v>6063</v>
      </c>
      <c r="N1235" t="s">
        <v>13</v>
      </c>
      <c r="O1235" t="s">
        <v>3418</v>
      </c>
      <c r="P1235" s="2" t="str">
        <f>HYPERLINK("https://www.facebook.com/100009091578091")</f>
        <v>https://www.facebook.com/100009091578091</v>
      </c>
      <c r="Q1235">
        <v>2088</v>
      </c>
      <c r="R1235" t="s">
        <v>6067</v>
      </c>
      <c r="S1235" t="s">
        <v>6073</v>
      </c>
    </row>
    <row r="1236" spans="1:19" ht="14.25" customHeight="1" x14ac:dyDescent="0.3">
      <c r="A1236" t="s">
        <v>1</v>
      </c>
      <c r="B1236" t="s">
        <v>543</v>
      </c>
      <c r="C1236" t="s">
        <v>95</v>
      </c>
      <c r="D1236" t="s">
        <v>544</v>
      </c>
      <c r="E1236" t="s">
        <v>545</v>
      </c>
      <c r="F1236" t="s">
        <v>6058</v>
      </c>
      <c r="G1236" s="2" t="str">
        <f>HYPERLINK("https://www.facebook.com/100001559667762/posts/1738369592891679")</f>
        <v>https://www.facebook.com/100001559667762/posts/1738369592891679</v>
      </c>
      <c r="H1236" t="s">
        <v>6062</v>
      </c>
      <c r="I1236" t="s">
        <v>546</v>
      </c>
      <c r="J1236" s="2" t="str">
        <f>HYPERLINK("https://www.facebook.com/100001559667762")</f>
        <v>https://www.facebook.com/100001559667762</v>
      </c>
      <c r="K1236">
        <v>75</v>
      </c>
      <c r="L1236" t="s">
        <v>6063</v>
      </c>
      <c r="N1236" t="s">
        <v>13</v>
      </c>
      <c r="O1236" t="s">
        <v>546</v>
      </c>
      <c r="P1236" s="2" t="str">
        <f>HYPERLINK("https://www.facebook.com/100001559667762")</f>
        <v>https://www.facebook.com/100001559667762</v>
      </c>
      <c r="Q1236">
        <v>75</v>
      </c>
      <c r="R1236" t="s">
        <v>6067</v>
      </c>
      <c r="S1236" t="s">
        <v>6073</v>
      </c>
    </row>
    <row r="1237" spans="1:19" ht="14.25" customHeight="1" x14ac:dyDescent="0.3">
      <c r="A1237" t="s">
        <v>629</v>
      </c>
      <c r="B1237" t="s">
        <v>1590</v>
      </c>
      <c r="C1237" t="s">
        <v>95</v>
      </c>
      <c r="D1237" t="s">
        <v>1593</v>
      </c>
      <c r="E1237" t="s">
        <v>1594</v>
      </c>
      <c r="F1237" t="s">
        <v>6056</v>
      </c>
      <c r="G1237" s="2" t="str">
        <f>HYPERLINK("https://www.facebook.com/100013230676021/posts/420470631737289")</f>
        <v>https://www.facebook.com/100013230676021/posts/420470631737289</v>
      </c>
      <c r="H1237" t="s">
        <v>6062</v>
      </c>
      <c r="I1237" t="s">
        <v>1595</v>
      </c>
      <c r="J1237" s="2" t="str">
        <f>HYPERLINK("https://www.facebook.com/100013230676021")</f>
        <v>https://www.facebook.com/100013230676021</v>
      </c>
      <c r="K1237">
        <v>118</v>
      </c>
      <c r="L1237" t="s">
        <v>6063</v>
      </c>
      <c r="N1237" t="s">
        <v>13</v>
      </c>
      <c r="O1237" t="s">
        <v>1595</v>
      </c>
      <c r="P1237" s="2" t="str">
        <f>HYPERLINK("https://www.facebook.com/100013230676021")</f>
        <v>https://www.facebook.com/100013230676021</v>
      </c>
      <c r="Q1237">
        <v>118</v>
      </c>
      <c r="R1237" t="s">
        <v>6067</v>
      </c>
      <c r="S1237" t="s">
        <v>6073</v>
      </c>
    </row>
    <row r="1238" spans="1:19" ht="14.25" customHeight="1" x14ac:dyDescent="0.3">
      <c r="A1238" t="s">
        <v>5409</v>
      </c>
      <c r="B1238" t="s">
        <v>411</v>
      </c>
      <c r="C1238" t="s">
        <v>3538</v>
      </c>
      <c r="D1238" t="s">
        <v>4318</v>
      </c>
      <c r="E1238" t="s">
        <v>5429</v>
      </c>
      <c r="F1238" t="s">
        <v>6058</v>
      </c>
      <c r="G1238" s="2" t="str">
        <f>HYPERLINK("https://www.facebook.com/100017815126538/posts/197765030827333")</f>
        <v>https://www.facebook.com/100017815126538/posts/197765030827333</v>
      </c>
      <c r="H1238" t="s">
        <v>6062</v>
      </c>
      <c r="I1238" t="s">
        <v>5881</v>
      </c>
      <c r="J1238" s="2" t="str">
        <f>HYPERLINK("https://www.facebook.com/100017815126538")</f>
        <v>https://www.facebook.com/100017815126538</v>
      </c>
      <c r="K1238">
        <v>0</v>
      </c>
      <c r="L1238" t="s">
        <v>6063</v>
      </c>
      <c r="N1238" t="s">
        <v>13</v>
      </c>
      <c r="O1238" t="s">
        <v>5881</v>
      </c>
      <c r="P1238" s="2" t="str">
        <f>HYPERLINK("https://www.facebook.com/100017815126538")</f>
        <v>https://www.facebook.com/100017815126538</v>
      </c>
      <c r="Q1238">
        <v>0</v>
      </c>
      <c r="R1238" t="s">
        <v>6067</v>
      </c>
    </row>
    <row r="1239" spans="1:19" ht="14.25" customHeight="1" x14ac:dyDescent="0.3">
      <c r="A1239" t="s">
        <v>629</v>
      </c>
      <c r="B1239" t="s">
        <v>399</v>
      </c>
      <c r="C1239" t="s">
        <v>95</v>
      </c>
      <c r="D1239" t="s">
        <v>802</v>
      </c>
      <c r="E1239" t="s">
        <v>1762</v>
      </c>
      <c r="F1239" t="s">
        <v>6059</v>
      </c>
      <c r="G1239" s="2" t="str">
        <f>HYPERLINK("https://www.facebook.com/100001092565164/posts/1736272859752449?comment_id=1736749329704802")</f>
        <v>https://www.facebook.com/100001092565164/posts/1736272859752449?comment_id=1736749329704802</v>
      </c>
      <c r="H1239" t="s">
        <v>6062</v>
      </c>
      <c r="I1239" t="s">
        <v>1763</v>
      </c>
      <c r="J1239" s="2" t="str">
        <f>HYPERLINK("https://www.facebook.com/100008711951534")</f>
        <v>https://www.facebook.com/100008711951534</v>
      </c>
      <c r="K1239">
        <v>38</v>
      </c>
      <c r="L1239" t="s">
        <v>6063</v>
      </c>
      <c r="N1239" t="s">
        <v>13</v>
      </c>
      <c r="O1239" t="s">
        <v>1764</v>
      </c>
      <c r="P1239" s="2" t="str">
        <f>HYPERLINK("https://www.facebook.com/100001092565164")</f>
        <v>https://www.facebook.com/100001092565164</v>
      </c>
      <c r="Q1239">
        <v>1397</v>
      </c>
      <c r="R1239" t="s">
        <v>6067</v>
      </c>
      <c r="S1239" t="s">
        <v>6073</v>
      </c>
    </row>
    <row r="1240" spans="1:19" ht="14.25" customHeight="1" x14ac:dyDescent="0.3">
      <c r="A1240" t="s">
        <v>2225</v>
      </c>
      <c r="B1240" t="s">
        <v>2715</v>
      </c>
      <c r="C1240" t="s">
        <v>95</v>
      </c>
      <c r="D1240" t="s">
        <v>544</v>
      </c>
      <c r="E1240" t="s">
        <v>545</v>
      </c>
      <c r="F1240" t="s">
        <v>6058</v>
      </c>
      <c r="G1240" s="2" t="str">
        <f>HYPERLINK("https://www.facebook.com/100001868210680/posts/1925276237544631")</f>
        <v>https://www.facebook.com/100001868210680/posts/1925276237544631</v>
      </c>
      <c r="H1240" t="s">
        <v>6062</v>
      </c>
      <c r="I1240" t="s">
        <v>2717</v>
      </c>
      <c r="J1240" s="2" t="str">
        <f>HYPERLINK("https://www.facebook.com/100001868210680")</f>
        <v>https://www.facebook.com/100001868210680</v>
      </c>
      <c r="K1240">
        <v>6177</v>
      </c>
      <c r="L1240" t="s">
        <v>6063</v>
      </c>
      <c r="N1240" t="s">
        <v>13</v>
      </c>
      <c r="O1240" t="s">
        <v>2717</v>
      </c>
      <c r="P1240" s="2" t="str">
        <f>HYPERLINK("https://www.facebook.com/100001868210680")</f>
        <v>https://www.facebook.com/100001868210680</v>
      </c>
      <c r="Q1240">
        <v>6177</v>
      </c>
      <c r="R1240" t="s">
        <v>6067</v>
      </c>
      <c r="S1240" t="s">
        <v>6073</v>
      </c>
    </row>
    <row r="1241" spans="1:19" ht="14.25" customHeight="1" x14ac:dyDescent="0.3">
      <c r="A1241" t="s">
        <v>3527</v>
      </c>
      <c r="B1241" t="s">
        <v>3779</v>
      </c>
      <c r="C1241" t="s">
        <v>95</v>
      </c>
      <c r="D1241" t="s">
        <v>3780</v>
      </c>
      <c r="E1241" t="s">
        <v>3781</v>
      </c>
      <c r="F1241" t="s">
        <v>6058</v>
      </c>
      <c r="G1241" s="2" t="str">
        <f>HYPERLINK("https://www.facebook.com/100021885858882/posts/229274764478717")</f>
        <v>https://www.facebook.com/100021885858882/posts/229274764478717</v>
      </c>
      <c r="H1241" t="s">
        <v>6062</v>
      </c>
      <c r="I1241" t="s">
        <v>3782</v>
      </c>
      <c r="J1241" s="2" t="str">
        <f>HYPERLINK("https://www.facebook.com/100021885858882")</f>
        <v>https://www.facebook.com/100021885858882</v>
      </c>
      <c r="K1241">
        <v>80</v>
      </c>
      <c r="L1241" t="s">
        <v>6063</v>
      </c>
      <c r="N1241" t="s">
        <v>13</v>
      </c>
      <c r="O1241" t="s">
        <v>3782</v>
      </c>
      <c r="P1241" s="2" t="str">
        <f>HYPERLINK("https://www.facebook.com/100021885858882")</f>
        <v>https://www.facebook.com/100021885858882</v>
      </c>
      <c r="Q1241">
        <v>80</v>
      </c>
      <c r="R1241" t="s">
        <v>6067</v>
      </c>
      <c r="S1241" t="s">
        <v>6073</v>
      </c>
    </row>
    <row r="1242" spans="1:19" ht="14.25" customHeight="1" x14ac:dyDescent="0.3">
      <c r="A1242" t="s">
        <v>2225</v>
      </c>
      <c r="B1242" t="s">
        <v>1444</v>
      </c>
      <c r="C1242" t="s">
        <v>95</v>
      </c>
      <c r="D1242" t="s">
        <v>1099</v>
      </c>
      <c r="E1242" t="s">
        <v>3333</v>
      </c>
      <c r="F1242" t="s">
        <v>6059</v>
      </c>
      <c r="G1242" s="2" t="str">
        <f>HYPERLINK("https://www.facebook.com/100002489064006/posts/1666923993400553?comment_id=1667339613358991")</f>
        <v>https://www.facebook.com/100002489064006/posts/1666923993400553?comment_id=1667339613358991</v>
      </c>
      <c r="H1242" t="s">
        <v>6062</v>
      </c>
      <c r="I1242" t="s">
        <v>3334</v>
      </c>
      <c r="J1242" s="2" t="str">
        <f>HYPERLINK("https://www.facebook.com/100000726976037")</f>
        <v>https://www.facebook.com/100000726976037</v>
      </c>
      <c r="K1242">
        <v>4987</v>
      </c>
      <c r="L1242" t="s">
        <v>6063</v>
      </c>
      <c r="N1242" t="s">
        <v>13</v>
      </c>
      <c r="O1242" t="s">
        <v>1101</v>
      </c>
      <c r="P1242" s="2" t="str">
        <f>HYPERLINK("https://www.facebook.com/100002489064006")</f>
        <v>https://www.facebook.com/100002489064006</v>
      </c>
      <c r="Q1242">
        <v>2089</v>
      </c>
      <c r="R1242" t="s">
        <v>6067</v>
      </c>
      <c r="S1242" t="s">
        <v>6073</v>
      </c>
    </row>
    <row r="1243" spans="1:19" ht="14.25" customHeight="1" x14ac:dyDescent="0.3">
      <c r="A1243" t="s">
        <v>629</v>
      </c>
      <c r="B1243" t="s">
        <v>876</v>
      </c>
      <c r="C1243" t="s">
        <v>95</v>
      </c>
      <c r="D1243" t="s">
        <v>877</v>
      </c>
      <c r="E1243" t="s">
        <v>878</v>
      </c>
      <c r="F1243" t="s">
        <v>6059</v>
      </c>
      <c r="G1243" s="2" t="str">
        <f>HYPERLINK("https://www.facebook.com/114364555250747/posts/1804141566273029?comment_id=1809284242425428")</f>
        <v>https://www.facebook.com/114364555250747/posts/1804141566273029?comment_id=1809284242425428</v>
      </c>
      <c r="H1243" t="s">
        <v>6062</v>
      </c>
      <c r="I1243" t="s">
        <v>879</v>
      </c>
      <c r="J1243" s="2" t="str">
        <f>HYPERLINK("https://www.facebook.com/1493583600")</f>
        <v>https://www.facebook.com/1493583600</v>
      </c>
      <c r="K1243">
        <v>515</v>
      </c>
      <c r="L1243" t="s">
        <v>6063</v>
      </c>
      <c r="N1243" t="s">
        <v>13</v>
      </c>
      <c r="O1243" t="s">
        <v>880</v>
      </c>
      <c r="P1243" s="2" t="str">
        <f>HYPERLINK("https://www.facebook.com/114364555250747")</f>
        <v>https://www.facebook.com/114364555250747</v>
      </c>
      <c r="Q1243">
        <v>100059</v>
      </c>
      <c r="R1243" t="s">
        <v>6067</v>
      </c>
      <c r="S1243" t="s">
        <v>6073</v>
      </c>
    </row>
    <row r="1244" spans="1:19" ht="14.25" customHeight="1" x14ac:dyDescent="0.3">
      <c r="A1244" t="s">
        <v>629</v>
      </c>
      <c r="B1244" t="s">
        <v>1490</v>
      </c>
      <c r="C1244" t="s">
        <v>95</v>
      </c>
      <c r="D1244" t="s">
        <v>370</v>
      </c>
      <c r="E1244" t="s">
        <v>371</v>
      </c>
      <c r="F1244" t="s">
        <v>6058</v>
      </c>
      <c r="G1244" s="2" t="str">
        <f>HYPERLINK("https://www.facebook.com/100008100160093/posts/2077360615877257")</f>
        <v>https://www.facebook.com/100008100160093/posts/2077360615877257</v>
      </c>
      <c r="H1244" t="s">
        <v>6062</v>
      </c>
      <c r="I1244" t="s">
        <v>1494</v>
      </c>
      <c r="J1244" s="2" t="str">
        <f>HYPERLINK("https://www.facebook.com/100008100160093")</f>
        <v>https://www.facebook.com/100008100160093</v>
      </c>
      <c r="K1244">
        <v>726</v>
      </c>
      <c r="L1244" t="s">
        <v>6063</v>
      </c>
      <c r="N1244" t="s">
        <v>13</v>
      </c>
      <c r="O1244" t="s">
        <v>1494</v>
      </c>
      <c r="P1244" s="2" t="str">
        <f>HYPERLINK("https://www.facebook.com/100008100160093")</f>
        <v>https://www.facebook.com/100008100160093</v>
      </c>
      <c r="Q1244">
        <v>726</v>
      </c>
      <c r="R1244" t="s">
        <v>6067</v>
      </c>
      <c r="S1244" t="s">
        <v>6073</v>
      </c>
    </row>
    <row r="1245" spans="1:19" ht="14.25" customHeight="1" x14ac:dyDescent="0.3">
      <c r="A1245" t="s">
        <v>629</v>
      </c>
      <c r="B1245" t="s">
        <v>432</v>
      </c>
      <c r="C1245" t="s">
        <v>95</v>
      </c>
      <c r="D1245" t="s">
        <v>370</v>
      </c>
      <c r="E1245" t="s">
        <v>371</v>
      </c>
      <c r="F1245" t="s">
        <v>6058</v>
      </c>
      <c r="G1245" s="2" t="str">
        <f>HYPERLINK("https://www.facebook.com/173839076488370/posts/184433765681678")</f>
        <v>https://www.facebook.com/173839076488370/posts/184433765681678</v>
      </c>
      <c r="H1245" t="s">
        <v>6062</v>
      </c>
      <c r="I1245" t="s">
        <v>1840</v>
      </c>
      <c r="J1245" s="2" t="str">
        <f t="shared" ref="J1245:J1255" si="30">HYPERLINK("https://www.facebook.com/100023451682374")</f>
        <v>https://www.facebook.com/100023451682374</v>
      </c>
      <c r="K1245">
        <v>38</v>
      </c>
      <c r="L1245" t="s">
        <v>6063</v>
      </c>
      <c r="N1245" t="s">
        <v>13</v>
      </c>
      <c r="O1245" t="s">
        <v>1841</v>
      </c>
      <c r="P1245" s="2" t="str">
        <f>HYPERLINK("https://www.facebook.com/173839076488370")</f>
        <v>https://www.facebook.com/173839076488370</v>
      </c>
      <c r="R1245" t="s">
        <v>6067</v>
      </c>
    </row>
    <row r="1246" spans="1:19" ht="14.25" customHeight="1" x14ac:dyDescent="0.3">
      <c r="A1246" t="s">
        <v>629</v>
      </c>
      <c r="B1246" t="s">
        <v>432</v>
      </c>
      <c r="C1246" t="s">
        <v>95</v>
      </c>
      <c r="D1246" t="s">
        <v>370</v>
      </c>
      <c r="E1246" t="s">
        <v>371</v>
      </c>
      <c r="F1246" t="s">
        <v>6058</v>
      </c>
      <c r="G1246" s="2" t="str">
        <f>HYPERLINK("https://www.facebook.com/179207442807799/posts/184433735681681")</f>
        <v>https://www.facebook.com/179207442807799/posts/184433735681681</v>
      </c>
      <c r="H1246" t="s">
        <v>6062</v>
      </c>
      <c r="I1246" t="s">
        <v>1840</v>
      </c>
      <c r="J1246" s="2" t="str">
        <f t="shared" si="30"/>
        <v>https://www.facebook.com/100023451682374</v>
      </c>
      <c r="K1246">
        <v>38</v>
      </c>
      <c r="L1246" t="s">
        <v>6063</v>
      </c>
      <c r="N1246" t="s">
        <v>13</v>
      </c>
      <c r="O1246" t="s">
        <v>1842</v>
      </c>
      <c r="P1246" s="2" t="str">
        <f>HYPERLINK("https://www.facebook.com/179207442807799")</f>
        <v>https://www.facebook.com/179207442807799</v>
      </c>
      <c r="R1246" t="s">
        <v>6067</v>
      </c>
    </row>
    <row r="1247" spans="1:19" ht="14.25" customHeight="1" x14ac:dyDescent="0.3">
      <c r="A1247" t="s">
        <v>629</v>
      </c>
      <c r="B1247" t="s">
        <v>432</v>
      </c>
      <c r="C1247" t="s">
        <v>95</v>
      </c>
      <c r="D1247" t="s">
        <v>370</v>
      </c>
      <c r="E1247" t="s">
        <v>371</v>
      </c>
      <c r="F1247" t="s">
        <v>6058</v>
      </c>
      <c r="G1247" s="2" t="str">
        <f>HYPERLINK("https://www.facebook.com/796818927124213/posts/184433725681682")</f>
        <v>https://www.facebook.com/796818927124213/posts/184433725681682</v>
      </c>
      <c r="H1247" t="s">
        <v>6062</v>
      </c>
      <c r="I1247" t="s">
        <v>1840</v>
      </c>
      <c r="J1247" s="2" t="str">
        <f t="shared" si="30"/>
        <v>https://www.facebook.com/100023451682374</v>
      </c>
      <c r="K1247">
        <v>38</v>
      </c>
      <c r="L1247" t="s">
        <v>6063</v>
      </c>
      <c r="N1247" t="s">
        <v>13</v>
      </c>
      <c r="O1247" t="s">
        <v>1843</v>
      </c>
      <c r="P1247" s="2" t="str">
        <f>HYPERLINK("https://www.facebook.com/796818927124213")</f>
        <v>https://www.facebook.com/796818927124213</v>
      </c>
      <c r="R1247" t="s">
        <v>6067</v>
      </c>
    </row>
    <row r="1248" spans="1:19" ht="14.25" customHeight="1" x14ac:dyDescent="0.3">
      <c r="A1248" t="s">
        <v>629</v>
      </c>
      <c r="B1248" t="s">
        <v>432</v>
      </c>
      <c r="C1248" t="s">
        <v>95</v>
      </c>
      <c r="D1248" t="s">
        <v>370</v>
      </c>
      <c r="E1248" t="s">
        <v>371</v>
      </c>
      <c r="F1248" t="s">
        <v>6058</v>
      </c>
      <c r="G1248" s="2" t="str">
        <f>HYPERLINK("https://www.facebook.com/212980025733582/posts/184433679015020")</f>
        <v>https://www.facebook.com/212980025733582/posts/184433679015020</v>
      </c>
      <c r="H1248" t="s">
        <v>6062</v>
      </c>
      <c r="I1248" t="s">
        <v>1840</v>
      </c>
      <c r="J1248" s="2" t="str">
        <f t="shared" si="30"/>
        <v>https://www.facebook.com/100023451682374</v>
      </c>
      <c r="K1248">
        <v>38</v>
      </c>
      <c r="L1248" t="s">
        <v>6063</v>
      </c>
      <c r="N1248" t="s">
        <v>13</v>
      </c>
      <c r="O1248" t="s">
        <v>1844</v>
      </c>
      <c r="P1248" s="2" t="str">
        <f>HYPERLINK("https://www.facebook.com/212980025733582")</f>
        <v>https://www.facebook.com/212980025733582</v>
      </c>
      <c r="R1248" t="s">
        <v>6067</v>
      </c>
    </row>
    <row r="1249" spans="1:19" ht="14.25" customHeight="1" x14ac:dyDescent="0.3">
      <c r="A1249" t="s">
        <v>629</v>
      </c>
      <c r="B1249" t="s">
        <v>432</v>
      </c>
      <c r="C1249" t="s">
        <v>95</v>
      </c>
      <c r="D1249" t="s">
        <v>370</v>
      </c>
      <c r="E1249" t="s">
        <v>371</v>
      </c>
      <c r="F1249" t="s">
        <v>6058</v>
      </c>
      <c r="G1249" s="2" t="str">
        <f>HYPERLINK("https://www.facebook.com/212980025733582/posts/601083546923226")</f>
        <v>https://www.facebook.com/212980025733582/posts/601083546923226</v>
      </c>
      <c r="H1249" t="s">
        <v>6062</v>
      </c>
      <c r="I1249" t="s">
        <v>1840</v>
      </c>
      <c r="J1249" s="2" t="str">
        <f t="shared" si="30"/>
        <v>https://www.facebook.com/100023451682374</v>
      </c>
      <c r="K1249">
        <v>38</v>
      </c>
      <c r="L1249" t="s">
        <v>6063</v>
      </c>
      <c r="N1249" t="s">
        <v>13</v>
      </c>
      <c r="O1249" t="s">
        <v>1844</v>
      </c>
      <c r="P1249" s="2" t="str">
        <f>HYPERLINK("https://www.facebook.com/212980025733582")</f>
        <v>https://www.facebook.com/212980025733582</v>
      </c>
      <c r="R1249" t="s">
        <v>6067</v>
      </c>
    </row>
    <row r="1250" spans="1:19" ht="14.25" customHeight="1" x14ac:dyDescent="0.3">
      <c r="A1250" t="s">
        <v>629</v>
      </c>
      <c r="B1250" t="s">
        <v>1845</v>
      </c>
      <c r="C1250" t="s">
        <v>95</v>
      </c>
      <c r="D1250" t="s">
        <v>370</v>
      </c>
      <c r="E1250" t="s">
        <v>371</v>
      </c>
      <c r="F1250" t="s">
        <v>6058</v>
      </c>
      <c r="G1250" s="2" t="str">
        <f>HYPERLINK("https://www.facebook.com/219220061977807/posts/184433652348356")</f>
        <v>https://www.facebook.com/219220061977807/posts/184433652348356</v>
      </c>
      <c r="H1250" t="s">
        <v>6062</v>
      </c>
      <c r="I1250" t="s">
        <v>1840</v>
      </c>
      <c r="J1250" s="2" t="str">
        <f t="shared" si="30"/>
        <v>https://www.facebook.com/100023451682374</v>
      </c>
      <c r="K1250">
        <v>38</v>
      </c>
      <c r="L1250" t="s">
        <v>6063</v>
      </c>
      <c r="N1250" t="s">
        <v>13</v>
      </c>
      <c r="O1250" t="s">
        <v>1846</v>
      </c>
      <c r="P1250" s="2" t="str">
        <f>HYPERLINK("https://www.facebook.com/219220061977807")</f>
        <v>https://www.facebook.com/219220061977807</v>
      </c>
      <c r="R1250" t="s">
        <v>6067</v>
      </c>
    </row>
    <row r="1251" spans="1:19" ht="14.25" customHeight="1" x14ac:dyDescent="0.3">
      <c r="A1251" t="s">
        <v>629</v>
      </c>
      <c r="B1251" t="s">
        <v>1845</v>
      </c>
      <c r="C1251" t="s">
        <v>95</v>
      </c>
      <c r="D1251" t="s">
        <v>370</v>
      </c>
      <c r="E1251" t="s">
        <v>371</v>
      </c>
      <c r="F1251" t="s">
        <v>6058</v>
      </c>
      <c r="G1251" s="2" t="str">
        <f>HYPERLINK("https://www.facebook.com/339550993057322/posts/184433639015024")</f>
        <v>https://www.facebook.com/339550993057322/posts/184433639015024</v>
      </c>
      <c r="H1251" t="s">
        <v>6062</v>
      </c>
      <c r="I1251" t="s">
        <v>1840</v>
      </c>
      <c r="J1251" s="2" t="str">
        <f t="shared" si="30"/>
        <v>https://www.facebook.com/100023451682374</v>
      </c>
      <c r="K1251">
        <v>38</v>
      </c>
      <c r="L1251" t="s">
        <v>6063</v>
      </c>
      <c r="N1251" t="s">
        <v>13</v>
      </c>
      <c r="O1251" t="s">
        <v>1848</v>
      </c>
      <c r="P1251" s="2" t="str">
        <f>HYPERLINK("https://www.facebook.com/339550993057322")</f>
        <v>https://www.facebook.com/339550993057322</v>
      </c>
      <c r="R1251" t="s">
        <v>6067</v>
      </c>
    </row>
    <row r="1252" spans="1:19" ht="14.25" customHeight="1" x14ac:dyDescent="0.3">
      <c r="A1252" t="s">
        <v>629</v>
      </c>
      <c r="B1252" t="s">
        <v>1845</v>
      </c>
      <c r="C1252" t="s">
        <v>95</v>
      </c>
      <c r="D1252" t="s">
        <v>370</v>
      </c>
      <c r="E1252" t="s">
        <v>371</v>
      </c>
      <c r="F1252" t="s">
        <v>6058</v>
      </c>
      <c r="G1252" s="2" t="str">
        <f>HYPERLINK("https://www.facebook.com/637524499688609/posts/1628059010635148")</f>
        <v>https://www.facebook.com/637524499688609/posts/1628059010635148</v>
      </c>
      <c r="H1252" t="s">
        <v>6062</v>
      </c>
      <c r="I1252" t="s">
        <v>1840</v>
      </c>
      <c r="J1252" s="2" t="str">
        <f t="shared" si="30"/>
        <v>https://www.facebook.com/100023451682374</v>
      </c>
      <c r="K1252">
        <v>38</v>
      </c>
      <c r="L1252" t="s">
        <v>6063</v>
      </c>
      <c r="N1252" t="s">
        <v>13</v>
      </c>
      <c r="O1252" t="s">
        <v>1757</v>
      </c>
      <c r="P1252" s="2" t="str">
        <f>HYPERLINK("https://www.facebook.com/637524499688609")</f>
        <v>https://www.facebook.com/637524499688609</v>
      </c>
      <c r="Q1252">
        <v>68</v>
      </c>
      <c r="R1252" t="s">
        <v>6067</v>
      </c>
    </row>
    <row r="1253" spans="1:19" ht="14.25" customHeight="1" x14ac:dyDescent="0.3">
      <c r="A1253" t="s">
        <v>629</v>
      </c>
      <c r="B1253" t="s">
        <v>1845</v>
      </c>
      <c r="C1253" t="s">
        <v>95</v>
      </c>
      <c r="D1253" t="s">
        <v>370</v>
      </c>
      <c r="E1253" t="s">
        <v>371</v>
      </c>
      <c r="F1253" t="s">
        <v>6058</v>
      </c>
      <c r="G1253" s="2" t="str">
        <f>HYPERLINK("https://www.facebook.com/637524499688609/posts/184433615681693")</f>
        <v>https://www.facebook.com/637524499688609/posts/184433615681693</v>
      </c>
      <c r="H1253" t="s">
        <v>6062</v>
      </c>
      <c r="I1253" t="s">
        <v>1840</v>
      </c>
      <c r="J1253" s="2" t="str">
        <f t="shared" si="30"/>
        <v>https://www.facebook.com/100023451682374</v>
      </c>
      <c r="K1253">
        <v>38</v>
      </c>
      <c r="L1253" t="s">
        <v>6063</v>
      </c>
      <c r="N1253" t="s">
        <v>13</v>
      </c>
      <c r="O1253" t="s">
        <v>1757</v>
      </c>
      <c r="P1253" s="2" t="str">
        <f>HYPERLINK("https://www.facebook.com/637524499688609")</f>
        <v>https://www.facebook.com/637524499688609</v>
      </c>
      <c r="Q1253">
        <v>68</v>
      </c>
      <c r="R1253" t="s">
        <v>6067</v>
      </c>
    </row>
    <row r="1254" spans="1:19" ht="14.25" customHeight="1" x14ac:dyDescent="0.3">
      <c r="A1254" t="s">
        <v>629</v>
      </c>
      <c r="B1254" t="s">
        <v>1845</v>
      </c>
      <c r="C1254" t="s">
        <v>95</v>
      </c>
      <c r="D1254" t="s">
        <v>370</v>
      </c>
      <c r="E1254" t="s">
        <v>371</v>
      </c>
      <c r="F1254" t="s">
        <v>6058</v>
      </c>
      <c r="G1254" s="2" t="str">
        <f>HYPERLINK("https://www.facebook.com/403867569980507/posts/184433585681696")</f>
        <v>https://www.facebook.com/403867569980507/posts/184433585681696</v>
      </c>
      <c r="H1254" t="s">
        <v>6062</v>
      </c>
      <c r="I1254" t="s">
        <v>1840</v>
      </c>
      <c r="J1254" s="2" t="str">
        <f t="shared" si="30"/>
        <v>https://www.facebook.com/100023451682374</v>
      </c>
      <c r="K1254">
        <v>38</v>
      </c>
      <c r="L1254" t="s">
        <v>6063</v>
      </c>
      <c r="N1254" t="s">
        <v>13</v>
      </c>
      <c r="O1254" t="s">
        <v>1850</v>
      </c>
      <c r="P1254" s="2" t="str">
        <f>HYPERLINK("https://www.facebook.com/403867569980507")</f>
        <v>https://www.facebook.com/403867569980507</v>
      </c>
      <c r="R1254" t="s">
        <v>6067</v>
      </c>
    </row>
    <row r="1255" spans="1:19" ht="14.25" customHeight="1" x14ac:dyDescent="0.3">
      <c r="A1255" t="s">
        <v>629</v>
      </c>
      <c r="B1255" t="s">
        <v>1845</v>
      </c>
      <c r="C1255" t="s">
        <v>95</v>
      </c>
      <c r="D1255" t="s">
        <v>370</v>
      </c>
      <c r="E1255" t="s">
        <v>371</v>
      </c>
      <c r="F1255" t="s">
        <v>6058</v>
      </c>
      <c r="G1255" s="2" t="str">
        <f>HYPERLINK("https://www.facebook.com/792143314292998/posts/184433432348378")</f>
        <v>https://www.facebook.com/792143314292998/posts/184433432348378</v>
      </c>
      <c r="H1255" t="s">
        <v>6062</v>
      </c>
      <c r="I1255" t="s">
        <v>1840</v>
      </c>
      <c r="J1255" s="2" t="str">
        <f t="shared" si="30"/>
        <v>https://www.facebook.com/100023451682374</v>
      </c>
      <c r="K1255">
        <v>38</v>
      </c>
      <c r="L1255" t="s">
        <v>6063</v>
      </c>
      <c r="N1255" t="s">
        <v>13</v>
      </c>
      <c r="O1255" t="s">
        <v>1851</v>
      </c>
      <c r="P1255" s="2" t="str">
        <f>HYPERLINK("https://www.facebook.com/792143314292998")</f>
        <v>https://www.facebook.com/792143314292998</v>
      </c>
      <c r="R1255" t="s">
        <v>6067</v>
      </c>
    </row>
    <row r="1256" spans="1:19" ht="14.25" customHeight="1" x14ac:dyDescent="0.3">
      <c r="A1256" t="s">
        <v>4995</v>
      </c>
      <c r="B1256" t="s">
        <v>5104</v>
      </c>
      <c r="C1256" t="s">
        <v>3538</v>
      </c>
      <c r="D1256" t="s">
        <v>2321</v>
      </c>
      <c r="E1256" t="s">
        <v>5106</v>
      </c>
      <c r="F1256" t="s">
        <v>6056</v>
      </c>
      <c r="G1256" s="2" t="str">
        <f>HYPERLINK("https://www.facebook.com/100013103490487/posts/424735501306563")</f>
        <v>https://www.facebook.com/100013103490487/posts/424735501306563</v>
      </c>
      <c r="H1256" t="s">
        <v>6062</v>
      </c>
      <c r="I1256" t="s">
        <v>5107</v>
      </c>
      <c r="J1256" s="2" t="str">
        <f>HYPERLINK("https://www.facebook.com/100013103490487")</f>
        <v>https://www.facebook.com/100013103490487</v>
      </c>
      <c r="K1256">
        <v>384</v>
      </c>
      <c r="L1256" t="s">
        <v>6063</v>
      </c>
      <c r="N1256" t="s">
        <v>13</v>
      </c>
      <c r="O1256" t="s">
        <v>5107</v>
      </c>
      <c r="P1256" s="2" t="str">
        <f>HYPERLINK("https://www.facebook.com/100013103490487")</f>
        <v>https://www.facebook.com/100013103490487</v>
      </c>
      <c r="Q1256">
        <v>384</v>
      </c>
      <c r="R1256" t="s">
        <v>6067</v>
      </c>
      <c r="S1256" t="s">
        <v>6073</v>
      </c>
    </row>
    <row r="1257" spans="1:19" ht="14.25" customHeight="1" x14ac:dyDescent="0.3">
      <c r="A1257" t="s">
        <v>629</v>
      </c>
      <c r="B1257" t="s">
        <v>675</v>
      </c>
      <c r="C1257" t="s">
        <v>95</v>
      </c>
      <c r="D1257" t="s">
        <v>676</v>
      </c>
      <c r="E1257" t="s">
        <v>677</v>
      </c>
      <c r="F1257" t="s">
        <v>6059</v>
      </c>
      <c r="G1257" s="2" t="str">
        <f>HYPERLINK("https://www.facebook.com/100001492524681/posts/1737583532968047?comment_id=1737717949621272")</f>
        <v>https://www.facebook.com/100001492524681/posts/1737583532968047?comment_id=1737717949621272</v>
      </c>
      <c r="H1257" t="s">
        <v>6062</v>
      </c>
      <c r="I1257" t="s">
        <v>678</v>
      </c>
      <c r="J1257" s="2" t="str">
        <f>HYPERLINK("https://www.facebook.com/100012746654780")</f>
        <v>https://www.facebook.com/100012746654780</v>
      </c>
      <c r="K1257">
        <v>160</v>
      </c>
      <c r="L1257" t="s">
        <v>6063</v>
      </c>
      <c r="N1257" t="s">
        <v>13</v>
      </c>
      <c r="O1257" t="s">
        <v>679</v>
      </c>
      <c r="P1257" s="2" t="str">
        <f>HYPERLINK("https://www.facebook.com/100001492524681")</f>
        <v>https://www.facebook.com/100001492524681</v>
      </c>
      <c r="Q1257">
        <v>248</v>
      </c>
      <c r="R1257" t="s">
        <v>6067</v>
      </c>
      <c r="S1257" t="s">
        <v>6073</v>
      </c>
    </row>
    <row r="1258" spans="1:19" ht="14.25" customHeight="1" x14ac:dyDescent="0.3">
      <c r="A1258" t="s">
        <v>629</v>
      </c>
      <c r="B1258" t="s">
        <v>921</v>
      </c>
      <c r="C1258" t="s">
        <v>95</v>
      </c>
      <c r="D1258" t="s">
        <v>370</v>
      </c>
      <c r="E1258" t="s">
        <v>371</v>
      </c>
      <c r="F1258" t="s">
        <v>6058</v>
      </c>
      <c r="G1258" s="2" t="str">
        <f>HYPERLINK("https://www.facebook.com/100004992391146/posts/973666849476386")</f>
        <v>https://www.facebook.com/100004992391146/posts/973666849476386</v>
      </c>
      <c r="H1258" t="s">
        <v>6062</v>
      </c>
      <c r="I1258" t="s">
        <v>922</v>
      </c>
      <c r="J1258" s="2" t="str">
        <f>HYPERLINK("https://www.facebook.com/100004992391146")</f>
        <v>https://www.facebook.com/100004992391146</v>
      </c>
      <c r="K1258">
        <v>29</v>
      </c>
      <c r="L1258" t="s">
        <v>6063</v>
      </c>
      <c r="N1258" t="s">
        <v>13</v>
      </c>
      <c r="O1258" t="s">
        <v>922</v>
      </c>
      <c r="P1258" s="2" t="str">
        <f>HYPERLINK("https://www.facebook.com/100004992391146")</f>
        <v>https://www.facebook.com/100004992391146</v>
      </c>
      <c r="Q1258">
        <v>29</v>
      </c>
      <c r="R1258" t="s">
        <v>6067</v>
      </c>
    </row>
    <row r="1259" spans="1:19" ht="14.25" customHeight="1" x14ac:dyDescent="0.3">
      <c r="A1259" t="s">
        <v>5409</v>
      </c>
      <c r="B1259" t="s">
        <v>3999</v>
      </c>
      <c r="C1259" t="s">
        <v>3538</v>
      </c>
      <c r="D1259" t="s">
        <v>5442</v>
      </c>
      <c r="E1259" t="s">
        <v>5592</v>
      </c>
      <c r="F1259" t="s">
        <v>6058</v>
      </c>
      <c r="G1259" s="2" t="str">
        <f>HYPERLINK("https://www.facebook.com/100001570028698/posts/1789357657793218")</f>
        <v>https://www.facebook.com/100001570028698/posts/1789357657793218</v>
      </c>
      <c r="H1259" t="s">
        <v>6062</v>
      </c>
      <c r="I1259" t="s">
        <v>5593</v>
      </c>
      <c r="J1259" s="2" t="str">
        <f>HYPERLINK("https://www.facebook.com/100001570028698")</f>
        <v>https://www.facebook.com/100001570028698</v>
      </c>
      <c r="K1259">
        <v>605</v>
      </c>
      <c r="L1259" t="s">
        <v>6063</v>
      </c>
      <c r="N1259" t="s">
        <v>13</v>
      </c>
      <c r="O1259" t="s">
        <v>5593</v>
      </c>
      <c r="P1259" s="2" t="str">
        <f>HYPERLINK("https://www.facebook.com/100001570028698")</f>
        <v>https://www.facebook.com/100001570028698</v>
      </c>
      <c r="Q1259">
        <v>605</v>
      </c>
      <c r="R1259" t="s">
        <v>6067</v>
      </c>
    </row>
    <row r="1260" spans="1:19" ht="14.25" customHeight="1" x14ac:dyDescent="0.3">
      <c r="A1260" t="s">
        <v>5409</v>
      </c>
      <c r="B1260" t="s">
        <v>3999</v>
      </c>
      <c r="C1260" t="s">
        <v>3538</v>
      </c>
      <c r="D1260" t="s">
        <v>5442</v>
      </c>
      <c r="E1260" t="s">
        <v>5592</v>
      </c>
      <c r="F1260" t="s">
        <v>6058</v>
      </c>
      <c r="G1260" s="2" t="str">
        <f>HYPERLINK("https://www.facebook.com/100001570028698/posts/1789357661126551")</f>
        <v>https://www.facebook.com/100001570028698/posts/1789357661126551</v>
      </c>
      <c r="H1260" t="s">
        <v>6062</v>
      </c>
      <c r="I1260" t="s">
        <v>5593</v>
      </c>
      <c r="J1260" s="2" t="str">
        <f>HYPERLINK("https://www.facebook.com/100001570028698")</f>
        <v>https://www.facebook.com/100001570028698</v>
      </c>
      <c r="K1260">
        <v>605</v>
      </c>
      <c r="L1260" t="s">
        <v>6063</v>
      </c>
      <c r="N1260" t="s">
        <v>13</v>
      </c>
      <c r="O1260" t="s">
        <v>5593</v>
      </c>
      <c r="P1260" s="2" t="str">
        <f>HYPERLINK("https://www.facebook.com/100001570028698")</f>
        <v>https://www.facebook.com/100001570028698</v>
      </c>
      <c r="Q1260">
        <v>605</v>
      </c>
      <c r="R1260" t="s">
        <v>6067</v>
      </c>
    </row>
    <row r="1261" spans="1:19" ht="14.25" customHeight="1" x14ac:dyDescent="0.3">
      <c r="A1261" t="s">
        <v>5409</v>
      </c>
      <c r="B1261" t="s">
        <v>1608</v>
      </c>
      <c r="C1261" t="s">
        <v>3538</v>
      </c>
      <c r="D1261" t="s">
        <v>5442</v>
      </c>
      <c r="E1261" t="s">
        <v>5592</v>
      </c>
      <c r="F1261" t="s">
        <v>6058</v>
      </c>
      <c r="G1261" s="2" t="str">
        <f>HYPERLINK("https://www.facebook.com/100001638274386/posts/1836797636384828")</f>
        <v>https://www.facebook.com/100001638274386/posts/1836797636384828</v>
      </c>
      <c r="H1261" t="s">
        <v>6062</v>
      </c>
      <c r="I1261" t="s">
        <v>5852</v>
      </c>
      <c r="J1261" s="2" t="str">
        <f>HYPERLINK("https://www.facebook.com/100001638274386")</f>
        <v>https://www.facebook.com/100001638274386</v>
      </c>
      <c r="K1261">
        <v>655</v>
      </c>
      <c r="L1261" t="s">
        <v>6063</v>
      </c>
      <c r="N1261" t="s">
        <v>13</v>
      </c>
      <c r="O1261" t="s">
        <v>5852</v>
      </c>
      <c r="P1261" s="2" t="str">
        <f>HYPERLINK("https://www.facebook.com/100001638274386")</f>
        <v>https://www.facebook.com/100001638274386</v>
      </c>
      <c r="Q1261">
        <v>655</v>
      </c>
      <c r="R1261" t="s">
        <v>6067</v>
      </c>
      <c r="S1261" t="s">
        <v>6073</v>
      </c>
    </row>
    <row r="1262" spans="1:19" ht="14.25" customHeight="1" x14ac:dyDescent="0.3">
      <c r="A1262" t="s">
        <v>2225</v>
      </c>
      <c r="B1262" t="s">
        <v>2831</v>
      </c>
      <c r="C1262" t="s">
        <v>95</v>
      </c>
      <c r="D1262" t="s">
        <v>2789</v>
      </c>
      <c r="E1262" t="s">
        <v>2835</v>
      </c>
      <c r="F1262" t="s">
        <v>6056</v>
      </c>
      <c r="G1262" s="2" t="str">
        <f>HYPERLINK("https://www.facebook.com/100000239981419/posts/2109629449055034")</f>
        <v>https://www.facebook.com/100000239981419/posts/2109629449055034</v>
      </c>
      <c r="H1262" t="s">
        <v>6062</v>
      </c>
      <c r="I1262" t="s">
        <v>2791</v>
      </c>
      <c r="J1262" s="2" t="str">
        <f>HYPERLINK("https://www.facebook.com/100000239981419")</f>
        <v>https://www.facebook.com/100000239981419</v>
      </c>
      <c r="K1262">
        <v>3952</v>
      </c>
      <c r="L1262" t="s">
        <v>6063</v>
      </c>
      <c r="N1262" t="s">
        <v>13</v>
      </c>
      <c r="O1262" t="s">
        <v>2791</v>
      </c>
      <c r="P1262" s="2" t="str">
        <f>HYPERLINK("https://www.facebook.com/100000239981419")</f>
        <v>https://www.facebook.com/100000239981419</v>
      </c>
      <c r="Q1262">
        <v>3952</v>
      </c>
      <c r="R1262" t="s">
        <v>6067</v>
      </c>
      <c r="S1262" t="s">
        <v>6073</v>
      </c>
    </row>
    <row r="1263" spans="1:19" ht="14.25" customHeight="1" x14ac:dyDescent="0.3">
      <c r="A1263" t="s">
        <v>2225</v>
      </c>
      <c r="B1263" t="s">
        <v>2785</v>
      </c>
      <c r="C1263" t="s">
        <v>95</v>
      </c>
      <c r="D1263" t="s">
        <v>2789</v>
      </c>
      <c r="E1263" t="s">
        <v>2790</v>
      </c>
      <c r="F1263" t="s">
        <v>6059</v>
      </c>
      <c r="G1263" s="2" t="str">
        <f>HYPERLINK("https://www.facebook.com/100000239981419/posts/2109629449055034?comment_id=2109634865721159")</f>
        <v>https://www.facebook.com/100000239981419/posts/2109629449055034?comment_id=2109634865721159</v>
      </c>
      <c r="H1263" t="s">
        <v>6062</v>
      </c>
      <c r="I1263" t="s">
        <v>2791</v>
      </c>
      <c r="J1263" s="2" t="str">
        <f>HYPERLINK("https://www.facebook.com/100000239981419")</f>
        <v>https://www.facebook.com/100000239981419</v>
      </c>
      <c r="K1263">
        <v>3952</v>
      </c>
      <c r="L1263" t="s">
        <v>6063</v>
      </c>
      <c r="N1263" t="s">
        <v>13</v>
      </c>
      <c r="O1263" t="s">
        <v>2791</v>
      </c>
      <c r="P1263" s="2" t="str">
        <f>HYPERLINK("https://www.facebook.com/100000239981419")</f>
        <v>https://www.facebook.com/100000239981419</v>
      </c>
      <c r="Q1263">
        <v>3952</v>
      </c>
      <c r="R1263" t="s">
        <v>6067</v>
      </c>
      <c r="S1263" t="s">
        <v>6073</v>
      </c>
    </row>
    <row r="1264" spans="1:19" ht="14.25" customHeight="1" x14ac:dyDescent="0.3">
      <c r="A1264" t="s">
        <v>2225</v>
      </c>
      <c r="B1264" t="s">
        <v>3482</v>
      </c>
      <c r="C1264" t="s">
        <v>95</v>
      </c>
      <c r="D1264" t="s">
        <v>3483</v>
      </c>
      <c r="E1264" t="s">
        <v>3484</v>
      </c>
      <c r="F1264" t="s">
        <v>6058</v>
      </c>
      <c r="G1264" s="2" t="str">
        <f>HYPERLINK("https://www.facebook.com/100021519739399/posts/192762111451112")</f>
        <v>https://www.facebook.com/100021519739399/posts/192762111451112</v>
      </c>
      <c r="H1264" t="s">
        <v>6062</v>
      </c>
      <c r="I1264" t="s">
        <v>3485</v>
      </c>
      <c r="J1264" s="2" t="str">
        <f>HYPERLINK("https://www.facebook.com/100021519739399")</f>
        <v>https://www.facebook.com/100021519739399</v>
      </c>
      <c r="K1264">
        <v>61</v>
      </c>
      <c r="L1264" t="s">
        <v>6063</v>
      </c>
      <c r="N1264" t="s">
        <v>13</v>
      </c>
      <c r="O1264" t="s">
        <v>3485</v>
      </c>
      <c r="P1264" s="2" t="str">
        <f>HYPERLINK("https://www.facebook.com/100021519739399")</f>
        <v>https://www.facebook.com/100021519739399</v>
      </c>
      <c r="Q1264">
        <v>61</v>
      </c>
      <c r="R1264" t="s">
        <v>6067</v>
      </c>
      <c r="S1264" t="s">
        <v>6073</v>
      </c>
    </row>
    <row r="1265" spans="1:19" ht="14.25" customHeight="1" x14ac:dyDescent="0.3">
      <c r="A1265" t="s">
        <v>629</v>
      </c>
      <c r="B1265" t="s">
        <v>716</v>
      </c>
      <c r="C1265" t="s">
        <v>95</v>
      </c>
      <c r="D1265" t="s">
        <v>717</v>
      </c>
      <c r="E1265" t="s">
        <v>718</v>
      </c>
      <c r="F1265" t="s">
        <v>6058</v>
      </c>
      <c r="G1265" s="2" t="str">
        <f>HYPERLINK("https://www.facebook.com/100017282686011/posts/208469626405792")</f>
        <v>https://www.facebook.com/100017282686011/posts/208469626405792</v>
      </c>
      <c r="H1265" t="s">
        <v>6062</v>
      </c>
      <c r="I1265" t="s">
        <v>719</v>
      </c>
      <c r="J1265" s="2" t="str">
        <f>HYPERLINK("https://www.facebook.com/100017282686011")</f>
        <v>https://www.facebook.com/100017282686011</v>
      </c>
      <c r="K1265">
        <v>58</v>
      </c>
      <c r="L1265" t="s">
        <v>6063</v>
      </c>
      <c r="N1265" t="s">
        <v>13</v>
      </c>
      <c r="O1265" t="s">
        <v>719</v>
      </c>
      <c r="P1265" s="2" t="str">
        <f>HYPERLINK("https://www.facebook.com/100017282686011")</f>
        <v>https://www.facebook.com/100017282686011</v>
      </c>
      <c r="Q1265">
        <v>58</v>
      </c>
      <c r="R1265" t="s">
        <v>6067</v>
      </c>
    </row>
    <row r="1266" spans="1:19" ht="14.25" customHeight="1" x14ac:dyDescent="0.3">
      <c r="A1266" t="s">
        <v>5409</v>
      </c>
      <c r="B1266" t="s">
        <v>2659</v>
      </c>
      <c r="C1266" t="s">
        <v>3538</v>
      </c>
      <c r="D1266" t="s">
        <v>5187</v>
      </c>
      <c r="E1266" t="s">
        <v>5473</v>
      </c>
      <c r="F1266" t="s">
        <v>6059</v>
      </c>
      <c r="G1266" s="2" t="str">
        <f>HYPERLINK("https://www.facebook.com/100000749205618/posts/1872163949485227?comment_id=1872366306131658")</f>
        <v>https://www.facebook.com/100000749205618/posts/1872163949485227?comment_id=1872366306131658</v>
      </c>
      <c r="H1266" t="s">
        <v>6062</v>
      </c>
      <c r="I1266" t="s">
        <v>5189</v>
      </c>
      <c r="J1266" s="2" t="str">
        <f>HYPERLINK("https://www.facebook.com/100000749205618")</f>
        <v>https://www.facebook.com/100000749205618</v>
      </c>
      <c r="K1266">
        <v>545</v>
      </c>
      <c r="L1266" t="s">
        <v>6064</v>
      </c>
      <c r="N1266" t="s">
        <v>13</v>
      </c>
      <c r="O1266" t="s">
        <v>5189</v>
      </c>
      <c r="P1266" s="2" t="str">
        <f>HYPERLINK("https://www.facebook.com/100000749205618")</f>
        <v>https://www.facebook.com/100000749205618</v>
      </c>
      <c r="Q1266">
        <v>545</v>
      </c>
      <c r="R1266" t="s">
        <v>6067</v>
      </c>
    </row>
    <row r="1267" spans="1:19" ht="14.25" customHeight="1" x14ac:dyDescent="0.3">
      <c r="A1267" t="s">
        <v>629</v>
      </c>
      <c r="B1267" t="s">
        <v>243</v>
      </c>
      <c r="C1267" t="s">
        <v>95</v>
      </c>
      <c r="D1267" t="s">
        <v>1448</v>
      </c>
      <c r="E1267" t="s">
        <v>1449</v>
      </c>
      <c r="F1267" t="s">
        <v>6059</v>
      </c>
      <c r="G1267" s="2" t="str">
        <f>HYPERLINK("https://www.facebook.com/1739509269/posts/10204829963985790?comment_id=10204831798311647")</f>
        <v>https://www.facebook.com/1739509269/posts/10204829963985790?comment_id=10204831798311647</v>
      </c>
      <c r="H1267" t="s">
        <v>6062</v>
      </c>
      <c r="I1267" t="s">
        <v>1450</v>
      </c>
      <c r="J1267" s="2" t="str">
        <f>HYPERLINK("https://www.facebook.com/100000831301029")</f>
        <v>https://www.facebook.com/100000831301029</v>
      </c>
      <c r="K1267">
        <v>221</v>
      </c>
      <c r="L1267" t="s">
        <v>6064</v>
      </c>
      <c r="N1267" t="s">
        <v>13</v>
      </c>
      <c r="O1267" t="s">
        <v>1451</v>
      </c>
      <c r="P1267" s="2" t="str">
        <f>HYPERLINK("https://www.facebook.com/1739509269")</f>
        <v>https://www.facebook.com/1739509269</v>
      </c>
      <c r="Q1267">
        <v>113</v>
      </c>
      <c r="R1267" t="s">
        <v>6067</v>
      </c>
      <c r="S1267" t="s">
        <v>6073</v>
      </c>
    </row>
    <row r="1268" spans="1:19" ht="14.25" customHeight="1" x14ac:dyDescent="0.3">
      <c r="A1268" t="s">
        <v>5409</v>
      </c>
      <c r="B1268" t="s">
        <v>4195</v>
      </c>
      <c r="C1268" t="s">
        <v>3538</v>
      </c>
      <c r="D1268" t="s">
        <v>3780</v>
      </c>
      <c r="E1268" t="s">
        <v>3781</v>
      </c>
      <c r="F1268" t="s">
        <v>6058</v>
      </c>
      <c r="G1268" s="2" t="str">
        <f>HYPERLINK("https://www.facebook.com/100007661709774/posts/1977759212489450")</f>
        <v>https://www.facebook.com/100007661709774/posts/1977759212489450</v>
      </c>
      <c r="H1268" t="s">
        <v>6062</v>
      </c>
      <c r="I1268" t="s">
        <v>5733</v>
      </c>
      <c r="J1268" s="2" t="str">
        <f>HYPERLINK("https://www.facebook.com/100007661709774")</f>
        <v>https://www.facebook.com/100007661709774</v>
      </c>
      <c r="K1268">
        <v>60</v>
      </c>
      <c r="L1268" t="s">
        <v>6063</v>
      </c>
      <c r="N1268" t="s">
        <v>13</v>
      </c>
      <c r="O1268" t="s">
        <v>5733</v>
      </c>
      <c r="P1268" s="2" t="str">
        <f>HYPERLINK("https://www.facebook.com/100007661709774")</f>
        <v>https://www.facebook.com/100007661709774</v>
      </c>
      <c r="Q1268">
        <v>60</v>
      </c>
      <c r="R1268" t="s">
        <v>6067</v>
      </c>
      <c r="S1268" t="s">
        <v>6073</v>
      </c>
    </row>
    <row r="1269" spans="1:19" ht="14.25" customHeight="1" x14ac:dyDescent="0.3">
      <c r="A1269" t="s">
        <v>1</v>
      </c>
      <c r="B1269" t="s">
        <v>265</v>
      </c>
      <c r="C1269" t="s">
        <v>95</v>
      </c>
      <c r="D1269" t="s">
        <v>266</v>
      </c>
      <c r="E1269" t="s">
        <v>267</v>
      </c>
      <c r="F1269" t="s">
        <v>6056</v>
      </c>
      <c r="G1269" s="2" t="str">
        <f>HYPERLINK("https://www.facebook.com/100008077365628/posts/2090493821229843")</f>
        <v>https://www.facebook.com/100008077365628/posts/2090493821229843</v>
      </c>
      <c r="H1269" t="s">
        <v>6062</v>
      </c>
      <c r="I1269" t="s">
        <v>268</v>
      </c>
      <c r="J1269" s="2" t="str">
        <f>HYPERLINK("https://www.facebook.com/100008077365628")</f>
        <v>https://www.facebook.com/100008077365628</v>
      </c>
      <c r="K1269">
        <v>1048</v>
      </c>
      <c r="L1269" t="s">
        <v>6063</v>
      </c>
      <c r="N1269" t="s">
        <v>13</v>
      </c>
      <c r="O1269" t="s">
        <v>268</v>
      </c>
      <c r="P1269" s="2" t="str">
        <f>HYPERLINK("https://www.facebook.com/100008077365628")</f>
        <v>https://www.facebook.com/100008077365628</v>
      </c>
      <c r="Q1269">
        <v>1048</v>
      </c>
      <c r="R1269" t="s">
        <v>6067</v>
      </c>
      <c r="S1269" t="s">
        <v>6081</v>
      </c>
    </row>
    <row r="1270" spans="1:19" ht="14.25" customHeight="1" x14ac:dyDescent="0.3">
      <c r="A1270" t="s">
        <v>2225</v>
      </c>
      <c r="B1270" t="s">
        <v>2836</v>
      </c>
      <c r="C1270" t="s">
        <v>95</v>
      </c>
      <c r="D1270" t="s">
        <v>544</v>
      </c>
      <c r="E1270" t="s">
        <v>545</v>
      </c>
      <c r="F1270" t="s">
        <v>6058</v>
      </c>
      <c r="G1270" s="2" t="str">
        <f>HYPERLINK("https://www.facebook.com/100007861481462/posts/2054671358138227")</f>
        <v>https://www.facebook.com/100007861481462/posts/2054671358138227</v>
      </c>
      <c r="H1270" t="s">
        <v>6062</v>
      </c>
      <c r="I1270" t="s">
        <v>2840</v>
      </c>
      <c r="J1270" s="2" t="str">
        <f>HYPERLINK("https://www.facebook.com/100007861481462")</f>
        <v>https://www.facebook.com/100007861481462</v>
      </c>
      <c r="K1270">
        <v>0</v>
      </c>
      <c r="L1270" t="s">
        <v>6063</v>
      </c>
      <c r="N1270" t="s">
        <v>13</v>
      </c>
      <c r="O1270" t="s">
        <v>2840</v>
      </c>
      <c r="P1270" s="2" t="str">
        <f>HYPERLINK("https://www.facebook.com/100007861481462")</f>
        <v>https://www.facebook.com/100007861481462</v>
      </c>
      <c r="Q1270">
        <v>0</v>
      </c>
      <c r="R1270" t="s">
        <v>6067</v>
      </c>
    </row>
    <row r="1271" spans="1:19" ht="14.25" customHeight="1" x14ac:dyDescent="0.3">
      <c r="A1271" t="s">
        <v>2225</v>
      </c>
      <c r="B1271" t="s">
        <v>2890</v>
      </c>
      <c r="C1271" t="s">
        <v>95</v>
      </c>
      <c r="D1271" t="s">
        <v>544</v>
      </c>
      <c r="E1271" t="s">
        <v>545</v>
      </c>
      <c r="F1271" t="s">
        <v>6058</v>
      </c>
      <c r="G1271" s="2" t="str">
        <f>HYPERLINK("https://www.facebook.com/100007861481462/posts/2054669531471743")</f>
        <v>https://www.facebook.com/100007861481462/posts/2054669531471743</v>
      </c>
      <c r="H1271" t="s">
        <v>6062</v>
      </c>
      <c r="I1271" t="s">
        <v>2840</v>
      </c>
      <c r="J1271" s="2" t="str">
        <f>HYPERLINK("https://www.facebook.com/100007861481462")</f>
        <v>https://www.facebook.com/100007861481462</v>
      </c>
      <c r="K1271">
        <v>0</v>
      </c>
      <c r="L1271" t="s">
        <v>6063</v>
      </c>
      <c r="N1271" t="s">
        <v>13</v>
      </c>
      <c r="O1271" t="s">
        <v>2840</v>
      </c>
      <c r="P1271" s="2" t="str">
        <f>HYPERLINK("https://www.facebook.com/100007861481462")</f>
        <v>https://www.facebook.com/100007861481462</v>
      </c>
      <c r="Q1271">
        <v>0</v>
      </c>
      <c r="R1271" t="s">
        <v>6067</v>
      </c>
    </row>
    <row r="1272" spans="1:19" ht="14.25" customHeight="1" x14ac:dyDescent="0.3">
      <c r="A1272" t="s">
        <v>629</v>
      </c>
      <c r="B1272" t="s">
        <v>1536</v>
      </c>
      <c r="C1272" t="s">
        <v>95</v>
      </c>
      <c r="D1272" t="s">
        <v>370</v>
      </c>
      <c r="E1272" t="s">
        <v>371</v>
      </c>
      <c r="F1272" t="s">
        <v>6058</v>
      </c>
      <c r="G1272" s="2" t="str">
        <f>HYPERLINK("https://www.facebook.com/100001915237650/posts/1976064999133989")</f>
        <v>https://www.facebook.com/100001915237650/posts/1976064999133989</v>
      </c>
      <c r="H1272" t="s">
        <v>6062</v>
      </c>
      <c r="I1272" t="s">
        <v>1537</v>
      </c>
      <c r="J1272" s="2" t="str">
        <f>HYPERLINK("https://www.facebook.com/100001915237650")</f>
        <v>https://www.facebook.com/100001915237650</v>
      </c>
      <c r="K1272">
        <v>143</v>
      </c>
      <c r="L1272" t="s">
        <v>6063</v>
      </c>
      <c r="N1272" t="s">
        <v>13</v>
      </c>
      <c r="O1272" t="s">
        <v>1537</v>
      </c>
      <c r="P1272" s="2" t="str">
        <f>HYPERLINK("https://www.facebook.com/100001915237650")</f>
        <v>https://www.facebook.com/100001915237650</v>
      </c>
      <c r="Q1272">
        <v>143</v>
      </c>
      <c r="R1272" t="s">
        <v>6067</v>
      </c>
    </row>
    <row r="1273" spans="1:19" ht="14.25" customHeight="1" x14ac:dyDescent="0.3">
      <c r="A1273" t="s">
        <v>629</v>
      </c>
      <c r="B1273" t="s">
        <v>1909</v>
      </c>
      <c r="C1273" t="s">
        <v>95</v>
      </c>
      <c r="D1273" t="s">
        <v>370</v>
      </c>
      <c r="E1273" t="s">
        <v>371</v>
      </c>
      <c r="F1273" t="s">
        <v>6058</v>
      </c>
      <c r="G1273" s="2" t="str">
        <f>HYPERLINK("https://www.facebook.com/100011177927729/posts/576458009403458")</f>
        <v>https://www.facebook.com/100011177927729/posts/576458009403458</v>
      </c>
      <c r="H1273" t="s">
        <v>6062</v>
      </c>
      <c r="I1273" t="s">
        <v>1910</v>
      </c>
      <c r="J1273" s="2" t="str">
        <f>HYPERLINK("https://www.facebook.com/100011177927729")</f>
        <v>https://www.facebook.com/100011177927729</v>
      </c>
      <c r="K1273">
        <v>165</v>
      </c>
      <c r="L1273" t="s">
        <v>6063</v>
      </c>
      <c r="N1273" t="s">
        <v>13</v>
      </c>
      <c r="O1273" t="s">
        <v>1910</v>
      </c>
      <c r="P1273" s="2" t="str">
        <f>HYPERLINK("https://www.facebook.com/100011177927729")</f>
        <v>https://www.facebook.com/100011177927729</v>
      </c>
      <c r="Q1273">
        <v>165</v>
      </c>
      <c r="R1273" t="s">
        <v>6067</v>
      </c>
      <c r="S1273" t="s">
        <v>6073</v>
      </c>
    </row>
    <row r="1274" spans="1:19" ht="14.25" customHeight="1" x14ac:dyDescent="0.3">
      <c r="A1274" t="s">
        <v>629</v>
      </c>
      <c r="B1274" t="s">
        <v>1513</v>
      </c>
      <c r="C1274" t="s">
        <v>95</v>
      </c>
      <c r="D1274" t="s">
        <v>370</v>
      </c>
      <c r="E1274" t="s">
        <v>371</v>
      </c>
      <c r="F1274" t="s">
        <v>6058</v>
      </c>
      <c r="G1274" s="2" t="str">
        <f>HYPERLINK("https://www.facebook.com/100005545727982/posts/767970720064445")</f>
        <v>https://www.facebook.com/100005545727982/posts/767970720064445</v>
      </c>
      <c r="H1274" t="s">
        <v>6062</v>
      </c>
      <c r="I1274" t="s">
        <v>1514</v>
      </c>
      <c r="J1274" s="2" t="str">
        <f>HYPERLINK("https://www.facebook.com/100005545727982")</f>
        <v>https://www.facebook.com/100005545727982</v>
      </c>
      <c r="K1274">
        <v>87</v>
      </c>
      <c r="L1274" t="s">
        <v>6063</v>
      </c>
      <c r="N1274" t="s">
        <v>13</v>
      </c>
      <c r="O1274" t="s">
        <v>1514</v>
      </c>
      <c r="P1274" s="2" t="str">
        <f>HYPERLINK("https://www.facebook.com/100005545727982")</f>
        <v>https://www.facebook.com/100005545727982</v>
      </c>
      <c r="Q1274">
        <v>87</v>
      </c>
      <c r="R1274" t="s">
        <v>6067</v>
      </c>
    </row>
    <row r="1275" spans="1:19" ht="14.25" customHeight="1" x14ac:dyDescent="0.3">
      <c r="A1275" t="s">
        <v>629</v>
      </c>
      <c r="B1275" t="s">
        <v>1527</v>
      </c>
      <c r="C1275" t="s">
        <v>95</v>
      </c>
      <c r="D1275" t="s">
        <v>370</v>
      </c>
      <c r="E1275" t="s">
        <v>371</v>
      </c>
      <c r="F1275" t="s">
        <v>6058</v>
      </c>
      <c r="G1275" s="2" t="str">
        <f>HYPERLINK("https://www.facebook.com/100005545727982/posts/767969343397916")</f>
        <v>https://www.facebook.com/100005545727982/posts/767969343397916</v>
      </c>
      <c r="H1275" t="s">
        <v>6062</v>
      </c>
      <c r="I1275" t="s">
        <v>1514</v>
      </c>
      <c r="J1275" s="2" t="str">
        <f>HYPERLINK("https://www.facebook.com/100005545727982")</f>
        <v>https://www.facebook.com/100005545727982</v>
      </c>
      <c r="K1275">
        <v>87</v>
      </c>
      <c r="L1275" t="s">
        <v>6063</v>
      </c>
      <c r="N1275" t="s">
        <v>13</v>
      </c>
      <c r="O1275" t="s">
        <v>1514</v>
      </c>
      <c r="P1275" s="2" t="str">
        <f>HYPERLINK("https://www.facebook.com/100005545727982")</f>
        <v>https://www.facebook.com/100005545727982</v>
      </c>
      <c r="Q1275">
        <v>87</v>
      </c>
      <c r="R1275" t="s">
        <v>6067</v>
      </c>
    </row>
    <row r="1276" spans="1:19" ht="14.25" customHeight="1" x14ac:dyDescent="0.3">
      <c r="A1276" t="s">
        <v>629</v>
      </c>
      <c r="B1276" t="s">
        <v>1682</v>
      </c>
      <c r="C1276" t="s">
        <v>95</v>
      </c>
      <c r="D1276" t="s">
        <v>370</v>
      </c>
      <c r="E1276" t="s">
        <v>371</v>
      </c>
      <c r="F1276" t="s">
        <v>6058</v>
      </c>
      <c r="G1276" s="2" t="str">
        <f>HYPERLINK("https://www.facebook.com/100005545727982/posts/767953830066134")</f>
        <v>https://www.facebook.com/100005545727982/posts/767953830066134</v>
      </c>
      <c r="H1276" t="s">
        <v>6062</v>
      </c>
      <c r="I1276" t="s">
        <v>1514</v>
      </c>
      <c r="J1276" s="2" t="str">
        <f>HYPERLINK("https://www.facebook.com/100005545727982")</f>
        <v>https://www.facebook.com/100005545727982</v>
      </c>
      <c r="K1276">
        <v>87</v>
      </c>
      <c r="L1276" t="s">
        <v>6063</v>
      </c>
      <c r="N1276" t="s">
        <v>13</v>
      </c>
      <c r="O1276" t="s">
        <v>1514</v>
      </c>
      <c r="P1276" s="2" t="str">
        <f>HYPERLINK("https://www.facebook.com/100005545727982")</f>
        <v>https://www.facebook.com/100005545727982</v>
      </c>
      <c r="Q1276">
        <v>87</v>
      </c>
      <c r="R1276" t="s">
        <v>6067</v>
      </c>
    </row>
    <row r="1277" spans="1:19" ht="14.25" customHeight="1" x14ac:dyDescent="0.3">
      <c r="A1277" t="s">
        <v>629</v>
      </c>
      <c r="B1277" t="s">
        <v>1707</v>
      </c>
      <c r="C1277" t="s">
        <v>95</v>
      </c>
      <c r="D1277" t="s">
        <v>370</v>
      </c>
      <c r="E1277" t="s">
        <v>371</v>
      </c>
      <c r="F1277" t="s">
        <v>6058</v>
      </c>
      <c r="G1277" s="2" t="str">
        <f>HYPERLINK("https://www.facebook.com/100005545727982/posts/767952040066313")</f>
        <v>https://www.facebook.com/100005545727982/posts/767952040066313</v>
      </c>
      <c r="H1277" t="s">
        <v>6062</v>
      </c>
      <c r="I1277" t="s">
        <v>1514</v>
      </c>
      <c r="J1277" s="2" t="str">
        <f>HYPERLINK("https://www.facebook.com/100005545727982")</f>
        <v>https://www.facebook.com/100005545727982</v>
      </c>
      <c r="K1277">
        <v>87</v>
      </c>
      <c r="L1277" t="s">
        <v>6063</v>
      </c>
      <c r="N1277" t="s">
        <v>13</v>
      </c>
      <c r="O1277" t="s">
        <v>1514</v>
      </c>
      <c r="P1277" s="2" t="str">
        <f>HYPERLINK("https://www.facebook.com/100005545727982")</f>
        <v>https://www.facebook.com/100005545727982</v>
      </c>
      <c r="Q1277">
        <v>87</v>
      </c>
      <c r="R1277" t="s">
        <v>6067</v>
      </c>
    </row>
    <row r="1278" spans="1:19" ht="14.25" customHeight="1" x14ac:dyDescent="0.3">
      <c r="A1278" t="s">
        <v>2225</v>
      </c>
      <c r="B1278" t="s">
        <v>2705</v>
      </c>
      <c r="C1278" t="s">
        <v>95</v>
      </c>
      <c r="D1278" t="s">
        <v>544</v>
      </c>
      <c r="E1278" t="s">
        <v>545</v>
      </c>
      <c r="F1278" t="s">
        <v>6058</v>
      </c>
      <c r="G1278" s="2" t="str">
        <f>HYPERLINK("https://www.facebook.com/100013729143309/posts/392745351193100")</f>
        <v>https://www.facebook.com/100013729143309/posts/392745351193100</v>
      </c>
      <c r="H1278" t="s">
        <v>6062</v>
      </c>
      <c r="I1278" t="s">
        <v>2694</v>
      </c>
      <c r="J1278" s="2" t="str">
        <f>HYPERLINK("https://www.facebook.com/100013729143309")</f>
        <v>https://www.facebook.com/100013729143309</v>
      </c>
      <c r="K1278">
        <v>4294</v>
      </c>
      <c r="L1278" t="s">
        <v>6063</v>
      </c>
      <c r="N1278" t="s">
        <v>13</v>
      </c>
      <c r="O1278" t="s">
        <v>2694</v>
      </c>
      <c r="P1278" s="2" t="str">
        <f>HYPERLINK("https://www.facebook.com/100013729143309")</f>
        <v>https://www.facebook.com/100013729143309</v>
      </c>
      <c r="Q1278">
        <v>4294</v>
      </c>
      <c r="R1278" t="s">
        <v>6067</v>
      </c>
      <c r="S1278" t="s">
        <v>6073</v>
      </c>
    </row>
    <row r="1279" spans="1:19" ht="14.25" customHeight="1" x14ac:dyDescent="0.3">
      <c r="A1279" t="s">
        <v>2225</v>
      </c>
      <c r="B1279" t="s">
        <v>2691</v>
      </c>
      <c r="C1279" t="s">
        <v>95</v>
      </c>
      <c r="D1279" t="s">
        <v>853</v>
      </c>
      <c r="E1279" t="s">
        <v>2693</v>
      </c>
      <c r="F1279" t="s">
        <v>6059</v>
      </c>
      <c r="G1279" s="2" t="str">
        <f>HYPERLINK("https://www.facebook.com/100008934274771/posts/1810262525948206?comment_id=1810278229279969")</f>
        <v>https://www.facebook.com/100008934274771/posts/1810262525948206?comment_id=1810278229279969</v>
      </c>
      <c r="H1279" t="s">
        <v>6062</v>
      </c>
      <c r="I1279" t="s">
        <v>2694</v>
      </c>
      <c r="J1279" s="2" t="str">
        <f>HYPERLINK("https://www.facebook.com/100013729143309")</f>
        <v>https://www.facebook.com/100013729143309</v>
      </c>
      <c r="K1279">
        <v>4294</v>
      </c>
      <c r="L1279" t="s">
        <v>6063</v>
      </c>
      <c r="N1279" t="s">
        <v>13</v>
      </c>
      <c r="O1279" t="s">
        <v>856</v>
      </c>
      <c r="P1279" s="2" t="str">
        <f>HYPERLINK("https://www.facebook.com/100008934274771")</f>
        <v>https://www.facebook.com/100008934274771</v>
      </c>
      <c r="Q1279">
        <v>10395</v>
      </c>
      <c r="R1279" t="s">
        <v>6067</v>
      </c>
      <c r="S1279" t="s">
        <v>6073</v>
      </c>
    </row>
    <row r="1280" spans="1:19" ht="14.25" customHeight="1" x14ac:dyDescent="0.3">
      <c r="A1280" t="s">
        <v>629</v>
      </c>
      <c r="B1280" t="s">
        <v>472</v>
      </c>
      <c r="C1280" t="s">
        <v>95</v>
      </c>
      <c r="D1280" t="s">
        <v>370</v>
      </c>
      <c r="E1280" t="s">
        <v>371</v>
      </c>
      <c r="F1280" t="s">
        <v>6058</v>
      </c>
      <c r="G1280" s="2" t="str">
        <f>HYPERLINK("https://www.facebook.com/100006532055240/posts/2196930940534620")</f>
        <v>https://www.facebook.com/100006532055240/posts/2196930940534620</v>
      </c>
      <c r="H1280" t="s">
        <v>6062</v>
      </c>
      <c r="I1280" t="s">
        <v>1988</v>
      </c>
      <c r="J1280" s="2" t="str">
        <f>HYPERLINK("https://www.facebook.com/100006532055240")</f>
        <v>https://www.facebook.com/100006532055240</v>
      </c>
      <c r="K1280">
        <v>1512</v>
      </c>
      <c r="L1280" t="s">
        <v>6063</v>
      </c>
      <c r="N1280" t="s">
        <v>13</v>
      </c>
      <c r="O1280" t="s">
        <v>1988</v>
      </c>
      <c r="P1280" s="2" t="str">
        <f>HYPERLINK("https://www.facebook.com/100006532055240")</f>
        <v>https://www.facebook.com/100006532055240</v>
      </c>
      <c r="Q1280">
        <v>1512</v>
      </c>
      <c r="R1280" t="s">
        <v>6067</v>
      </c>
      <c r="S1280" t="s">
        <v>6073</v>
      </c>
    </row>
    <row r="1281" spans="1:19" ht="14.25" customHeight="1" x14ac:dyDescent="0.3">
      <c r="A1281" t="s">
        <v>629</v>
      </c>
      <c r="B1281" t="s">
        <v>2072</v>
      </c>
      <c r="C1281" t="s">
        <v>95</v>
      </c>
      <c r="D1281" t="s">
        <v>568</v>
      </c>
      <c r="E1281" t="s">
        <v>2073</v>
      </c>
      <c r="F1281" t="s">
        <v>6059</v>
      </c>
      <c r="G1281" s="2" t="str">
        <f>HYPERLINK("https://www.facebook.com/100010421106042/posts/579987695691929?comment_id=580044132352952")</f>
        <v>https://www.facebook.com/100010421106042/posts/579987695691929?comment_id=580044132352952</v>
      </c>
      <c r="H1281" t="s">
        <v>6062</v>
      </c>
      <c r="I1281" t="s">
        <v>2074</v>
      </c>
      <c r="J1281" s="2" t="str">
        <f>HYPERLINK("https://www.facebook.com/100024292960027")</f>
        <v>https://www.facebook.com/100024292960027</v>
      </c>
      <c r="K1281">
        <v>68</v>
      </c>
      <c r="L1281" t="s">
        <v>6063</v>
      </c>
      <c r="N1281" t="s">
        <v>13</v>
      </c>
      <c r="O1281" t="s">
        <v>571</v>
      </c>
      <c r="P1281" s="2" t="str">
        <f>HYPERLINK("https://www.facebook.com/100010421106042")</f>
        <v>https://www.facebook.com/100010421106042</v>
      </c>
      <c r="Q1281">
        <v>2614</v>
      </c>
      <c r="R1281" t="s">
        <v>6067</v>
      </c>
      <c r="S1281" t="s">
        <v>6073</v>
      </c>
    </row>
    <row r="1282" spans="1:19" ht="14.25" customHeight="1" x14ac:dyDescent="0.3">
      <c r="A1282" t="s">
        <v>629</v>
      </c>
      <c r="B1282" t="s">
        <v>1783</v>
      </c>
      <c r="C1282" t="s">
        <v>95</v>
      </c>
      <c r="D1282" t="s">
        <v>370</v>
      </c>
      <c r="E1282" t="s">
        <v>371</v>
      </c>
      <c r="F1282" t="s">
        <v>6058</v>
      </c>
      <c r="G1282" s="2" t="str">
        <f>HYPERLINK("https://www.facebook.com/100010213511511/posts/599985640351881")</f>
        <v>https://www.facebook.com/100010213511511/posts/599985640351881</v>
      </c>
      <c r="H1282" t="s">
        <v>6062</v>
      </c>
      <c r="I1282" t="s">
        <v>1784</v>
      </c>
      <c r="J1282" s="2" t="str">
        <f>HYPERLINK("https://www.facebook.com/100010213511511")</f>
        <v>https://www.facebook.com/100010213511511</v>
      </c>
      <c r="K1282">
        <v>230</v>
      </c>
      <c r="L1282" t="s">
        <v>6063</v>
      </c>
      <c r="N1282" t="s">
        <v>13</v>
      </c>
      <c r="O1282" t="s">
        <v>1784</v>
      </c>
      <c r="P1282" s="2" t="str">
        <f>HYPERLINK("https://www.facebook.com/100010213511511")</f>
        <v>https://www.facebook.com/100010213511511</v>
      </c>
      <c r="Q1282">
        <v>230</v>
      </c>
      <c r="R1282" t="s">
        <v>6067</v>
      </c>
      <c r="S1282" t="s">
        <v>6073</v>
      </c>
    </row>
    <row r="1283" spans="1:19" ht="14.25" customHeight="1" x14ac:dyDescent="0.3">
      <c r="A1283" t="s">
        <v>3527</v>
      </c>
      <c r="B1283" t="s">
        <v>1307</v>
      </c>
      <c r="C1283" t="s">
        <v>3538</v>
      </c>
      <c r="D1283" t="s">
        <v>690</v>
      </c>
      <c r="E1283" t="s">
        <v>4137</v>
      </c>
      <c r="F1283" t="s">
        <v>6059</v>
      </c>
      <c r="G1283" s="2" t="str">
        <f>HYPERLINK("https://www.facebook.com/278105015535592/posts/1935377959808281?comment_id=1935511166461627")</f>
        <v>https://www.facebook.com/278105015535592/posts/1935377959808281?comment_id=1935511166461627</v>
      </c>
      <c r="H1283" t="s">
        <v>6062</v>
      </c>
      <c r="I1283" t="s">
        <v>4138</v>
      </c>
      <c r="J1283" s="2" t="str">
        <f>HYPERLINK("https://www.facebook.com/100002202339885")</f>
        <v>https://www.facebook.com/100002202339885</v>
      </c>
      <c r="K1283">
        <v>640</v>
      </c>
      <c r="L1283" t="s">
        <v>6063</v>
      </c>
      <c r="N1283" t="s">
        <v>13</v>
      </c>
      <c r="O1283" t="s">
        <v>996</v>
      </c>
      <c r="P1283" s="2" t="str">
        <f>HYPERLINK("https://www.facebook.com/278105015535592")</f>
        <v>https://www.facebook.com/278105015535592</v>
      </c>
      <c r="Q1283">
        <v>4845</v>
      </c>
      <c r="R1283" t="s">
        <v>6067</v>
      </c>
      <c r="S1283" t="s">
        <v>6073</v>
      </c>
    </row>
    <row r="1284" spans="1:19" ht="14.25" customHeight="1" x14ac:dyDescent="0.3">
      <c r="A1284" t="s">
        <v>629</v>
      </c>
      <c r="B1284" t="s">
        <v>1208</v>
      </c>
      <c r="C1284" t="s">
        <v>95</v>
      </c>
      <c r="D1284" t="s">
        <v>10</v>
      </c>
      <c r="E1284" t="s">
        <v>1210</v>
      </c>
      <c r="F1284" t="s">
        <v>6059</v>
      </c>
      <c r="G1284" s="2" t="str">
        <f>HYPERLINK("https://www.facebook.com/762053551/posts/10156366210158552?comment_id=10156366251553552")</f>
        <v>https://www.facebook.com/762053551/posts/10156366210158552?comment_id=10156366251553552</v>
      </c>
      <c r="H1284" t="s">
        <v>6062</v>
      </c>
      <c r="I1284" t="s">
        <v>1211</v>
      </c>
      <c r="J1284" s="2" t="str">
        <f>HYPERLINK("https://www.facebook.com/100001235707427")</f>
        <v>https://www.facebook.com/100001235707427</v>
      </c>
      <c r="K1284">
        <v>826</v>
      </c>
      <c r="L1284" t="s">
        <v>6063</v>
      </c>
      <c r="N1284" t="s">
        <v>13</v>
      </c>
      <c r="O1284" t="s">
        <v>14</v>
      </c>
      <c r="P1284" s="2" t="str">
        <f>HYPERLINK("https://www.facebook.com/762053551")</f>
        <v>https://www.facebook.com/762053551</v>
      </c>
      <c r="Q1284">
        <v>102347</v>
      </c>
      <c r="R1284" t="s">
        <v>6067</v>
      </c>
      <c r="S1284" t="s">
        <v>6073</v>
      </c>
    </row>
    <row r="1285" spans="1:19" ht="14.25" customHeight="1" x14ac:dyDescent="0.3">
      <c r="A1285" t="s">
        <v>629</v>
      </c>
      <c r="B1285" t="s">
        <v>1582</v>
      </c>
      <c r="C1285" t="s">
        <v>95</v>
      </c>
      <c r="D1285" t="s">
        <v>370</v>
      </c>
      <c r="E1285" t="s">
        <v>371</v>
      </c>
      <c r="F1285" t="s">
        <v>6058</v>
      </c>
      <c r="G1285" s="2" t="str">
        <f>HYPERLINK("https://www.facebook.com/100010439431657/posts/575437926147517")</f>
        <v>https://www.facebook.com/100010439431657/posts/575437926147517</v>
      </c>
      <c r="H1285" t="s">
        <v>6062</v>
      </c>
      <c r="I1285" t="s">
        <v>1584</v>
      </c>
      <c r="J1285" s="2" t="str">
        <f>HYPERLINK("https://www.facebook.com/100010439431657")</f>
        <v>https://www.facebook.com/100010439431657</v>
      </c>
      <c r="K1285">
        <v>0</v>
      </c>
      <c r="L1285" t="s">
        <v>6063</v>
      </c>
      <c r="N1285" t="s">
        <v>13</v>
      </c>
      <c r="O1285" t="s">
        <v>1584</v>
      </c>
      <c r="P1285" s="2" t="str">
        <f>HYPERLINK("https://www.facebook.com/100010439431657")</f>
        <v>https://www.facebook.com/100010439431657</v>
      </c>
      <c r="Q1285">
        <v>0</v>
      </c>
      <c r="R1285" t="s">
        <v>6067</v>
      </c>
    </row>
    <row r="1286" spans="1:19" ht="14.25" customHeight="1" x14ac:dyDescent="0.3">
      <c r="A1286" t="s">
        <v>629</v>
      </c>
      <c r="B1286" t="s">
        <v>1258</v>
      </c>
      <c r="C1286" t="s">
        <v>95</v>
      </c>
      <c r="D1286" t="s">
        <v>10</v>
      </c>
      <c r="E1286" t="s">
        <v>1259</v>
      </c>
      <c r="F1286" t="s">
        <v>6059</v>
      </c>
      <c r="G1286" s="2" t="str">
        <f>HYPERLINK("https://www.facebook.com/762053551/posts/10156366210158552?comment_id=10156366231223552")</f>
        <v>https://www.facebook.com/762053551/posts/10156366210158552?comment_id=10156366231223552</v>
      </c>
      <c r="H1286" t="s">
        <v>6062</v>
      </c>
      <c r="I1286" t="s">
        <v>1260</v>
      </c>
      <c r="J1286" s="2" t="str">
        <f>HYPERLINK("https://www.facebook.com/100002024231541")</f>
        <v>https://www.facebook.com/100002024231541</v>
      </c>
      <c r="K1286">
        <v>0</v>
      </c>
      <c r="L1286" t="s">
        <v>6063</v>
      </c>
      <c r="N1286" t="s">
        <v>13</v>
      </c>
      <c r="O1286" t="s">
        <v>14</v>
      </c>
      <c r="P1286" s="2" t="str">
        <f>HYPERLINK("https://www.facebook.com/762053551")</f>
        <v>https://www.facebook.com/762053551</v>
      </c>
      <c r="Q1286">
        <v>102347</v>
      </c>
      <c r="R1286" t="s">
        <v>6067</v>
      </c>
      <c r="S1286" t="s">
        <v>6103</v>
      </c>
    </row>
    <row r="1287" spans="1:19" ht="14.25" customHeight="1" x14ac:dyDescent="0.3">
      <c r="A1287" t="s">
        <v>5409</v>
      </c>
      <c r="B1287" t="s">
        <v>1975</v>
      </c>
      <c r="C1287" t="s">
        <v>3538</v>
      </c>
      <c r="D1287" t="s">
        <v>5922</v>
      </c>
      <c r="E1287" t="s">
        <v>5923</v>
      </c>
      <c r="F1287" t="s">
        <v>6056</v>
      </c>
      <c r="G1287" s="2" t="str">
        <f>HYPERLINK("https://www.facebook.com/1346394854/posts/10216323270298161")</f>
        <v>https://www.facebook.com/1346394854/posts/10216323270298161</v>
      </c>
      <c r="H1287" t="s">
        <v>6062</v>
      </c>
      <c r="I1287" t="s">
        <v>5924</v>
      </c>
      <c r="J1287" s="2" t="str">
        <f>HYPERLINK("https://www.facebook.com/1346394854")</f>
        <v>https://www.facebook.com/1346394854</v>
      </c>
      <c r="K1287">
        <v>1396</v>
      </c>
      <c r="L1287" t="s">
        <v>6063</v>
      </c>
      <c r="N1287" t="s">
        <v>13</v>
      </c>
      <c r="O1287" t="s">
        <v>5924</v>
      </c>
      <c r="P1287" s="2" t="str">
        <f>HYPERLINK("https://www.facebook.com/1346394854")</f>
        <v>https://www.facebook.com/1346394854</v>
      </c>
      <c r="Q1287">
        <v>1396</v>
      </c>
      <c r="R1287" t="s">
        <v>6067</v>
      </c>
      <c r="S1287" t="s">
        <v>6073</v>
      </c>
    </row>
    <row r="1288" spans="1:19" ht="14.25" customHeight="1" x14ac:dyDescent="0.3">
      <c r="A1288" t="s">
        <v>2225</v>
      </c>
      <c r="B1288" t="s">
        <v>252</v>
      </c>
      <c r="C1288" t="s">
        <v>95</v>
      </c>
      <c r="D1288" t="s">
        <v>753</v>
      </c>
      <c r="E1288" t="s">
        <v>3338</v>
      </c>
      <c r="F1288" t="s">
        <v>6056</v>
      </c>
      <c r="G1288" s="2" t="str">
        <f>HYPERLINK("https://www.facebook.com/100007904078090/posts/2046391052301011")</f>
        <v>https://www.facebook.com/100007904078090/posts/2046391052301011</v>
      </c>
      <c r="H1288" t="s">
        <v>6062</v>
      </c>
      <c r="I1288" t="s">
        <v>3339</v>
      </c>
      <c r="J1288" s="2" t="str">
        <f>HYPERLINK("https://www.facebook.com/100007904078090")</f>
        <v>https://www.facebook.com/100007904078090</v>
      </c>
      <c r="K1288">
        <v>171</v>
      </c>
      <c r="L1288" t="s">
        <v>6063</v>
      </c>
      <c r="N1288" t="s">
        <v>13</v>
      </c>
      <c r="O1288" t="s">
        <v>3339</v>
      </c>
      <c r="P1288" s="2" t="str">
        <f>HYPERLINK("https://www.facebook.com/100007904078090")</f>
        <v>https://www.facebook.com/100007904078090</v>
      </c>
      <c r="Q1288">
        <v>171</v>
      </c>
      <c r="R1288" t="s">
        <v>6067</v>
      </c>
      <c r="S1288" t="s">
        <v>6112</v>
      </c>
    </row>
    <row r="1289" spans="1:19" ht="14.25" customHeight="1" x14ac:dyDescent="0.3">
      <c r="A1289" t="s">
        <v>2225</v>
      </c>
      <c r="B1289" t="s">
        <v>2605</v>
      </c>
      <c r="C1289" t="s">
        <v>95</v>
      </c>
      <c r="D1289" t="s">
        <v>544</v>
      </c>
      <c r="E1289" t="s">
        <v>545</v>
      </c>
      <c r="F1289" t="s">
        <v>6058</v>
      </c>
      <c r="G1289" s="2" t="str">
        <f>HYPERLINK("https://www.facebook.com/100008524654149/posts/1797116467249158")</f>
        <v>https://www.facebook.com/100008524654149/posts/1797116467249158</v>
      </c>
      <c r="H1289" t="s">
        <v>6062</v>
      </c>
      <c r="I1289" t="s">
        <v>2607</v>
      </c>
      <c r="J1289" s="2" t="str">
        <f>HYPERLINK("https://www.facebook.com/100008524654149")</f>
        <v>https://www.facebook.com/100008524654149</v>
      </c>
      <c r="K1289">
        <v>457</v>
      </c>
      <c r="L1289" t="s">
        <v>6063</v>
      </c>
      <c r="N1289" t="s">
        <v>13</v>
      </c>
      <c r="O1289" t="s">
        <v>2607</v>
      </c>
      <c r="P1289" s="2" t="str">
        <f>HYPERLINK("https://www.facebook.com/100008524654149")</f>
        <v>https://www.facebook.com/100008524654149</v>
      </c>
      <c r="Q1289">
        <v>457</v>
      </c>
      <c r="R1289" t="s">
        <v>6067</v>
      </c>
      <c r="S1289" t="s">
        <v>6091</v>
      </c>
    </row>
    <row r="1290" spans="1:19" ht="14.25" customHeight="1" x14ac:dyDescent="0.3">
      <c r="A1290" t="s">
        <v>2225</v>
      </c>
      <c r="B1290" t="s">
        <v>767</v>
      </c>
      <c r="C1290" t="s">
        <v>95</v>
      </c>
      <c r="D1290" t="s">
        <v>544</v>
      </c>
      <c r="E1290" t="s">
        <v>545</v>
      </c>
      <c r="F1290" t="s">
        <v>6058</v>
      </c>
      <c r="G1290" s="2" t="str">
        <f>HYPERLINK("https://www.facebook.com/100008619557446/posts/1846495498981084")</f>
        <v>https://www.facebook.com/100008619557446/posts/1846495498981084</v>
      </c>
      <c r="H1290" t="s">
        <v>6062</v>
      </c>
      <c r="I1290" t="s">
        <v>1829</v>
      </c>
      <c r="J1290" s="2" t="str">
        <f>HYPERLINK("https://www.facebook.com/100008619557446")</f>
        <v>https://www.facebook.com/100008619557446</v>
      </c>
      <c r="K1290">
        <v>162</v>
      </c>
      <c r="L1290" t="s">
        <v>6063</v>
      </c>
      <c r="N1290" t="s">
        <v>13</v>
      </c>
      <c r="O1290" t="s">
        <v>1829</v>
      </c>
      <c r="P1290" s="2" t="str">
        <f>HYPERLINK("https://www.facebook.com/100008619557446")</f>
        <v>https://www.facebook.com/100008619557446</v>
      </c>
      <c r="Q1290">
        <v>162</v>
      </c>
      <c r="R1290" t="s">
        <v>6067</v>
      </c>
      <c r="S1290" t="s">
        <v>6073</v>
      </c>
    </row>
    <row r="1291" spans="1:19" ht="14.25" customHeight="1" x14ac:dyDescent="0.3">
      <c r="A1291" t="s">
        <v>629</v>
      </c>
      <c r="B1291" t="s">
        <v>1828</v>
      </c>
      <c r="C1291" t="s">
        <v>95</v>
      </c>
      <c r="D1291" t="s">
        <v>370</v>
      </c>
      <c r="E1291" t="s">
        <v>371</v>
      </c>
      <c r="F1291" t="s">
        <v>6058</v>
      </c>
      <c r="G1291" s="2" t="str">
        <f>HYPERLINK("https://www.facebook.com/100008619557446/posts/1846681802295787")</f>
        <v>https://www.facebook.com/100008619557446/posts/1846681802295787</v>
      </c>
      <c r="H1291" t="s">
        <v>6062</v>
      </c>
      <c r="I1291" t="s">
        <v>1829</v>
      </c>
      <c r="J1291" s="2" t="str">
        <f>HYPERLINK("https://www.facebook.com/100008619557446")</f>
        <v>https://www.facebook.com/100008619557446</v>
      </c>
      <c r="K1291">
        <v>162</v>
      </c>
      <c r="L1291" t="s">
        <v>6063</v>
      </c>
      <c r="N1291" t="s">
        <v>13</v>
      </c>
      <c r="O1291" t="s">
        <v>1829</v>
      </c>
      <c r="P1291" s="2" t="str">
        <f>HYPERLINK("https://www.facebook.com/100008619557446")</f>
        <v>https://www.facebook.com/100008619557446</v>
      </c>
      <c r="Q1291">
        <v>162</v>
      </c>
      <c r="R1291" t="s">
        <v>6067</v>
      </c>
      <c r="S1291" t="s">
        <v>6073</v>
      </c>
    </row>
    <row r="1292" spans="1:19" ht="14.25" customHeight="1" x14ac:dyDescent="0.3">
      <c r="A1292" t="s">
        <v>4439</v>
      </c>
      <c r="B1292" t="s">
        <v>738</v>
      </c>
      <c r="C1292" t="s">
        <v>3538</v>
      </c>
      <c r="D1292" t="s">
        <v>4171</v>
      </c>
      <c r="E1292" t="s">
        <v>4172</v>
      </c>
      <c r="F1292" t="s">
        <v>6058</v>
      </c>
      <c r="G1292" s="2" t="str">
        <f>HYPERLINK("https://www.facebook.com/100009227558259/posts/1975606306090269")</f>
        <v>https://www.facebook.com/100009227558259/posts/1975606306090269</v>
      </c>
      <c r="H1292" t="s">
        <v>6062</v>
      </c>
      <c r="I1292" t="s">
        <v>1670</v>
      </c>
      <c r="J1292" s="2" t="str">
        <f>HYPERLINK("https://www.facebook.com/100009227558259")</f>
        <v>https://www.facebook.com/100009227558259</v>
      </c>
      <c r="K1292">
        <v>5412</v>
      </c>
      <c r="L1292" t="s">
        <v>6063</v>
      </c>
      <c r="N1292" t="s">
        <v>13</v>
      </c>
      <c r="O1292" t="s">
        <v>1670</v>
      </c>
      <c r="P1292" s="2" t="str">
        <f>HYPERLINK("https://www.facebook.com/100009227558259")</f>
        <v>https://www.facebook.com/100009227558259</v>
      </c>
      <c r="Q1292">
        <v>5412</v>
      </c>
      <c r="R1292" t="s">
        <v>6067</v>
      </c>
      <c r="S1292" t="s">
        <v>6073</v>
      </c>
    </row>
    <row r="1293" spans="1:19" ht="14.25" customHeight="1" x14ac:dyDescent="0.3">
      <c r="A1293" t="s">
        <v>2225</v>
      </c>
      <c r="B1293" t="s">
        <v>2723</v>
      </c>
      <c r="C1293" t="s">
        <v>95</v>
      </c>
      <c r="D1293" t="s">
        <v>544</v>
      </c>
      <c r="E1293" t="s">
        <v>545</v>
      </c>
      <c r="F1293" t="s">
        <v>6058</v>
      </c>
      <c r="G1293" s="2" t="str">
        <f>HYPERLINK("https://www.facebook.com/100009227558259/posts/1976580325992867")</f>
        <v>https://www.facebook.com/100009227558259/posts/1976580325992867</v>
      </c>
      <c r="H1293" t="s">
        <v>6062</v>
      </c>
      <c r="I1293" t="s">
        <v>1670</v>
      </c>
      <c r="J1293" s="2" t="str">
        <f>HYPERLINK("https://www.facebook.com/100009227558259")</f>
        <v>https://www.facebook.com/100009227558259</v>
      </c>
      <c r="K1293">
        <v>5412</v>
      </c>
      <c r="L1293" t="s">
        <v>6063</v>
      </c>
      <c r="N1293" t="s">
        <v>13</v>
      </c>
      <c r="O1293" t="s">
        <v>1670</v>
      </c>
      <c r="P1293" s="2" t="str">
        <f>HYPERLINK("https://www.facebook.com/100009227558259")</f>
        <v>https://www.facebook.com/100009227558259</v>
      </c>
      <c r="Q1293">
        <v>5412</v>
      </c>
      <c r="R1293" t="s">
        <v>6067</v>
      </c>
      <c r="S1293" t="s">
        <v>6073</v>
      </c>
    </row>
    <row r="1294" spans="1:19" ht="14.25" customHeight="1" x14ac:dyDescent="0.3">
      <c r="A1294" t="s">
        <v>2225</v>
      </c>
      <c r="B1294" t="s">
        <v>2750</v>
      </c>
      <c r="C1294" t="s">
        <v>95</v>
      </c>
      <c r="D1294" t="s">
        <v>544</v>
      </c>
      <c r="E1294" t="s">
        <v>545</v>
      </c>
      <c r="F1294" t="s">
        <v>6058</v>
      </c>
      <c r="G1294" s="2" t="str">
        <f>HYPERLINK("https://www.facebook.com/100009227558259/posts/1976579079326325")</f>
        <v>https://www.facebook.com/100009227558259/posts/1976579079326325</v>
      </c>
      <c r="H1294" t="s">
        <v>6062</v>
      </c>
      <c r="I1294" t="s">
        <v>1670</v>
      </c>
      <c r="J1294" s="2" t="str">
        <f>HYPERLINK("https://www.facebook.com/100009227558259")</f>
        <v>https://www.facebook.com/100009227558259</v>
      </c>
      <c r="K1294">
        <v>5412</v>
      </c>
      <c r="L1294" t="s">
        <v>6063</v>
      </c>
      <c r="N1294" t="s">
        <v>13</v>
      </c>
      <c r="O1294" t="s">
        <v>1670</v>
      </c>
      <c r="P1294" s="2" t="str">
        <f>HYPERLINK("https://www.facebook.com/100009227558259")</f>
        <v>https://www.facebook.com/100009227558259</v>
      </c>
      <c r="Q1294">
        <v>5412</v>
      </c>
      <c r="R1294" t="s">
        <v>6067</v>
      </c>
      <c r="S1294" t="s">
        <v>6073</v>
      </c>
    </row>
    <row r="1295" spans="1:19" ht="14.25" customHeight="1" x14ac:dyDescent="0.3">
      <c r="A1295" t="s">
        <v>629</v>
      </c>
      <c r="B1295" t="s">
        <v>1667</v>
      </c>
      <c r="C1295" t="s">
        <v>95</v>
      </c>
      <c r="D1295" t="s">
        <v>370</v>
      </c>
      <c r="E1295" t="s">
        <v>371</v>
      </c>
      <c r="F1295" t="s">
        <v>6058</v>
      </c>
      <c r="G1295" s="2" t="str">
        <f>HYPERLINK("https://www.facebook.com/100009227558259/posts/1976825592635007")</f>
        <v>https://www.facebook.com/100009227558259/posts/1976825592635007</v>
      </c>
      <c r="H1295" t="s">
        <v>6062</v>
      </c>
      <c r="I1295" t="s">
        <v>1670</v>
      </c>
      <c r="J1295" s="2" t="str">
        <f>HYPERLINK("https://www.facebook.com/100009227558259")</f>
        <v>https://www.facebook.com/100009227558259</v>
      </c>
      <c r="K1295">
        <v>5412</v>
      </c>
      <c r="L1295" t="s">
        <v>6063</v>
      </c>
      <c r="N1295" t="s">
        <v>13</v>
      </c>
      <c r="O1295" t="s">
        <v>1670</v>
      </c>
      <c r="P1295" s="2" t="str">
        <f>HYPERLINK("https://www.facebook.com/100009227558259")</f>
        <v>https://www.facebook.com/100009227558259</v>
      </c>
      <c r="Q1295">
        <v>5412</v>
      </c>
      <c r="R1295" t="s">
        <v>6067</v>
      </c>
      <c r="S1295" t="s">
        <v>6073</v>
      </c>
    </row>
    <row r="1296" spans="1:19" ht="14.25" customHeight="1" x14ac:dyDescent="0.3">
      <c r="A1296" t="s">
        <v>2225</v>
      </c>
      <c r="B1296" t="s">
        <v>728</v>
      </c>
      <c r="C1296" t="s">
        <v>95</v>
      </c>
      <c r="D1296" t="s">
        <v>544</v>
      </c>
      <c r="E1296" t="s">
        <v>545</v>
      </c>
      <c r="F1296" t="s">
        <v>6058</v>
      </c>
      <c r="G1296" s="2" t="str">
        <f>HYPERLINK("https://www.facebook.com/100013394525415/posts/439656393157508")</f>
        <v>https://www.facebook.com/100013394525415/posts/439656393157508</v>
      </c>
      <c r="H1296" t="s">
        <v>6062</v>
      </c>
      <c r="I1296" t="s">
        <v>2459</v>
      </c>
      <c r="J1296" s="2" t="str">
        <f>HYPERLINK("https://www.facebook.com/100013394525415")</f>
        <v>https://www.facebook.com/100013394525415</v>
      </c>
      <c r="K1296">
        <v>647</v>
      </c>
      <c r="L1296" t="s">
        <v>6063</v>
      </c>
      <c r="N1296" t="s">
        <v>13</v>
      </c>
      <c r="O1296" t="s">
        <v>2459</v>
      </c>
      <c r="P1296" s="2" t="str">
        <f>HYPERLINK("https://www.facebook.com/100013394525415")</f>
        <v>https://www.facebook.com/100013394525415</v>
      </c>
      <c r="Q1296">
        <v>647</v>
      </c>
      <c r="R1296" t="s">
        <v>6067</v>
      </c>
    </row>
    <row r="1297" spans="1:19" ht="14.25" customHeight="1" x14ac:dyDescent="0.3">
      <c r="A1297" t="s">
        <v>4995</v>
      </c>
      <c r="B1297" t="s">
        <v>2488</v>
      </c>
      <c r="C1297" t="s">
        <v>3538</v>
      </c>
      <c r="D1297" t="s">
        <v>4943</v>
      </c>
      <c r="E1297" t="s">
        <v>5036</v>
      </c>
      <c r="F1297" t="s">
        <v>6059</v>
      </c>
      <c r="G1297" s="2" t="str">
        <f>HYPERLINK("https://www.facebook.com/1181011217/posts/10215757430106998?comment_id=10215774470172989")</f>
        <v>https://www.facebook.com/1181011217/posts/10215757430106998?comment_id=10215774470172989</v>
      </c>
      <c r="H1297" t="s">
        <v>6062</v>
      </c>
      <c r="I1297" t="s">
        <v>5037</v>
      </c>
      <c r="J1297" s="2" t="str">
        <f>HYPERLINK("https://www.facebook.com/100000643561734")</f>
        <v>https://www.facebook.com/100000643561734</v>
      </c>
      <c r="K1297">
        <v>2479</v>
      </c>
      <c r="L1297" t="s">
        <v>6063</v>
      </c>
      <c r="N1297" t="s">
        <v>13</v>
      </c>
      <c r="O1297" t="s">
        <v>4945</v>
      </c>
      <c r="P1297" s="2" t="str">
        <f>HYPERLINK("https://www.facebook.com/1181011217")</f>
        <v>https://www.facebook.com/1181011217</v>
      </c>
      <c r="Q1297">
        <v>0</v>
      </c>
      <c r="R1297" t="s">
        <v>6067</v>
      </c>
      <c r="S1297" t="s">
        <v>6073</v>
      </c>
    </row>
    <row r="1298" spans="1:19" ht="14.25" customHeight="1" x14ac:dyDescent="0.3">
      <c r="A1298" t="s">
        <v>5409</v>
      </c>
      <c r="B1298" t="s">
        <v>365</v>
      </c>
      <c r="C1298" t="s">
        <v>3538</v>
      </c>
      <c r="D1298" t="s">
        <v>4943</v>
      </c>
      <c r="E1298" t="s">
        <v>5862</v>
      </c>
      <c r="F1298" t="s">
        <v>6059</v>
      </c>
      <c r="G1298" s="2" t="str">
        <f>HYPERLINK("https://www.facebook.com/1181011217/posts/10215757430106998?comment_id=10215760467262925")</f>
        <v>https://www.facebook.com/1181011217/posts/10215757430106998?comment_id=10215760467262925</v>
      </c>
      <c r="H1298" t="s">
        <v>6062</v>
      </c>
      <c r="I1298" t="s">
        <v>5037</v>
      </c>
      <c r="J1298" s="2" t="str">
        <f>HYPERLINK("https://www.facebook.com/100000643561734")</f>
        <v>https://www.facebook.com/100000643561734</v>
      </c>
      <c r="K1298">
        <v>2479</v>
      </c>
      <c r="L1298" t="s">
        <v>6063</v>
      </c>
      <c r="N1298" t="s">
        <v>13</v>
      </c>
      <c r="O1298" t="s">
        <v>4945</v>
      </c>
      <c r="P1298" s="2" t="str">
        <f>HYPERLINK("https://www.facebook.com/1181011217")</f>
        <v>https://www.facebook.com/1181011217</v>
      </c>
      <c r="Q1298">
        <v>0</v>
      </c>
      <c r="R1298" t="s">
        <v>6067</v>
      </c>
      <c r="S1298" t="s">
        <v>6073</v>
      </c>
    </row>
    <row r="1299" spans="1:19" ht="14.25" customHeight="1" x14ac:dyDescent="0.3">
      <c r="A1299" t="s">
        <v>2225</v>
      </c>
      <c r="B1299" t="s">
        <v>2448</v>
      </c>
      <c r="C1299" t="s">
        <v>95</v>
      </c>
      <c r="D1299" t="s">
        <v>853</v>
      </c>
      <c r="E1299" t="s">
        <v>2457</v>
      </c>
      <c r="F1299" t="s">
        <v>6059</v>
      </c>
      <c r="G1299" s="2" t="str">
        <f>HYPERLINK("https://www.facebook.com/100008934274771/posts/1810262525948206?comment_id=1810294022611723")</f>
        <v>https://www.facebook.com/100008934274771/posts/1810262525948206?comment_id=1810294022611723</v>
      </c>
      <c r="H1299" t="s">
        <v>6062</v>
      </c>
      <c r="I1299" t="s">
        <v>1940</v>
      </c>
      <c r="J1299" s="2" t="str">
        <f t="shared" ref="J1299:J1314" si="31">HYPERLINK("https://www.facebook.com/100005595403322")</f>
        <v>https://www.facebook.com/100005595403322</v>
      </c>
      <c r="K1299">
        <v>96</v>
      </c>
      <c r="L1299" t="s">
        <v>6064</v>
      </c>
      <c r="N1299" t="s">
        <v>13</v>
      </c>
      <c r="O1299" t="s">
        <v>856</v>
      </c>
      <c r="P1299" s="2" t="str">
        <f t="shared" ref="P1299:P1304" si="32">HYPERLINK("https://www.facebook.com/100008934274771")</f>
        <v>https://www.facebook.com/100008934274771</v>
      </c>
      <c r="Q1299">
        <v>10395</v>
      </c>
      <c r="R1299" t="s">
        <v>6067</v>
      </c>
      <c r="S1299" t="s">
        <v>6073</v>
      </c>
    </row>
    <row r="1300" spans="1:19" ht="14.25" customHeight="1" x14ac:dyDescent="0.3">
      <c r="A1300" t="s">
        <v>2225</v>
      </c>
      <c r="B1300" t="s">
        <v>2847</v>
      </c>
      <c r="C1300" t="s">
        <v>95</v>
      </c>
      <c r="D1300" t="s">
        <v>853</v>
      </c>
      <c r="E1300" t="s">
        <v>2860</v>
      </c>
      <c r="F1300" t="s">
        <v>6059</v>
      </c>
      <c r="G1300" s="2" t="str">
        <f>HYPERLINK("https://www.facebook.com/100008934274771/posts/1810262525948206?comment_id=1810266105947848")</f>
        <v>https://www.facebook.com/100008934274771/posts/1810262525948206?comment_id=1810266105947848</v>
      </c>
      <c r="H1300" t="s">
        <v>6062</v>
      </c>
      <c r="I1300" t="s">
        <v>1940</v>
      </c>
      <c r="J1300" s="2" t="str">
        <f t="shared" si="31"/>
        <v>https://www.facebook.com/100005595403322</v>
      </c>
      <c r="K1300">
        <v>96</v>
      </c>
      <c r="L1300" t="s">
        <v>6064</v>
      </c>
      <c r="N1300" t="s">
        <v>13</v>
      </c>
      <c r="O1300" t="s">
        <v>856</v>
      </c>
      <c r="P1300" s="2" t="str">
        <f t="shared" si="32"/>
        <v>https://www.facebook.com/100008934274771</v>
      </c>
      <c r="Q1300">
        <v>10395</v>
      </c>
      <c r="R1300" t="s">
        <v>6067</v>
      </c>
      <c r="S1300" t="s">
        <v>6073</v>
      </c>
    </row>
    <row r="1301" spans="1:19" ht="14.25" customHeight="1" x14ac:dyDescent="0.3">
      <c r="A1301" t="s">
        <v>2225</v>
      </c>
      <c r="B1301" t="s">
        <v>2705</v>
      </c>
      <c r="C1301" t="s">
        <v>95</v>
      </c>
      <c r="D1301" t="s">
        <v>853</v>
      </c>
      <c r="E1301" t="s">
        <v>2706</v>
      </c>
      <c r="F1301" t="s">
        <v>6059</v>
      </c>
      <c r="G1301" s="2" t="str">
        <f>HYPERLINK("https://www.facebook.com/100008934274771/posts/1810262525948206?comment_id=1810277239280068")</f>
        <v>https://www.facebook.com/100008934274771/posts/1810262525948206?comment_id=1810277239280068</v>
      </c>
      <c r="H1301" t="s">
        <v>6062</v>
      </c>
      <c r="I1301" t="s">
        <v>1940</v>
      </c>
      <c r="J1301" s="2" t="str">
        <f t="shared" si="31"/>
        <v>https://www.facebook.com/100005595403322</v>
      </c>
      <c r="K1301">
        <v>96</v>
      </c>
      <c r="L1301" t="s">
        <v>6064</v>
      </c>
      <c r="N1301" t="s">
        <v>13</v>
      </c>
      <c r="O1301" t="s">
        <v>856</v>
      </c>
      <c r="P1301" s="2" t="str">
        <f t="shared" si="32"/>
        <v>https://www.facebook.com/100008934274771</v>
      </c>
      <c r="Q1301">
        <v>10395</v>
      </c>
      <c r="R1301" t="s">
        <v>6067</v>
      </c>
      <c r="S1301" t="s">
        <v>6073</v>
      </c>
    </row>
    <row r="1302" spans="1:19" ht="14.25" customHeight="1" x14ac:dyDescent="0.3">
      <c r="A1302" t="s">
        <v>2225</v>
      </c>
      <c r="B1302" t="s">
        <v>2685</v>
      </c>
      <c r="C1302" t="s">
        <v>95</v>
      </c>
      <c r="D1302" t="s">
        <v>853</v>
      </c>
      <c r="E1302" t="s">
        <v>2688</v>
      </c>
      <c r="F1302" t="s">
        <v>6059</v>
      </c>
      <c r="G1302" s="2" t="str">
        <f>HYPERLINK("https://www.facebook.com/100008934274771/posts/1810262525948206?comment_id=1810278915946567")</f>
        <v>https://www.facebook.com/100008934274771/posts/1810262525948206?comment_id=1810278915946567</v>
      </c>
      <c r="H1302" t="s">
        <v>6062</v>
      </c>
      <c r="I1302" t="s">
        <v>1940</v>
      </c>
      <c r="J1302" s="2" t="str">
        <f t="shared" si="31"/>
        <v>https://www.facebook.com/100005595403322</v>
      </c>
      <c r="K1302">
        <v>96</v>
      </c>
      <c r="L1302" t="s">
        <v>6064</v>
      </c>
      <c r="N1302" t="s">
        <v>13</v>
      </c>
      <c r="O1302" t="s">
        <v>856</v>
      </c>
      <c r="P1302" s="2" t="str">
        <f t="shared" si="32"/>
        <v>https://www.facebook.com/100008934274771</v>
      </c>
      <c r="Q1302">
        <v>10395</v>
      </c>
      <c r="R1302" t="s">
        <v>6067</v>
      </c>
      <c r="S1302" t="s">
        <v>6073</v>
      </c>
    </row>
    <row r="1303" spans="1:19" ht="14.25" customHeight="1" x14ac:dyDescent="0.3">
      <c r="A1303" t="s">
        <v>2225</v>
      </c>
      <c r="B1303" t="s">
        <v>2547</v>
      </c>
      <c r="C1303" t="s">
        <v>95</v>
      </c>
      <c r="D1303" t="s">
        <v>853</v>
      </c>
      <c r="E1303" t="s">
        <v>2553</v>
      </c>
      <c r="F1303" t="s">
        <v>6059</v>
      </c>
      <c r="G1303" s="2" t="str">
        <f>HYPERLINK("https://www.facebook.com/100008934274771/posts/1810262525948206?comment_id=1810289859278806")</f>
        <v>https://www.facebook.com/100008934274771/posts/1810262525948206?comment_id=1810289859278806</v>
      </c>
      <c r="H1303" t="s">
        <v>6062</v>
      </c>
      <c r="I1303" t="s">
        <v>1940</v>
      </c>
      <c r="J1303" s="2" t="str">
        <f t="shared" si="31"/>
        <v>https://www.facebook.com/100005595403322</v>
      </c>
      <c r="K1303">
        <v>96</v>
      </c>
      <c r="L1303" t="s">
        <v>6064</v>
      </c>
      <c r="N1303" t="s">
        <v>13</v>
      </c>
      <c r="O1303" t="s">
        <v>856</v>
      </c>
      <c r="P1303" s="2" t="str">
        <f t="shared" si="32"/>
        <v>https://www.facebook.com/100008934274771</v>
      </c>
      <c r="Q1303">
        <v>10395</v>
      </c>
      <c r="R1303" t="s">
        <v>6067</v>
      </c>
      <c r="S1303" t="s">
        <v>6073</v>
      </c>
    </row>
    <row r="1304" spans="1:19" ht="14.25" customHeight="1" x14ac:dyDescent="0.3">
      <c r="A1304" t="s">
        <v>2225</v>
      </c>
      <c r="B1304" t="s">
        <v>2792</v>
      </c>
      <c r="C1304" t="s">
        <v>95</v>
      </c>
      <c r="D1304" t="s">
        <v>853</v>
      </c>
      <c r="E1304" t="s">
        <v>2795</v>
      </c>
      <c r="F1304" t="s">
        <v>6059</v>
      </c>
      <c r="G1304" s="2" t="str">
        <f>HYPERLINK("https://www.facebook.com/100008934274771/posts/1810262525948206?comment_id=1810269542614171")</f>
        <v>https://www.facebook.com/100008934274771/posts/1810262525948206?comment_id=1810269542614171</v>
      </c>
      <c r="H1304" t="s">
        <v>6062</v>
      </c>
      <c r="I1304" t="s">
        <v>1940</v>
      </c>
      <c r="J1304" s="2" t="str">
        <f t="shared" si="31"/>
        <v>https://www.facebook.com/100005595403322</v>
      </c>
      <c r="K1304">
        <v>96</v>
      </c>
      <c r="L1304" t="s">
        <v>6064</v>
      </c>
      <c r="N1304" t="s">
        <v>13</v>
      </c>
      <c r="O1304" t="s">
        <v>856</v>
      </c>
      <c r="P1304" s="2" t="str">
        <f t="shared" si="32"/>
        <v>https://www.facebook.com/100008934274771</v>
      </c>
      <c r="Q1304">
        <v>10395</v>
      </c>
      <c r="R1304" t="s">
        <v>6067</v>
      </c>
      <c r="S1304" t="s">
        <v>6073</v>
      </c>
    </row>
    <row r="1305" spans="1:19" ht="14.25" customHeight="1" x14ac:dyDescent="0.3">
      <c r="A1305" t="s">
        <v>629</v>
      </c>
      <c r="B1305" t="s">
        <v>1937</v>
      </c>
      <c r="C1305" t="s">
        <v>95</v>
      </c>
      <c r="D1305" t="s">
        <v>370</v>
      </c>
      <c r="E1305" t="s">
        <v>371</v>
      </c>
      <c r="F1305" t="s">
        <v>6058</v>
      </c>
      <c r="G1305" s="2" t="str">
        <f>HYPERLINK("https://www.facebook.com/100005595403322/posts/781381815391658")</f>
        <v>https://www.facebook.com/100005595403322/posts/781381815391658</v>
      </c>
      <c r="H1305" t="s">
        <v>6062</v>
      </c>
      <c r="I1305" t="s">
        <v>1940</v>
      </c>
      <c r="J1305" s="2" t="str">
        <f t="shared" si="31"/>
        <v>https://www.facebook.com/100005595403322</v>
      </c>
      <c r="K1305">
        <v>96</v>
      </c>
      <c r="L1305" t="s">
        <v>6064</v>
      </c>
      <c r="N1305" t="s">
        <v>13</v>
      </c>
      <c r="O1305" t="s">
        <v>1940</v>
      </c>
      <c r="P1305" s="2" t="str">
        <f>HYPERLINK("https://www.facebook.com/100005595403322")</f>
        <v>https://www.facebook.com/100005595403322</v>
      </c>
      <c r="Q1305">
        <v>96</v>
      </c>
      <c r="R1305" t="s">
        <v>6067</v>
      </c>
      <c r="S1305" t="s">
        <v>6073</v>
      </c>
    </row>
    <row r="1306" spans="1:19" ht="14.25" customHeight="1" x14ac:dyDescent="0.3">
      <c r="A1306" t="s">
        <v>2225</v>
      </c>
      <c r="B1306" t="s">
        <v>730</v>
      </c>
      <c r="C1306" t="s">
        <v>95</v>
      </c>
      <c r="D1306" t="s">
        <v>853</v>
      </c>
      <c r="E1306" t="s">
        <v>2468</v>
      </c>
      <c r="F1306" t="s">
        <v>6059</v>
      </c>
      <c r="G1306" s="2" t="str">
        <f>HYPERLINK("https://www.facebook.com/100008934274771/posts/1810262525948206?comment_id=1810293279278464")</f>
        <v>https://www.facebook.com/100008934274771/posts/1810262525948206?comment_id=1810293279278464</v>
      </c>
      <c r="H1306" t="s">
        <v>6062</v>
      </c>
      <c r="I1306" t="s">
        <v>1940</v>
      </c>
      <c r="J1306" s="2" t="str">
        <f t="shared" si="31"/>
        <v>https://www.facebook.com/100005595403322</v>
      </c>
      <c r="K1306">
        <v>96</v>
      </c>
      <c r="L1306" t="s">
        <v>6064</v>
      </c>
      <c r="N1306" t="s">
        <v>13</v>
      </c>
      <c r="O1306" t="s">
        <v>856</v>
      </c>
      <c r="P1306" s="2" t="str">
        <f t="shared" ref="P1306:P1314" si="33">HYPERLINK("https://www.facebook.com/100008934274771")</f>
        <v>https://www.facebook.com/100008934274771</v>
      </c>
      <c r="Q1306">
        <v>10395</v>
      </c>
      <c r="R1306" t="s">
        <v>6067</v>
      </c>
      <c r="S1306" t="s">
        <v>6073</v>
      </c>
    </row>
    <row r="1307" spans="1:19" ht="14.25" customHeight="1" x14ac:dyDescent="0.3">
      <c r="A1307" t="s">
        <v>2225</v>
      </c>
      <c r="B1307" t="s">
        <v>2672</v>
      </c>
      <c r="C1307" t="s">
        <v>95</v>
      </c>
      <c r="D1307" t="s">
        <v>853</v>
      </c>
      <c r="E1307" t="s">
        <v>2676</v>
      </c>
      <c r="F1307" t="s">
        <v>6059</v>
      </c>
      <c r="G1307" s="2" t="str">
        <f>HYPERLINK("https://www.facebook.com/100008934274771/posts/1810262525948206?comment_id=1810280649279727")</f>
        <v>https://www.facebook.com/100008934274771/posts/1810262525948206?comment_id=1810280649279727</v>
      </c>
      <c r="H1307" t="s">
        <v>6062</v>
      </c>
      <c r="I1307" t="s">
        <v>1940</v>
      </c>
      <c r="J1307" s="2" t="str">
        <f t="shared" si="31"/>
        <v>https://www.facebook.com/100005595403322</v>
      </c>
      <c r="K1307">
        <v>96</v>
      </c>
      <c r="L1307" t="s">
        <v>6064</v>
      </c>
      <c r="N1307" t="s">
        <v>13</v>
      </c>
      <c r="O1307" t="s">
        <v>856</v>
      </c>
      <c r="P1307" s="2" t="str">
        <f t="shared" si="33"/>
        <v>https://www.facebook.com/100008934274771</v>
      </c>
      <c r="Q1307">
        <v>10395</v>
      </c>
      <c r="R1307" t="s">
        <v>6067</v>
      </c>
      <c r="S1307" t="s">
        <v>6073</v>
      </c>
    </row>
    <row r="1308" spans="1:19" ht="14.25" customHeight="1" x14ac:dyDescent="0.3">
      <c r="A1308" t="s">
        <v>2225</v>
      </c>
      <c r="B1308" t="s">
        <v>2750</v>
      </c>
      <c r="C1308" t="s">
        <v>95</v>
      </c>
      <c r="D1308" t="s">
        <v>853</v>
      </c>
      <c r="E1308" t="s">
        <v>2751</v>
      </c>
      <c r="F1308" t="s">
        <v>6059</v>
      </c>
      <c r="G1308" s="2" t="str">
        <f>HYPERLINK("https://www.facebook.com/100008934274771/posts/1810262525948206?comment_id=1810273032613822")</f>
        <v>https://www.facebook.com/100008934274771/posts/1810262525948206?comment_id=1810273032613822</v>
      </c>
      <c r="H1308" t="s">
        <v>6062</v>
      </c>
      <c r="I1308" t="s">
        <v>1940</v>
      </c>
      <c r="J1308" s="2" t="str">
        <f t="shared" si="31"/>
        <v>https://www.facebook.com/100005595403322</v>
      </c>
      <c r="K1308">
        <v>96</v>
      </c>
      <c r="L1308" t="s">
        <v>6064</v>
      </c>
      <c r="N1308" t="s">
        <v>13</v>
      </c>
      <c r="O1308" t="s">
        <v>856</v>
      </c>
      <c r="P1308" s="2" t="str">
        <f t="shared" si="33"/>
        <v>https://www.facebook.com/100008934274771</v>
      </c>
      <c r="Q1308">
        <v>10395</v>
      </c>
      <c r="R1308" t="s">
        <v>6067</v>
      </c>
      <c r="S1308" t="s">
        <v>6073</v>
      </c>
    </row>
    <row r="1309" spans="1:19" ht="14.25" customHeight="1" x14ac:dyDescent="0.3">
      <c r="A1309" t="s">
        <v>2225</v>
      </c>
      <c r="B1309" t="s">
        <v>2573</v>
      </c>
      <c r="C1309" t="s">
        <v>95</v>
      </c>
      <c r="D1309" t="s">
        <v>853</v>
      </c>
      <c r="E1309" t="s">
        <v>2580</v>
      </c>
      <c r="F1309" t="s">
        <v>6059</v>
      </c>
      <c r="G1309" s="2" t="str">
        <f>HYPERLINK("https://www.facebook.com/100008934274771/posts/1810262525948206?comment_id=1810288362612289")</f>
        <v>https://www.facebook.com/100008934274771/posts/1810262525948206?comment_id=1810288362612289</v>
      </c>
      <c r="H1309" t="s">
        <v>6062</v>
      </c>
      <c r="I1309" t="s">
        <v>1940</v>
      </c>
      <c r="J1309" s="2" t="str">
        <f t="shared" si="31"/>
        <v>https://www.facebook.com/100005595403322</v>
      </c>
      <c r="K1309">
        <v>96</v>
      </c>
      <c r="L1309" t="s">
        <v>6064</v>
      </c>
      <c r="N1309" t="s">
        <v>13</v>
      </c>
      <c r="O1309" t="s">
        <v>856</v>
      </c>
      <c r="P1309" s="2" t="str">
        <f t="shared" si="33"/>
        <v>https://www.facebook.com/100008934274771</v>
      </c>
      <c r="Q1309">
        <v>10395</v>
      </c>
      <c r="R1309" t="s">
        <v>6067</v>
      </c>
      <c r="S1309" t="s">
        <v>6073</v>
      </c>
    </row>
    <row r="1310" spans="1:19" ht="14.25" customHeight="1" x14ac:dyDescent="0.3">
      <c r="A1310" t="s">
        <v>2225</v>
      </c>
      <c r="B1310" t="s">
        <v>2691</v>
      </c>
      <c r="C1310" t="s">
        <v>95</v>
      </c>
      <c r="D1310" t="s">
        <v>853</v>
      </c>
      <c r="E1310" t="s">
        <v>2695</v>
      </c>
      <c r="F1310" t="s">
        <v>6059</v>
      </c>
      <c r="G1310" s="2" t="str">
        <f>HYPERLINK("https://www.facebook.com/100008934274771/posts/1810262525948206?comment_id=1810278185946640")</f>
        <v>https://www.facebook.com/100008934274771/posts/1810262525948206?comment_id=1810278185946640</v>
      </c>
      <c r="H1310" t="s">
        <v>6062</v>
      </c>
      <c r="I1310" t="s">
        <v>1940</v>
      </c>
      <c r="J1310" s="2" t="str">
        <f t="shared" si="31"/>
        <v>https://www.facebook.com/100005595403322</v>
      </c>
      <c r="K1310">
        <v>96</v>
      </c>
      <c r="L1310" t="s">
        <v>6064</v>
      </c>
      <c r="N1310" t="s">
        <v>13</v>
      </c>
      <c r="O1310" t="s">
        <v>856</v>
      </c>
      <c r="P1310" s="2" t="str">
        <f t="shared" si="33"/>
        <v>https://www.facebook.com/100008934274771</v>
      </c>
      <c r="Q1310">
        <v>10395</v>
      </c>
      <c r="R1310" t="s">
        <v>6067</v>
      </c>
      <c r="S1310" t="s">
        <v>6073</v>
      </c>
    </row>
    <row r="1311" spans="1:19" ht="14.25" customHeight="1" x14ac:dyDescent="0.3">
      <c r="A1311" t="s">
        <v>2225</v>
      </c>
      <c r="B1311" t="s">
        <v>2564</v>
      </c>
      <c r="C1311" t="s">
        <v>95</v>
      </c>
      <c r="D1311" t="s">
        <v>853</v>
      </c>
      <c r="E1311" t="s">
        <v>2565</v>
      </c>
      <c r="F1311" t="s">
        <v>6059</v>
      </c>
      <c r="G1311" s="2" t="str">
        <f>HYPERLINK("https://www.facebook.com/100008934274771/posts/1810262525948206?comment_id=1810289162612209")</f>
        <v>https://www.facebook.com/100008934274771/posts/1810262525948206?comment_id=1810289162612209</v>
      </c>
      <c r="H1311" t="s">
        <v>6062</v>
      </c>
      <c r="I1311" t="s">
        <v>1940</v>
      </c>
      <c r="J1311" s="2" t="str">
        <f t="shared" si="31"/>
        <v>https://www.facebook.com/100005595403322</v>
      </c>
      <c r="K1311">
        <v>96</v>
      </c>
      <c r="L1311" t="s">
        <v>6064</v>
      </c>
      <c r="N1311" t="s">
        <v>13</v>
      </c>
      <c r="O1311" t="s">
        <v>856</v>
      </c>
      <c r="P1311" s="2" t="str">
        <f t="shared" si="33"/>
        <v>https://www.facebook.com/100008934274771</v>
      </c>
      <c r="Q1311">
        <v>10395</v>
      </c>
      <c r="R1311" t="s">
        <v>6067</v>
      </c>
      <c r="S1311" t="s">
        <v>6073</v>
      </c>
    </row>
    <row r="1312" spans="1:19" ht="14.25" customHeight="1" x14ac:dyDescent="0.3">
      <c r="A1312" t="s">
        <v>2225</v>
      </c>
      <c r="B1312" t="s">
        <v>2715</v>
      </c>
      <c r="C1312" t="s">
        <v>95</v>
      </c>
      <c r="D1312" t="s">
        <v>853</v>
      </c>
      <c r="E1312" t="s">
        <v>2722</v>
      </c>
      <c r="F1312" t="s">
        <v>6059</v>
      </c>
      <c r="G1312" s="2" t="str">
        <f>HYPERLINK("https://www.facebook.com/100008934274771/posts/1810262525948206?comment_id=1810275109280281")</f>
        <v>https://www.facebook.com/100008934274771/posts/1810262525948206?comment_id=1810275109280281</v>
      </c>
      <c r="H1312" t="s">
        <v>6062</v>
      </c>
      <c r="I1312" t="s">
        <v>1940</v>
      </c>
      <c r="J1312" s="2" t="str">
        <f t="shared" si="31"/>
        <v>https://www.facebook.com/100005595403322</v>
      </c>
      <c r="K1312">
        <v>96</v>
      </c>
      <c r="L1312" t="s">
        <v>6064</v>
      </c>
      <c r="N1312" t="s">
        <v>13</v>
      </c>
      <c r="O1312" t="s">
        <v>856</v>
      </c>
      <c r="P1312" s="2" t="str">
        <f t="shared" si="33"/>
        <v>https://www.facebook.com/100008934274771</v>
      </c>
      <c r="Q1312">
        <v>10395</v>
      </c>
      <c r="R1312" t="s">
        <v>6067</v>
      </c>
      <c r="S1312" t="s">
        <v>6073</v>
      </c>
    </row>
    <row r="1313" spans="1:19" ht="14.25" customHeight="1" x14ac:dyDescent="0.3">
      <c r="A1313" t="s">
        <v>2225</v>
      </c>
      <c r="B1313" t="s">
        <v>2715</v>
      </c>
      <c r="C1313" t="s">
        <v>95</v>
      </c>
      <c r="D1313" t="s">
        <v>853</v>
      </c>
      <c r="E1313" t="s">
        <v>2716</v>
      </c>
      <c r="F1313" t="s">
        <v>6059</v>
      </c>
      <c r="G1313" s="2" t="str">
        <f>HYPERLINK("https://www.facebook.com/100008934274771/posts/1810262525948206?comment_id=1810275349280257")</f>
        <v>https://www.facebook.com/100008934274771/posts/1810262525948206?comment_id=1810275349280257</v>
      </c>
      <c r="H1313" t="s">
        <v>6062</v>
      </c>
      <c r="I1313" t="s">
        <v>1940</v>
      </c>
      <c r="J1313" s="2" t="str">
        <f t="shared" si="31"/>
        <v>https://www.facebook.com/100005595403322</v>
      </c>
      <c r="K1313">
        <v>96</v>
      </c>
      <c r="L1313" t="s">
        <v>6064</v>
      </c>
      <c r="N1313" t="s">
        <v>13</v>
      </c>
      <c r="O1313" t="s">
        <v>856</v>
      </c>
      <c r="P1313" s="2" t="str">
        <f t="shared" si="33"/>
        <v>https://www.facebook.com/100008934274771</v>
      </c>
      <c r="Q1313">
        <v>10395</v>
      </c>
      <c r="R1313" t="s">
        <v>6067</v>
      </c>
      <c r="S1313" t="s">
        <v>6073</v>
      </c>
    </row>
    <row r="1314" spans="1:19" ht="14.25" customHeight="1" x14ac:dyDescent="0.3">
      <c r="A1314" t="s">
        <v>2225</v>
      </c>
      <c r="B1314" t="s">
        <v>742</v>
      </c>
      <c r="C1314" t="s">
        <v>95</v>
      </c>
      <c r="D1314" t="s">
        <v>853</v>
      </c>
      <c r="E1314" t="s">
        <v>2670</v>
      </c>
      <c r="F1314" t="s">
        <v>6059</v>
      </c>
      <c r="G1314" s="2" t="str">
        <f>HYPERLINK("https://www.facebook.com/100008934274771/posts/1810262525948206?comment_id=1810281035946355")</f>
        <v>https://www.facebook.com/100008934274771/posts/1810262525948206?comment_id=1810281035946355</v>
      </c>
      <c r="H1314" t="s">
        <v>6062</v>
      </c>
      <c r="I1314" t="s">
        <v>1940</v>
      </c>
      <c r="J1314" s="2" t="str">
        <f t="shared" si="31"/>
        <v>https://www.facebook.com/100005595403322</v>
      </c>
      <c r="K1314">
        <v>96</v>
      </c>
      <c r="L1314" t="s">
        <v>6064</v>
      </c>
      <c r="N1314" t="s">
        <v>13</v>
      </c>
      <c r="O1314" t="s">
        <v>856</v>
      </c>
      <c r="P1314" s="2" t="str">
        <f t="shared" si="33"/>
        <v>https://www.facebook.com/100008934274771</v>
      </c>
      <c r="Q1314">
        <v>10395</v>
      </c>
      <c r="R1314" t="s">
        <v>6067</v>
      </c>
      <c r="S1314" t="s">
        <v>6073</v>
      </c>
    </row>
    <row r="1315" spans="1:19" ht="14.25" customHeight="1" x14ac:dyDescent="0.3">
      <c r="A1315" t="s">
        <v>5409</v>
      </c>
      <c r="B1315" t="s">
        <v>5805</v>
      </c>
      <c r="C1315" t="s">
        <v>3538</v>
      </c>
      <c r="D1315" t="s">
        <v>5806</v>
      </c>
      <c r="E1315" t="s">
        <v>5807</v>
      </c>
      <c r="F1315" t="s">
        <v>6056</v>
      </c>
      <c r="G1315" s="2" t="str">
        <f>HYPERLINK("https://www.facebook.com/100002065172481/posts/1631660626912761")</f>
        <v>https://www.facebook.com/100002065172481/posts/1631660626912761</v>
      </c>
      <c r="H1315" t="s">
        <v>6062</v>
      </c>
      <c r="I1315" t="s">
        <v>5808</v>
      </c>
      <c r="J1315" s="2" t="str">
        <f>HYPERLINK("https://www.facebook.com/100002065172481")</f>
        <v>https://www.facebook.com/100002065172481</v>
      </c>
      <c r="K1315">
        <v>342</v>
      </c>
      <c r="L1315" t="s">
        <v>6064</v>
      </c>
      <c r="N1315" t="s">
        <v>13</v>
      </c>
      <c r="O1315" t="s">
        <v>5808</v>
      </c>
      <c r="P1315" s="2" t="str">
        <f>HYPERLINK("https://www.facebook.com/100002065172481")</f>
        <v>https://www.facebook.com/100002065172481</v>
      </c>
      <c r="Q1315">
        <v>342</v>
      </c>
      <c r="R1315" t="s">
        <v>6067</v>
      </c>
      <c r="S1315" t="s">
        <v>6073</v>
      </c>
    </row>
    <row r="1316" spans="1:19" ht="14.25" customHeight="1" x14ac:dyDescent="0.3">
      <c r="A1316" t="s">
        <v>5409</v>
      </c>
      <c r="B1316" t="s">
        <v>4564</v>
      </c>
      <c r="C1316" t="s">
        <v>3538</v>
      </c>
      <c r="D1316" t="s">
        <v>5569</v>
      </c>
      <c r="E1316" t="s">
        <v>5570</v>
      </c>
      <c r="F1316" t="s">
        <v>6058</v>
      </c>
      <c r="G1316" s="2" t="str">
        <f>HYPERLINK("https://www.facebook.com/100012305137472/posts/437831046637063")</f>
        <v>https://www.facebook.com/100012305137472/posts/437831046637063</v>
      </c>
      <c r="H1316" t="s">
        <v>6062</v>
      </c>
      <c r="I1316" t="s">
        <v>5571</v>
      </c>
      <c r="J1316" s="2" t="str">
        <f>HYPERLINK("https://www.facebook.com/100012305137472")</f>
        <v>https://www.facebook.com/100012305137472</v>
      </c>
      <c r="K1316">
        <v>0</v>
      </c>
      <c r="L1316" t="s">
        <v>6064</v>
      </c>
      <c r="N1316" t="s">
        <v>13</v>
      </c>
      <c r="O1316" t="s">
        <v>5571</v>
      </c>
      <c r="P1316" s="2" t="str">
        <f>HYPERLINK("https://www.facebook.com/100012305137472")</f>
        <v>https://www.facebook.com/100012305137472</v>
      </c>
      <c r="Q1316">
        <v>0</v>
      </c>
      <c r="R1316" t="s">
        <v>6067</v>
      </c>
      <c r="S1316" t="s">
        <v>6073</v>
      </c>
    </row>
    <row r="1317" spans="1:19" ht="14.25" customHeight="1" x14ac:dyDescent="0.3">
      <c r="A1317" t="s">
        <v>5409</v>
      </c>
      <c r="B1317" t="s">
        <v>4195</v>
      </c>
      <c r="C1317" t="s">
        <v>3538</v>
      </c>
      <c r="D1317" t="s">
        <v>5653</v>
      </c>
      <c r="E1317" t="s">
        <v>4</v>
      </c>
      <c r="F1317" t="s">
        <v>6059</v>
      </c>
      <c r="G1317" s="2" t="str">
        <f>HYPERLINK("https://www.facebook.com/100001365366967/posts/1575591375829693?comment_id=1575592315829599")</f>
        <v>https://www.facebook.com/100001365366967/posts/1575591375829693?comment_id=1575592315829599</v>
      </c>
      <c r="H1317" t="s">
        <v>6062</v>
      </c>
      <c r="I1317" t="s">
        <v>5656</v>
      </c>
      <c r="J1317" s="2" t="str">
        <f>HYPERLINK("https://www.facebook.com/100001365366967")</f>
        <v>https://www.facebook.com/100001365366967</v>
      </c>
      <c r="K1317">
        <v>6509</v>
      </c>
      <c r="L1317" t="s">
        <v>6064</v>
      </c>
      <c r="N1317" t="s">
        <v>13</v>
      </c>
      <c r="O1317" t="s">
        <v>5656</v>
      </c>
      <c r="P1317" s="2" t="str">
        <f>HYPERLINK("https://www.facebook.com/100001365366967")</f>
        <v>https://www.facebook.com/100001365366967</v>
      </c>
      <c r="Q1317">
        <v>6509</v>
      </c>
      <c r="R1317" t="s">
        <v>6067</v>
      </c>
      <c r="S1317" t="s">
        <v>6073</v>
      </c>
    </row>
    <row r="1318" spans="1:19" ht="14.25" customHeight="1" x14ac:dyDescent="0.3">
      <c r="A1318" t="s">
        <v>5409</v>
      </c>
      <c r="B1318" t="s">
        <v>5736</v>
      </c>
      <c r="C1318" t="s">
        <v>3538</v>
      </c>
      <c r="D1318" t="s">
        <v>5653</v>
      </c>
      <c r="E1318" t="s">
        <v>5737</v>
      </c>
      <c r="F1318" t="s">
        <v>6056</v>
      </c>
      <c r="G1318" s="2" t="str">
        <f>HYPERLINK("https://www.facebook.com/100001365366967/posts/1575591375829693")</f>
        <v>https://www.facebook.com/100001365366967/posts/1575591375829693</v>
      </c>
      <c r="H1318" t="s">
        <v>6062</v>
      </c>
      <c r="I1318" t="s">
        <v>5656</v>
      </c>
      <c r="J1318" s="2" t="str">
        <f>HYPERLINK("https://www.facebook.com/100001365366967")</f>
        <v>https://www.facebook.com/100001365366967</v>
      </c>
      <c r="K1318">
        <v>6509</v>
      </c>
      <c r="L1318" t="s">
        <v>6064</v>
      </c>
      <c r="N1318" t="s">
        <v>13</v>
      </c>
      <c r="O1318" t="s">
        <v>5656</v>
      </c>
      <c r="P1318" s="2" t="str">
        <f>HYPERLINK("https://www.facebook.com/100001365366967")</f>
        <v>https://www.facebook.com/100001365366967</v>
      </c>
      <c r="Q1318">
        <v>6509</v>
      </c>
      <c r="R1318" t="s">
        <v>6067</v>
      </c>
      <c r="S1318" t="s">
        <v>6073</v>
      </c>
    </row>
    <row r="1319" spans="1:19" ht="14.25" customHeight="1" x14ac:dyDescent="0.3">
      <c r="A1319" t="s">
        <v>4995</v>
      </c>
      <c r="B1319" t="s">
        <v>2173</v>
      </c>
      <c r="C1319" t="s">
        <v>3538</v>
      </c>
      <c r="D1319" t="s">
        <v>5078</v>
      </c>
      <c r="E1319" t="s">
        <v>5400</v>
      </c>
      <c r="F1319" t="s">
        <v>6059</v>
      </c>
      <c r="G1319" s="2" t="str">
        <f>HYPERLINK("https://www.facebook.com/100001929668660/posts/1891490270925277?comment_id=1891511234256514")</f>
        <v>https://www.facebook.com/100001929668660/posts/1891490270925277?comment_id=1891511234256514</v>
      </c>
      <c r="H1319" t="s">
        <v>6062</v>
      </c>
      <c r="I1319" t="s">
        <v>5401</v>
      </c>
      <c r="J1319" s="2" t="str">
        <f>HYPERLINK("https://www.facebook.com/100000359373084")</f>
        <v>https://www.facebook.com/100000359373084</v>
      </c>
      <c r="K1319">
        <v>0</v>
      </c>
      <c r="L1319" t="s">
        <v>6063</v>
      </c>
      <c r="N1319" t="s">
        <v>13</v>
      </c>
      <c r="O1319" t="s">
        <v>5081</v>
      </c>
      <c r="P1319" s="2" t="str">
        <f>HYPERLINK("https://www.facebook.com/100001929668660")</f>
        <v>https://www.facebook.com/100001929668660</v>
      </c>
      <c r="Q1319">
        <v>2652</v>
      </c>
      <c r="R1319" t="s">
        <v>6067</v>
      </c>
      <c r="S1319" t="s">
        <v>6073</v>
      </c>
    </row>
    <row r="1320" spans="1:19" ht="14.25" customHeight="1" x14ac:dyDescent="0.3">
      <c r="A1320" t="s">
        <v>5409</v>
      </c>
      <c r="B1320" t="s">
        <v>767</v>
      </c>
      <c r="C1320" t="s">
        <v>3538</v>
      </c>
      <c r="D1320" t="s">
        <v>5495</v>
      </c>
      <c r="E1320" t="s">
        <v>5496</v>
      </c>
      <c r="F1320" t="s">
        <v>6058</v>
      </c>
      <c r="G1320" s="2" t="str">
        <f>HYPERLINK("https://www.facebook.com/100001959363564/posts/1858434470898514")</f>
        <v>https://www.facebook.com/100001959363564/posts/1858434470898514</v>
      </c>
      <c r="H1320" t="s">
        <v>6062</v>
      </c>
      <c r="I1320" t="s">
        <v>5497</v>
      </c>
      <c r="J1320" s="2" t="str">
        <f>HYPERLINK("https://www.facebook.com/100001959363564")</f>
        <v>https://www.facebook.com/100001959363564</v>
      </c>
      <c r="K1320">
        <v>2</v>
      </c>
      <c r="L1320" t="s">
        <v>6063</v>
      </c>
      <c r="N1320" t="s">
        <v>13</v>
      </c>
      <c r="O1320" t="s">
        <v>5497</v>
      </c>
      <c r="P1320" s="2" t="str">
        <f>HYPERLINK("https://www.facebook.com/100001959363564")</f>
        <v>https://www.facebook.com/100001959363564</v>
      </c>
      <c r="Q1320">
        <v>2</v>
      </c>
      <c r="R1320" t="s">
        <v>6067</v>
      </c>
      <c r="S1320" t="s">
        <v>6073</v>
      </c>
    </row>
    <row r="1321" spans="1:19" ht="14.25" customHeight="1" x14ac:dyDescent="0.3">
      <c r="A1321" t="s">
        <v>2225</v>
      </c>
      <c r="B1321" t="s">
        <v>2588</v>
      </c>
      <c r="C1321" t="s">
        <v>95</v>
      </c>
      <c r="D1321" t="s">
        <v>853</v>
      </c>
      <c r="E1321" t="s">
        <v>2589</v>
      </c>
      <c r="F1321" t="s">
        <v>6059</v>
      </c>
      <c r="G1321" s="2" t="str">
        <f>HYPERLINK("https://www.facebook.com/100008934274771/posts/1810262525948206?comment_id=1810287592612366")</f>
        <v>https://www.facebook.com/100008934274771/posts/1810262525948206?comment_id=1810287592612366</v>
      </c>
      <c r="H1321" t="s">
        <v>6062</v>
      </c>
      <c r="I1321" t="s">
        <v>2507</v>
      </c>
      <c r="J1321" s="2" t="str">
        <f t="shared" ref="J1321:J1327" si="34">HYPERLINK("https://www.facebook.com/100008179950246")</f>
        <v>https://www.facebook.com/100008179950246</v>
      </c>
      <c r="K1321">
        <v>106</v>
      </c>
      <c r="L1321" t="s">
        <v>6064</v>
      </c>
      <c r="N1321" t="s">
        <v>13</v>
      </c>
      <c r="O1321" t="s">
        <v>856</v>
      </c>
      <c r="P1321" s="2" t="str">
        <f>HYPERLINK("https://www.facebook.com/100008934274771")</f>
        <v>https://www.facebook.com/100008934274771</v>
      </c>
      <c r="Q1321">
        <v>10395</v>
      </c>
      <c r="R1321" t="s">
        <v>6067</v>
      </c>
      <c r="S1321" t="s">
        <v>6073</v>
      </c>
    </row>
    <row r="1322" spans="1:19" ht="14.25" customHeight="1" x14ac:dyDescent="0.3">
      <c r="A1322" t="s">
        <v>2225</v>
      </c>
      <c r="B1322" t="s">
        <v>2605</v>
      </c>
      <c r="C1322" t="s">
        <v>95</v>
      </c>
      <c r="D1322" t="s">
        <v>853</v>
      </c>
      <c r="E1322" t="s">
        <v>2606</v>
      </c>
      <c r="F1322" t="s">
        <v>6059</v>
      </c>
      <c r="G1322" s="2" t="str">
        <f>HYPERLINK("https://www.facebook.com/100008934274771/posts/1810262525948206?comment_id=1810285535945905")</f>
        <v>https://www.facebook.com/100008934274771/posts/1810262525948206?comment_id=1810285535945905</v>
      </c>
      <c r="H1322" t="s">
        <v>6062</v>
      </c>
      <c r="I1322" t="s">
        <v>2507</v>
      </c>
      <c r="J1322" s="2" t="str">
        <f t="shared" si="34"/>
        <v>https://www.facebook.com/100008179950246</v>
      </c>
      <c r="K1322">
        <v>106</v>
      </c>
      <c r="L1322" t="s">
        <v>6064</v>
      </c>
      <c r="N1322" t="s">
        <v>13</v>
      </c>
      <c r="O1322" t="s">
        <v>856</v>
      </c>
      <c r="P1322" s="2" t="str">
        <f>HYPERLINK("https://www.facebook.com/100008934274771")</f>
        <v>https://www.facebook.com/100008934274771</v>
      </c>
      <c r="Q1322">
        <v>10395</v>
      </c>
      <c r="R1322" t="s">
        <v>6067</v>
      </c>
      <c r="S1322" t="s">
        <v>6073</v>
      </c>
    </row>
    <row r="1323" spans="1:19" ht="14.25" customHeight="1" x14ac:dyDescent="0.3">
      <c r="A1323" t="s">
        <v>2225</v>
      </c>
      <c r="B1323" t="s">
        <v>2646</v>
      </c>
      <c r="C1323" t="s">
        <v>95</v>
      </c>
      <c r="D1323" t="s">
        <v>853</v>
      </c>
      <c r="E1323" t="s">
        <v>2652</v>
      </c>
      <c r="F1323" t="s">
        <v>6059</v>
      </c>
      <c r="G1323" s="2" t="str">
        <f>HYPERLINK("https://www.facebook.com/100008934274771/posts/1810262525948206?comment_id=1810282585946200")</f>
        <v>https://www.facebook.com/100008934274771/posts/1810262525948206?comment_id=1810282585946200</v>
      </c>
      <c r="H1323" t="s">
        <v>6062</v>
      </c>
      <c r="I1323" t="s">
        <v>2507</v>
      </c>
      <c r="J1323" s="2" t="str">
        <f t="shared" si="34"/>
        <v>https://www.facebook.com/100008179950246</v>
      </c>
      <c r="K1323">
        <v>106</v>
      </c>
      <c r="L1323" t="s">
        <v>6064</v>
      </c>
      <c r="N1323" t="s">
        <v>13</v>
      </c>
      <c r="O1323" t="s">
        <v>856</v>
      </c>
      <c r="P1323" s="2" t="str">
        <f>HYPERLINK("https://www.facebook.com/100008934274771")</f>
        <v>https://www.facebook.com/100008934274771</v>
      </c>
      <c r="Q1323">
        <v>10395</v>
      </c>
      <c r="R1323" t="s">
        <v>6067</v>
      </c>
      <c r="S1323" t="s">
        <v>6073</v>
      </c>
    </row>
    <row r="1324" spans="1:19" ht="14.25" customHeight="1" x14ac:dyDescent="0.3">
      <c r="A1324" t="s">
        <v>2225</v>
      </c>
      <c r="B1324" t="s">
        <v>2556</v>
      </c>
      <c r="C1324" t="s">
        <v>95</v>
      </c>
      <c r="D1324" t="s">
        <v>853</v>
      </c>
      <c r="E1324" t="s">
        <v>2563</v>
      </c>
      <c r="F1324" t="s">
        <v>6059</v>
      </c>
      <c r="G1324" s="2" t="str">
        <f>HYPERLINK("https://www.facebook.com/100008934274771/posts/1810262525948206?comment_id=1810289245945534")</f>
        <v>https://www.facebook.com/100008934274771/posts/1810262525948206?comment_id=1810289245945534</v>
      </c>
      <c r="H1324" t="s">
        <v>6062</v>
      </c>
      <c r="I1324" t="s">
        <v>2507</v>
      </c>
      <c r="J1324" s="2" t="str">
        <f t="shared" si="34"/>
        <v>https://www.facebook.com/100008179950246</v>
      </c>
      <c r="K1324">
        <v>106</v>
      </c>
      <c r="L1324" t="s">
        <v>6064</v>
      </c>
      <c r="N1324" t="s">
        <v>13</v>
      </c>
      <c r="O1324" t="s">
        <v>856</v>
      </c>
      <c r="P1324" s="2" t="str">
        <f>HYPERLINK("https://www.facebook.com/100008934274771")</f>
        <v>https://www.facebook.com/100008934274771</v>
      </c>
      <c r="Q1324">
        <v>10395</v>
      </c>
      <c r="R1324" t="s">
        <v>6067</v>
      </c>
      <c r="S1324" t="s">
        <v>6073</v>
      </c>
    </row>
    <row r="1325" spans="1:19" ht="14.25" customHeight="1" x14ac:dyDescent="0.3">
      <c r="A1325" t="s">
        <v>2225</v>
      </c>
      <c r="B1325" t="s">
        <v>745</v>
      </c>
      <c r="C1325" t="s">
        <v>95</v>
      </c>
      <c r="D1325" t="s">
        <v>2683</v>
      </c>
      <c r="E1325" t="s">
        <v>2684</v>
      </c>
      <c r="F1325" t="s">
        <v>6057</v>
      </c>
      <c r="G1325" s="2" t="str">
        <f>HYPERLINK("https://www.facebook.com/100008179950246/posts/2044211492528163")</f>
        <v>https://www.facebook.com/100008179950246/posts/2044211492528163</v>
      </c>
      <c r="H1325" t="s">
        <v>6062</v>
      </c>
      <c r="I1325" t="s">
        <v>2507</v>
      </c>
      <c r="J1325" s="2" t="str">
        <f t="shared" si="34"/>
        <v>https://www.facebook.com/100008179950246</v>
      </c>
      <c r="K1325">
        <v>106</v>
      </c>
      <c r="L1325" t="s">
        <v>6064</v>
      </c>
      <c r="N1325" t="s">
        <v>13</v>
      </c>
      <c r="O1325" t="s">
        <v>2507</v>
      </c>
      <c r="P1325" s="2" t="str">
        <f>HYPERLINK("https://www.facebook.com/100008179950246")</f>
        <v>https://www.facebook.com/100008179950246</v>
      </c>
      <c r="Q1325">
        <v>106</v>
      </c>
      <c r="R1325" t="s">
        <v>6067</v>
      </c>
    </row>
    <row r="1326" spans="1:19" ht="14.25" customHeight="1" x14ac:dyDescent="0.3">
      <c r="A1326" t="s">
        <v>2225</v>
      </c>
      <c r="B1326" t="s">
        <v>2672</v>
      </c>
      <c r="C1326" t="s">
        <v>95</v>
      </c>
      <c r="D1326" t="s">
        <v>853</v>
      </c>
      <c r="E1326" t="s">
        <v>2675</v>
      </c>
      <c r="F1326" t="s">
        <v>6059</v>
      </c>
      <c r="G1326" s="2" t="str">
        <f>HYPERLINK("https://www.facebook.com/100008934274771/posts/1810262525948206?comment_id=1810280905946368")</f>
        <v>https://www.facebook.com/100008934274771/posts/1810262525948206?comment_id=1810280905946368</v>
      </c>
      <c r="H1326" t="s">
        <v>6062</v>
      </c>
      <c r="I1326" t="s">
        <v>2507</v>
      </c>
      <c r="J1326" s="2" t="str">
        <f t="shared" si="34"/>
        <v>https://www.facebook.com/100008179950246</v>
      </c>
      <c r="K1326">
        <v>106</v>
      </c>
      <c r="L1326" t="s">
        <v>6064</v>
      </c>
      <c r="N1326" t="s">
        <v>13</v>
      </c>
      <c r="O1326" t="s">
        <v>856</v>
      </c>
      <c r="P1326" s="2" t="str">
        <f>HYPERLINK("https://www.facebook.com/100008934274771")</f>
        <v>https://www.facebook.com/100008934274771</v>
      </c>
      <c r="Q1326">
        <v>10395</v>
      </c>
      <c r="R1326" t="s">
        <v>6067</v>
      </c>
      <c r="S1326" t="s">
        <v>6073</v>
      </c>
    </row>
    <row r="1327" spans="1:19" ht="14.25" customHeight="1" x14ac:dyDescent="0.3">
      <c r="A1327" t="s">
        <v>2225</v>
      </c>
      <c r="B1327" t="s">
        <v>2494</v>
      </c>
      <c r="C1327" t="s">
        <v>95</v>
      </c>
      <c r="D1327" t="s">
        <v>853</v>
      </c>
      <c r="E1327" t="s">
        <v>2506</v>
      </c>
      <c r="F1327" t="s">
        <v>6059</v>
      </c>
      <c r="G1327" s="2" t="str">
        <f>HYPERLINK("https://www.facebook.com/100008934274771/posts/1810262525948206?comment_id=1810291819278610")</f>
        <v>https://www.facebook.com/100008934274771/posts/1810262525948206?comment_id=1810291819278610</v>
      </c>
      <c r="H1327" t="s">
        <v>6062</v>
      </c>
      <c r="I1327" t="s">
        <v>2507</v>
      </c>
      <c r="J1327" s="2" t="str">
        <f t="shared" si="34"/>
        <v>https://www.facebook.com/100008179950246</v>
      </c>
      <c r="K1327">
        <v>106</v>
      </c>
      <c r="L1327" t="s">
        <v>6064</v>
      </c>
      <c r="N1327" t="s">
        <v>13</v>
      </c>
      <c r="O1327" t="s">
        <v>856</v>
      </c>
      <c r="P1327" s="2" t="str">
        <f>HYPERLINK("https://www.facebook.com/100008934274771")</f>
        <v>https://www.facebook.com/100008934274771</v>
      </c>
      <c r="Q1327">
        <v>10395</v>
      </c>
      <c r="R1327" t="s">
        <v>6067</v>
      </c>
      <c r="S1327" t="s">
        <v>6073</v>
      </c>
    </row>
    <row r="1328" spans="1:19" ht="14.25" customHeight="1" x14ac:dyDescent="0.3">
      <c r="A1328" t="s">
        <v>2225</v>
      </c>
      <c r="B1328" t="s">
        <v>762</v>
      </c>
      <c r="C1328" t="s">
        <v>95</v>
      </c>
      <c r="D1328" t="s">
        <v>544</v>
      </c>
      <c r="E1328" t="s">
        <v>545</v>
      </c>
      <c r="F1328" t="s">
        <v>6058</v>
      </c>
      <c r="G1328" s="2" t="str">
        <f>HYPERLINK("https://www.facebook.com/100007821426415/posts/2063585007245527")</f>
        <v>https://www.facebook.com/100007821426415/posts/2063585007245527</v>
      </c>
      <c r="H1328" t="s">
        <v>6062</v>
      </c>
      <c r="I1328" t="s">
        <v>2823</v>
      </c>
      <c r="J1328" s="2" t="str">
        <f>HYPERLINK("https://www.facebook.com/100007821426415")</f>
        <v>https://www.facebook.com/100007821426415</v>
      </c>
      <c r="K1328">
        <v>1922</v>
      </c>
      <c r="L1328" t="s">
        <v>6064</v>
      </c>
      <c r="N1328" t="s">
        <v>13</v>
      </c>
      <c r="O1328" t="s">
        <v>2823</v>
      </c>
      <c r="P1328" s="2" t="str">
        <f>HYPERLINK("https://www.facebook.com/100007821426415")</f>
        <v>https://www.facebook.com/100007821426415</v>
      </c>
      <c r="Q1328">
        <v>1922</v>
      </c>
      <c r="R1328" t="s">
        <v>6067</v>
      </c>
      <c r="S1328" t="s">
        <v>6073</v>
      </c>
    </row>
    <row r="1329" spans="1:19" ht="14.25" customHeight="1" x14ac:dyDescent="0.3">
      <c r="A1329" t="s">
        <v>4995</v>
      </c>
      <c r="B1329" t="s">
        <v>37</v>
      </c>
      <c r="C1329" t="s">
        <v>3538</v>
      </c>
      <c r="D1329" t="s">
        <v>1131</v>
      </c>
      <c r="E1329" t="s">
        <v>1132</v>
      </c>
      <c r="F1329" t="s">
        <v>6058</v>
      </c>
      <c r="G1329" s="2" t="str">
        <f>HYPERLINK("https://www.facebook.com/100001382990283/posts/1741659882556761")</f>
        <v>https://www.facebook.com/100001382990283/posts/1741659882556761</v>
      </c>
      <c r="H1329" t="s">
        <v>6062</v>
      </c>
      <c r="I1329" t="s">
        <v>5200</v>
      </c>
      <c r="J1329" s="2" t="str">
        <f>HYPERLINK("https://www.facebook.com/100001382990283")</f>
        <v>https://www.facebook.com/100001382990283</v>
      </c>
      <c r="K1329">
        <v>88</v>
      </c>
      <c r="L1329" t="s">
        <v>6063</v>
      </c>
      <c r="N1329" t="s">
        <v>13</v>
      </c>
      <c r="O1329" t="s">
        <v>5200</v>
      </c>
      <c r="P1329" s="2" t="str">
        <f>HYPERLINK("https://www.facebook.com/100001382990283")</f>
        <v>https://www.facebook.com/100001382990283</v>
      </c>
      <c r="Q1329">
        <v>88</v>
      </c>
      <c r="R1329" t="s">
        <v>6067</v>
      </c>
      <c r="S1329" t="s">
        <v>6073</v>
      </c>
    </row>
    <row r="1330" spans="1:19" ht="14.25" customHeight="1" x14ac:dyDescent="0.3">
      <c r="A1330" t="s">
        <v>629</v>
      </c>
      <c r="B1330" t="s">
        <v>1327</v>
      </c>
      <c r="C1330" t="s">
        <v>95</v>
      </c>
      <c r="D1330" t="s">
        <v>1328</v>
      </c>
      <c r="E1330" t="s">
        <v>1329</v>
      </c>
      <c r="F1330" t="s">
        <v>6059</v>
      </c>
      <c r="G1330" s="2" t="str">
        <f>HYPERLINK("https://www.facebook.com/120002291379373/posts/1710941778952075?comment_id=1712037355509184")</f>
        <v>https://www.facebook.com/120002291379373/posts/1710941778952075?comment_id=1712037355509184</v>
      </c>
      <c r="H1330" t="s">
        <v>6062</v>
      </c>
      <c r="I1330" t="s">
        <v>1330</v>
      </c>
      <c r="J1330" s="2" t="str">
        <f>HYPERLINK("https://www.facebook.com/1287771720")</f>
        <v>https://www.facebook.com/1287771720</v>
      </c>
      <c r="K1330">
        <v>35</v>
      </c>
      <c r="L1330" t="s">
        <v>6063</v>
      </c>
      <c r="N1330" t="s">
        <v>13</v>
      </c>
      <c r="O1330" t="s">
        <v>1331</v>
      </c>
      <c r="P1330" s="2" t="str">
        <f>HYPERLINK("https://www.facebook.com/120002291379373")</f>
        <v>https://www.facebook.com/120002291379373</v>
      </c>
      <c r="Q1330">
        <v>64025</v>
      </c>
      <c r="R1330" t="s">
        <v>6067</v>
      </c>
      <c r="S1330" t="s">
        <v>6073</v>
      </c>
    </row>
    <row r="1331" spans="1:19" ht="14.25" customHeight="1" x14ac:dyDescent="0.3">
      <c r="A1331" t="s">
        <v>629</v>
      </c>
      <c r="B1331" t="s">
        <v>843</v>
      </c>
      <c r="C1331" t="s">
        <v>95</v>
      </c>
      <c r="D1331" t="s">
        <v>374</v>
      </c>
      <c r="E1331" t="s">
        <v>844</v>
      </c>
      <c r="F1331" t="s">
        <v>6059</v>
      </c>
      <c r="G1331" s="2" t="str">
        <f>HYPERLINK("https://www.facebook.com/100014853937648/posts/359792187859243?comment_id=360292214475907")</f>
        <v>https://www.facebook.com/100014853937648/posts/359792187859243?comment_id=360292214475907</v>
      </c>
      <c r="H1331" t="s">
        <v>6062</v>
      </c>
      <c r="I1331" t="s">
        <v>842</v>
      </c>
      <c r="J1331" s="2" t="str">
        <f>HYPERLINK("https://www.facebook.com/100014853937648")</f>
        <v>https://www.facebook.com/100014853937648</v>
      </c>
      <c r="K1331">
        <v>1115</v>
      </c>
      <c r="L1331" t="s">
        <v>6063</v>
      </c>
      <c r="N1331" t="s">
        <v>13</v>
      </c>
      <c r="O1331" t="s">
        <v>842</v>
      </c>
      <c r="P1331" s="2" t="str">
        <f>HYPERLINK("https://www.facebook.com/100014853937648")</f>
        <v>https://www.facebook.com/100014853937648</v>
      </c>
      <c r="Q1331">
        <v>1115</v>
      </c>
      <c r="R1331" t="s">
        <v>6067</v>
      </c>
      <c r="S1331" t="s">
        <v>6073</v>
      </c>
    </row>
    <row r="1332" spans="1:19" ht="14.25" customHeight="1" x14ac:dyDescent="0.3">
      <c r="A1332" t="s">
        <v>629</v>
      </c>
      <c r="B1332" t="s">
        <v>869</v>
      </c>
      <c r="C1332" t="s">
        <v>95</v>
      </c>
      <c r="D1332" t="s">
        <v>374</v>
      </c>
      <c r="E1332" t="s">
        <v>375</v>
      </c>
      <c r="F1332" t="s">
        <v>6058</v>
      </c>
      <c r="G1332" s="2" t="str">
        <f>HYPERLINK("https://www.facebook.com/1853461791566201/posts/360289807809481")</f>
        <v>https://www.facebook.com/1853461791566201/posts/360289807809481</v>
      </c>
      <c r="H1332" t="s">
        <v>6062</v>
      </c>
      <c r="I1332" t="s">
        <v>842</v>
      </c>
      <c r="J1332" s="2" t="str">
        <f>HYPERLINK("https://www.facebook.com/100014853937648")</f>
        <v>https://www.facebook.com/100014853937648</v>
      </c>
      <c r="K1332">
        <v>1115</v>
      </c>
      <c r="L1332" t="s">
        <v>6063</v>
      </c>
      <c r="N1332" t="s">
        <v>13</v>
      </c>
      <c r="O1332" t="s">
        <v>384</v>
      </c>
      <c r="P1332" s="2" t="str">
        <f>HYPERLINK("https://www.facebook.com/1853461791566201")</f>
        <v>https://www.facebook.com/1853461791566201</v>
      </c>
      <c r="R1332" t="s">
        <v>6067</v>
      </c>
      <c r="S1332" t="s">
        <v>6073</v>
      </c>
    </row>
    <row r="1333" spans="1:19" ht="14.25" customHeight="1" x14ac:dyDescent="0.3">
      <c r="A1333" t="s">
        <v>629</v>
      </c>
      <c r="B1333" t="s">
        <v>869</v>
      </c>
      <c r="C1333" t="s">
        <v>95</v>
      </c>
      <c r="D1333" t="s">
        <v>374</v>
      </c>
      <c r="E1333" t="s">
        <v>375</v>
      </c>
      <c r="F1333" t="s">
        <v>6058</v>
      </c>
      <c r="G1333" s="2" t="str">
        <f>HYPERLINK("https://www.facebook.com/110765959436516/posts/360289567809505")</f>
        <v>https://www.facebook.com/110765959436516/posts/360289567809505</v>
      </c>
      <c r="H1333" t="s">
        <v>6062</v>
      </c>
      <c r="I1333" t="s">
        <v>842</v>
      </c>
      <c r="J1333" s="2" t="str">
        <f>HYPERLINK("https://www.facebook.com/100014853937648")</f>
        <v>https://www.facebook.com/100014853937648</v>
      </c>
      <c r="K1333">
        <v>1115</v>
      </c>
      <c r="L1333" t="s">
        <v>6063</v>
      </c>
      <c r="N1333" t="s">
        <v>13</v>
      </c>
      <c r="O1333" t="s">
        <v>875</v>
      </c>
      <c r="P1333" s="2" t="str">
        <f>HYPERLINK("https://www.facebook.com/110765959436516")</f>
        <v>https://www.facebook.com/110765959436516</v>
      </c>
      <c r="R1333" t="s">
        <v>6067</v>
      </c>
      <c r="S1333" t="s">
        <v>6073</v>
      </c>
    </row>
    <row r="1334" spans="1:19" ht="14.25" customHeight="1" x14ac:dyDescent="0.3">
      <c r="A1334" t="s">
        <v>2225</v>
      </c>
      <c r="B1334" t="s">
        <v>3046</v>
      </c>
      <c r="C1334" t="s">
        <v>95</v>
      </c>
      <c r="D1334" t="s">
        <v>374</v>
      </c>
      <c r="E1334" t="s">
        <v>375</v>
      </c>
      <c r="F1334" t="s">
        <v>6056</v>
      </c>
      <c r="G1334" s="2" t="str">
        <f>HYPERLINK("https://www.facebook.com/100014853937648/posts/359792187859243")</f>
        <v>https://www.facebook.com/100014853937648/posts/359792187859243</v>
      </c>
      <c r="H1334" t="s">
        <v>6062</v>
      </c>
      <c r="I1334" t="s">
        <v>842</v>
      </c>
      <c r="J1334" s="2" t="str">
        <f>HYPERLINK("https://www.facebook.com/100014853937648")</f>
        <v>https://www.facebook.com/100014853937648</v>
      </c>
      <c r="K1334">
        <v>1115</v>
      </c>
      <c r="L1334" t="s">
        <v>6063</v>
      </c>
      <c r="N1334" t="s">
        <v>13</v>
      </c>
      <c r="O1334" t="s">
        <v>842</v>
      </c>
      <c r="P1334" s="2" t="str">
        <f>HYPERLINK("https://www.facebook.com/100014853937648")</f>
        <v>https://www.facebook.com/100014853937648</v>
      </c>
      <c r="Q1334">
        <v>1115</v>
      </c>
      <c r="R1334" t="s">
        <v>6067</v>
      </c>
      <c r="S1334" t="s">
        <v>6073</v>
      </c>
    </row>
    <row r="1335" spans="1:19" ht="14.25" customHeight="1" x14ac:dyDescent="0.3">
      <c r="A1335" t="s">
        <v>5409</v>
      </c>
      <c r="B1335" t="s">
        <v>37</v>
      </c>
      <c r="C1335" t="s">
        <v>3538</v>
      </c>
      <c r="D1335" t="s">
        <v>5692</v>
      </c>
      <c r="E1335" t="s">
        <v>5693</v>
      </c>
      <c r="F1335" t="s">
        <v>6056</v>
      </c>
      <c r="G1335" s="2" t="str">
        <f>HYPERLINK("https://www.facebook.com/1522082968022297/posts/2104697256427529")</f>
        <v>https://www.facebook.com/1522082968022297/posts/2104697256427529</v>
      </c>
      <c r="H1335" t="s">
        <v>6062</v>
      </c>
      <c r="I1335" t="s">
        <v>5694</v>
      </c>
      <c r="J1335" s="2" t="str">
        <f>HYPERLINK("https://www.facebook.com/1522082968022297")</f>
        <v>https://www.facebook.com/1522082968022297</v>
      </c>
      <c r="K1335">
        <v>427</v>
      </c>
      <c r="L1335" t="s">
        <v>6065</v>
      </c>
      <c r="N1335" t="s">
        <v>13</v>
      </c>
      <c r="O1335" t="s">
        <v>5694</v>
      </c>
      <c r="P1335" s="2" t="str">
        <f>HYPERLINK("https://www.facebook.com/1522082968022297")</f>
        <v>https://www.facebook.com/1522082968022297</v>
      </c>
      <c r="Q1335">
        <v>427</v>
      </c>
      <c r="R1335" t="s">
        <v>6067</v>
      </c>
    </row>
    <row r="1336" spans="1:19" ht="14.25" customHeight="1" x14ac:dyDescent="0.3">
      <c r="A1336" t="s">
        <v>5409</v>
      </c>
      <c r="B1336" t="s">
        <v>834</v>
      </c>
      <c r="C1336" t="s">
        <v>3538</v>
      </c>
      <c r="D1336" t="s">
        <v>5533</v>
      </c>
      <c r="E1336" t="s">
        <v>5534</v>
      </c>
      <c r="F1336" t="s">
        <v>6057</v>
      </c>
      <c r="G1336" s="2" t="str">
        <f>HYPERLINK("https://www.facebook.com/564485843753419/posts/846730182195649")</f>
        <v>https://www.facebook.com/564485843753419/posts/846730182195649</v>
      </c>
      <c r="H1336" t="s">
        <v>6062</v>
      </c>
      <c r="I1336" t="s">
        <v>5535</v>
      </c>
      <c r="J1336" s="2" t="str">
        <f>HYPERLINK("https://www.facebook.com/564485843753419")</f>
        <v>https://www.facebook.com/564485843753419</v>
      </c>
      <c r="K1336">
        <v>6779</v>
      </c>
      <c r="L1336" t="s">
        <v>6065</v>
      </c>
      <c r="N1336" t="s">
        <v>13</v>
      </c>
      <c r="O1336" t="s">
        <v>5535</v>
      </c>
      <c r="P1336" s="2" t="str">
        <f>HYPERLINK("https://www.facebook.com/564485843753419")</f>
        <v>https://www.facebook.com/564485843753419</v>
      </c>
      <c r="Q1336">
        <v>6779</v>
      </c>
      <c r="R1336" t="s">
        <v>6067</v>
      </c>
    </row>
    <row r="1337" spans="1:19" ht="14.25" customHeight="1" x14ac:dyDescent="0.3">
      <c r="A1337" t="s">
        <v>629</v>
      </c>
      <c r="B1337" t="s">
        <v>1523</v>
      </c>
      <c r="C1337" t="s">
        <v>95</v>
      </c>
      <c r="D1337" t="s">
        <v>370</v>
      </c>
      <c r="E1337" t="s">
        <v>371</v>
      </c>
      <c r="F1337" t="s">
        <v>6058</v>
      </c>
      <c r="G1337" s="2" t="str">
        <f>HYPERLINK("https://www.facebook.com/100004502739589/posts/956245427868873")</f>
        <v>https://www.facebook.com/100004502739589/posts/956245427868873</v>
      </c>
      <c r="H1337" t="s">
        <v>6062</v>
      </c>
      <c r="I1337" t="s">
        <v>1526</v>
      </c>
      <c r="J1337" s="2" t="str">
        <f>HYPERLINK("https://www.facebook.com/100004502739589")</f>
        <v>https://www.facebook.com/100004502739589</v>
      </c>
      <c r="K1337">
        <v>2203</v>
      </c>
      <c r="L1337" t="s">
        <v>6063</v>
      </c>
      <c r="N1337" t="s">
        <v>13</v>
      </c>
      <c r="O1337" t="s">
        <v>1526</v>
      </c>
      <c r="P1337" s="2" t="str">
        <f>HYPERLINK("https://www.facebook.com/100004502739589")</f>
        <v>https://www.facebook.com/100004502739589</v>
      </c>
      <c r="Q1337">
        <v>2203</v>
      </c>
      <c r="R1337" t="s">
        <v>6067</v>
      </c>
      <c r="S1337" t="s">
        <v>6073</v>
      </c>
    </row>
    <row r="1338" spans="1:19" ht="14.25" customHeight="1" x14ac:dyDescent="0.3">
      <c r="A1338" t="s">
        <v>2225</v>
      </c>
      <c r="B1338" t="s">
        <v>2448</v>
      </c>
      <c r="C1338" t="s">
        <v>95</v>
      </c>
      <c r="D1338" t="s">
        <v>853</v>
      </c>
      <c r="E1338" t="s">
        <v>2451</v>
      </c>
      <c r="F1338" t="s">
        <v>6059</v>
      </c>
      <c r="G1338" s="2" t="str">
        <f>HYPERLINK("https://www.facebook.com/100008934274771/posts/1810262525948206?comment_id=1810294345945024")</f>
        <v>https://www.facebook.com/100008934274771/posts/1810262525948206?comment_id=1810294345945024</v>
      </c>
      <c r="H1338" t="s">
        <v>6062</v>
      </c>
      <c r="I1338" t="s">
        <v>2435</v>
      </c>
      <c r="J1338" s="2" t="str">
        <f>HYPERLINK("https://www.facebook.com/100015929071657")</f>
        <v>https://www.facebook.com/100015929071657</v>
      </c>
      <c r="K1338">
        <v>0</v>
      </c>
      <c r="L1338" t="s">
        <v>6063</v>
      </c>
      <c r="N1338" t="s">
        <v>13</v>
      </c>
      <c r="O1338" t="s">
        <v>856</v>
      </c>
      <c r="P1338" s="2" t="str">
        <f>HYPERLINK("https://www.facebook.com/100008934274771")</f>
        <v>https://www.facebook.com/100008934274771</v>
      </c>
      <c r="Q1338">
        <v>10395</v>
      </c>
      <c r="R1338" t="s">
        <v>6067</v>
      </c>
      <c r="S1338" t="s">
        <v>6073</v>
      </c>
    </row>
    <row r="1339" spans="1:19" ht="14.25" customHeight="1" x14ac:dyDescent="0.3">
      <c r="A1339" t="s">
        <v>2225</v>
      </c>
      <c r="B1339" t="s">
        <v>2433</v>
      </c>
      <c r="C1339" t="s">
        <v>95</v>
      </c>
      <c r="D1339" t="s">
        <v>853</v>
      </c>
      <c r="E1339" t="s">
        <v>2434</v>
      </c>
      <c r="F1339" t="s">
        <v>6059</v>
      </c>
      <c r="G1339" s="2" t="str">
        <f>HYPERLINK("https://www.facebook.com/100008934274771/posts/1810262525948206?comment_id=1810295172611608")</f>
        <v>https://www.facebook.com/100008934274771/posts/1810262525948206?comment_id=1810295172611608</v>
      </c>
      <c r="H1339" t="s">
        <v>6062</v>
      </c>
      <c r="I1339" t="s">
        <v>2435</v>
      </c>
      <c r="J1339" s="2" t="str">
        <f>HYPERLINK("https://www.facebook.com/100015929071657")</f>
        <v>https://www.facebook.com/100015929071657</v>
      </c>
      <c r="K1339">
        <v>0</v>
      </c>
      <c r="L1339" t="s">
        <v>6063</v>
      </c>
      <c r="N1339" t="s">
        <v>13</v>
      </c>
      <c r="O1339" t="s">
        <v>856</v>
      </c>
      <c r="P1339" s="2" t="str">
        <f>HYPERLINK("https://www.facebook.com/100008934274771")</f>
        <v>https://www.facebook.com/100008934274771</v>
      </c>
      <c r="Q1339">
        <v>10395</v>
      </c>
      <c r="R1339" t="s">
        <v>6067</v>
      </c>
      <c r="S1339" t="s">
        <v>6073</v>
      </c>
    </row>
    <row r="1340" spans="1:19" ht="14.25" customHeight="1" x14ac:dyDescent="0.3">
      <c r="A1340" t="s">
        <v>2225</v>
      </c>
      <c r="B1340" t="s">
        <v>728</v>
      </c>
      <c r="C1340" t="s">
        <v>95</v>
      </c>
      <c r="D1340" t="s">
        <v>853</v>
      </c>
      <c r="E1340" t="s">
        <v>2463</v>
      </c>
      <c r="F1340" t="s">
        <v>6059</v>
      </c>
      <c r="G1340" s="2" t="str">
        <f>HYPERLINK("https://www.facebook.com/100008934274771/posts/1810262525948206?comment_id=1810293599278432")</f>
        <v>https://www.facebook.com/100008934274771/posts/1810262525948206?comment_id=1810293599278432</v>
      </c>
      <c r="H1340" t="s">
        <v>6062</v>
      </c>
      <c r="I1340" t="s">
        <v>2435</v>
      </c>
      <c r="J1340" s="2" t="str">
        <f>HYPERLINK("https://www.facebook.com/100015929071657")</f>
        <v>https://www.facebook.com/100015929071657</v>
      </c>
      <c r="K1340">
        <v>0</v>
      </c>
      <c r="L1340" t="s">
        <v>6063</v>
      </c>
      <c r="N1340" t="s">
        <v>13</v>
      </c>
      <c r="O1340" t="s">
        <v>856</v>
      </c>
      <c r="P1340" s="2" t="str">
        <f>HYPERLINK("https://www.facebook.com/100008934274771")</f>
        <v>https://www.facebook.com/100008934274771</v>
      </c>
      <c r="Q1340">
        <v>10395</v>
      </c>
      <c r="R1340" t="s">
        <v>6067</v>
      </c>
      <c r="S1340" t="s">
        <v>6073</v>
      </c>
    </row>
    <row r="1341" spans="1:19" ht="14.25" customHeight="1" x14ac:dyDescent="0.3">
      <c r="A1341" t="s">
        <v>629</v>
      </c>
      <c r="B1341" t="s">
        <v>1579</v>
      </c>
      <c r="C1341" t="s">
        <v>95</v>
      </c>
      <c r="D1341" t="s">
        <v>370</v>
      </c>
      <c r="E1341" t="s">
        <v>371</v>
      </c>
      <c r="F1341" t="s">
        <v>6058</v>
      </c>
      <c r="G1341" s="2" t="str">
        <f>HYPERLINK("https://www.facebook.com/100013007463054/posts/433762997067279")</f>
        <v>https://www.facebook.com/100013007463054/posts/433762997067279</v>
      </c>
      <c r="H1341" t="s">
        <v>6062</v>
      </c>
      <c r="I1341" t="s">
        <v>1581</v>
      </c>
      <c r="J1341" s="2" t="str">
        <f>HYPERLINK("https://www.facebook.com/100013007463054")</f>
        <v>https://www.facebook.com/100013007463054</v>
      </c>
      <c r="K1341">
        <v>152</v>
      </c>
      <c r="L1341" t="s">
        <v>6063</v>
      </c>
      <c r="N1341" t="s">
        <v>13</v>
      </c>
      <c r="O1341" t="s">
        <v>1581</v>
      </c>
      <c r="P1341" s="2" t="str">
        <f>HYPERLINK("https://www.facebook.com/100013007463054")</f>
        <v>https://www.facebook.com/100013007463054</v>
      </c>
      <c r="Q1341">
        <v>152</v>
      </c>
      <c r="R1341" t="s">
        <v>6067</v>
      </c>
    </row>
    <row r="1342" spans="1:19" ht="14.25" customHeight="1" x14ac:dyDescent="0.3">
      <c r="A1342" t="s">
        <v>2225</v>
      </c>
      <c r="B1342" t="s">
        <v>762</v>
      </c>
      <c r="C1342" t="s">
        <v>95</v>
      </c>
      <c r="D1342" t="s">
        <v>544</v>
      </c>
      <c r="E1342" t="s">
        <v>545</v>
      </c>
      <c r="F1342" t="s">
        <v>6058</v>
      </c>
      <c r="G1342" s="2" t="str">
        <f>HYPERLINK("https://www.facebook.com/100009806116742/posts/607098372960361")</f>
        <v>https://www.facebook.com/100009806116742/posts/607098372960361</v>
      </c>
      <c r="H1342" t="s">
        <v>6062</v>
      </c>
      <c r="I1342" t="s">
        <v>1923</v>
      </c>
      <c r="J1342" s="2" t="str">
        <f>HYPERLINK("https://www.facebook.com/100009806116742")</f>
        <v>https://www.facebook.com/100009806116742</v>
      </c>
      <c r="K1342">
        <v>476</v>
      </c>
      <c r="L1342" t="s">
        <v>6064</v>
      </c>
      <c r="N1342" t="s">
        <v>13</v>
      </c>
      <c r="O1342" t="s">
        <v>1923</v>
      </c>
      <c r="P1342" s="2" t="str">
        <f>HYPERLINK("https://www.facebook.com/100009806116742")</f>
        <v>https://www.facebook.com/100009806116742</v>
      </c>
      <c r="Q1342">
        <v>476</v>
      </c>
      <c r="R1342" t="s">
        <v>6067</v>
      </c>
    </row>
    <row r="1343" spans="1:19" ht="14.25" customHeight="1" x14ac:dyDescent="0.3">
      <c r="A1343" t="s">
        <v>629</v>
      </c>
      <c r="B1343" t="s">
        <v>1917</v>
      </c>
      <c r="C1343" t="s">
        <v>95</v>
      </c>
      <c r="D1343" t="s">
        <v>370</v>
      </c>
      <c r="E1343" t="s">
        <v>371</v>
      </c>
      <c r="F1343" t="s">
        <v>6058</v>
      </c>
      <c r="G1343" s="2" t="str">
        <f>HYPERLINK("https://www.facebook.com/100009806116742/posts/607346089602256")</f>
        <v>https://www.facebook.com/100009806116742/posts/607346089602256</v>
      </c>
      <c r="H1343" t="s">
        <v>6062</v>
      </c>
      <c r="I1343" t="s">
        <v>1923</v>
      </c>
      <c r="J1343" s="2" t="str">
        <f>HYPERLINK("https://www.facebook.com/100009806116742")</f>
        <v>https://www.facebook.com/100009806116742</v>
      </c>
      <c r="K1343">
        <v>476</v>
      </c>
      <c r="L1343" t="s">
        <v>6064</v>
      </c>
      <c r="N1343" t="s">
        <v>13</v>
      </c>
      <c r="O1343" t="s">
        <v>1923</v>
      </c>
      <c r="P1343" s="2" t="str">
        <f>HYPERLINK("https://www.facebook.com/100009806116742")</f>
        <v>https://www.facebook.com/100009806116742</v>
      </c>
      <c r="Q1343">
        <v>476</v>
      </c>
      <c r="R1343" t="s">
        <v>6067</v>
      </c>
    </row>
    <row r="1344" spans="1:19" ht="14.25" customHeight="1" x14ac:dyDescent="0.3">
      <c r="A1344" t="s">
        <v>2225</v>
      </c>
      <c r="B1344" t="s">
        <v>2680</v>
      </c>
      <c r="C1344" t="s">
        <v>95</v>
      </c>
      <c r="D1344" t="s">
        <v>544</v>
      </c>
      <c r="E1344" t="s">
        <v>2681</v>
      </c>
      <c r="F1344" t="s">
        <v>6059</v>
      </c>
      <c r="G1344" s="2" t="str">
        <f>HYPERLINK("https://www.facebook.com/100007298550248/posts/2014497642136835?comment_id=2014511058802160")</f>
        <v>https://www.facebook.com/100007298550248/posts/2014497642136835?comment_id=2014511058802160</v>
      </c>
      <c r="H1344" t="s">
        <v>6062</v>
      </c>
      <c r="I1344" t="s">
        <v>2682</v>
      </c>
      <c r="J1344" s="2" t="str">
        <f>HYPERLINK("https://www.facebook.com/100001296876905")</f>
        <v>https://www.facebook.com/100001296876905</v>
      </c>
      <c r="K1344">
        <v>2243</v>
      </c>
      <c r="L1344" t="s">
        <v>6063</v>
      </c>
      <c r="N1344" t="s">
        <v>13</v>
      </c>
      <c r="O1344" t="s">
        <v>765</v>
      </c>
      <c r="P1344" s="2" t="str">
        <f>HYPERLINK("https://www.facebook.com/100007298550248")</f>
        <v>https://www.facebook.com/100007298550248</v>
      </c>
      <c r="Q1344">
        <v>4993</v>
      </c>
      <c r="R1344" t="s">
        <v>6067</v>
      </c>
      <c r="S1344" t="s">
        <v>6073</v>
      </c>
    </row>
    <row r="1345" spans="1:19" ht="14.25" customHeight="1" x14ac:dyDescent="0.3">
      <c r="A1345" t="s">
        <v>629</v>
      </c>
      <c r="B1345" t="s">
        <v>361</v>
      </c>
      <c r="C1345" t="s">
        <v>95</v>
      </c>
      <c r="D1345" t="s">
        <v>370</v>
      </c>
      <c r="E1345" t="s">
        <v>371</v>
      </c>
      <c r="F1345" t="s">
        <v>6058</v>
      </c>
      <c r="G1345" s="2" t="str">
        <f>HYPERLINK("https://www.facebook.com/100001973912204/posts/1621851704557278")</f>
        <v>https://www.facebook.com/100001973912204/posts/1621851704557278</v>
      </c>
      <c r="H1345" t="s">
        <v>6062</v>
      </c>
      <c r="I1345" t="s">
        <v>1653</v>
      </c>
      <c r="J1345" s="2" t="str">
        <f>HYPERLINK("https://www.facebook.com/100001973912204")</f>
        <v>https://www.facebook.com/100001973912204</v>
      </c>
      <c r="K1345">
        <v>4300</v>
      </c>
      <c r="L1345" t="s">
        <v>6063</v>
      </c>
      <c r="N1345" t="s">
        <v>13</v>
      </c>
      <c r="O1345" t="s">
        <v>1653</v>
      </c>
      <c r="P1345" s="2" t="str">
        <f>HYPERLINK("https://www.facebook.com/100001973912204")</f>
        <v>https://www.facebook.com/100001973912204</v>
      </c>
      <c r="Q1345">
        <v>4300</v>
      </c>
      <c r="R1345" t="s">
        <v>6067</v>
      </c>
      <c r="S1345" t="s">
        <v>6073</v>
      </c>
    </row>
    <row r="1346" spans="1:19" ht="14.25" customHeight="1" x14ac:dyDescent="0.3">
      <c r="A1346" t="s">
        <v>2225</v>
      </c>
      <c r="B1346" t="s">
        <v>2413</v>
      </c>
      <c r="C1346" t="s">
        <v>95</v>
      </c>
      <c r="D1346" t="s">
        <v>544</v>
      </c>
      <c r="E1346" t="s">
        <v>545</v>
      </c>
      <c r="F1346" t="s">
        <v>6058</v>
      </c>
      <c r="G1346" s="2" t="str">
        <f>HYPERLINK("https://www.facebook.com/100017775497285/posts/199679507301231")</f>
        <v>https://www.facebook.com/100017775497285/posts/199679507301231</v>
      </c>
      <c r="H1346" t="s">
        <v>6062</v>
      </c>
      <c r="I1346" t="s">
        <v>2416</v>
      </c>
      <c r="J1346" s="2" t="str">
        <f>HYPERLINK("https://www.facebook.com/100017775497285")</f>
        <v>https://www.facebook.com/100017775497285</v>
      </c>
      <c r="K1346">
        <v>175</v>
      </c>
      <c r="L1346" t="s">
        <v>6064</v>
      </c>
      <c r="N1346" t="s">
        <v>13</v>
      </c>
      <c r="O1346" t="s">
        <v>2416</v>
      </c>
      <c r="P1346" s="2" t="str">
        <f>HYPERLINK("https://www.facebook.com/100017775497285")</f>
        <v>https://www.facebook.com/100017775497285</v>
      </c>
      <c r="Q1346">
        <v>175</v>
      </c>
      <c r="R1346" t="s">
        <v>6067</v>
      </c>
      <c r="S1346" t="s">
        <v>6073</v>
      </c>
    </row>
    <row r="1347" spans="1:19" ht="14.25" customHeight="1" x14ac:dyDescent="0.3">
      <c r="A1347" t="s">
        <v>629</v>
      </c>
      <c r="B1347" t="s">
        <v>950</v>
      </c>
      <c r="C1347" t="s">
        <v>95</v>
      </c>
      <c r="D1347" t="s">
        <v>951</v>
      </c>
      <c r="E1347" t="s">
        <v>952</v>
      </c>
      <c r="F1347" t="s">
        <v>6057</v>
      </c>
      <c r="G1347" s="2" t="str">
        <f>HYPERLINK("https://www.facebook.com/100007366630888/posts/2029541333968068")</f>
        <v>https://www.facebook.com/100007366630888/posts/2029541333968068</v>
      </c>
      <c r="H1347" t="s">
        <v>6062</v>
      </c>
      <c r="I1347" t="s">
        <v>953</v>
      </c>
      <c r="J1347" s="2" t="str">
        <f>HYPERLINK("https://www.facebook.com/100007366630888")</f>
        <v>https://www.facebook.com/100007366630888</v>
      </c>
      <c r="K1347">
        <v>159</v>
      </c>
      <c r="L1347" t="s">
        <v>6063</v>
      </c>
      <c r="N1347" t="s">
        <v>13</v>
      </c>
      <c r="O1347" t="s">
        <v>953</v>
      </c>
      <c r="P1347" s="2" t="str">
        <f>HYPERLINK("https://www.facebook.com/100007366630888")</f>
        <v>https://www.facebook.com/100007366630888</v>
      </c>
      <c r="Q1347">
        <v>159</v>
      </c>
      <c r="R1347" t="s">
        <v>6067</v>
      </c>
      <c r="S1347" t="s">
        <v>6073</v>
      </c>
    </row>
    <row r="1348" spans="1:19" ht="14.25" customHeight="1" x14ac:dyDescent="0.3">
      <c r="A1348" t="s">
        <v>2225</v>
      </c>
      <c r="B1348" t="s">
        <v>2750</v>
      </c>
      <c r="C1348" t="s">
        <v>95</v>
      </c>
      <c r="D1348" t="s">
        <v>853</v>
      </c>
      <c r="E1348" t="s">
        <v>4</v>
      </c>
      <c r="F1348" t="s">
        <v>6059</v>
      </c>
      <c r="G1348" s="2" t="str">
        <f>HYPERLINK("https://www.facebook.com/100008934274771/posts/1810262525948206?comment_id=1810272852613840")</f>
        <v>https://www.facebook.com/100008934274771/posts/1810262525948206?comment_id=1810272852613840</v>
      </c>
      <c r="H1348" t="s">
        <v>6062</v>
      </c>
      <c r="I1348" t="s">
        <v>2758</v>
      </c>
      <c r="J1348" s="2" t="str">
        <f>HYPERLINK("https://www.facebook.com/100000972400834")</f>
        <v>https://www.facebook.com/100000972400834</v>
      </c>
      <c r="K1348">
        <v>1803</v>
      </c>
      <c r="L1348" t="s">
        <v>6063</v>
      </c>
      <c r="N1348" t="s">
        <v>13</v>
      </c>
      <c r="O1348" t="s">
        <v>856</v>
      </c>
      <c r="P1348" s="2" t="str">
        <f>HYPERLINK("https://www.facebook.com/100008934274771")</f>
        <v>https://www.facebook.com/100008934274771</v>
      </c>
      <c r="Q1348">
        <v>10395</v>
      </c>
      <c r="R1348" t="s">
        <v>6067</v>
      </c>
      <c r="S1348" t="s">
        <v>6073</v>
      </c>
    </row>
    <row r="1349" spans="1:19" ht="14.25" customHeight="1" x14ac:dyDescent="0.3">
      <c r="A1349" t="s">
        <v>629</v>
      </c>
      <c r="B1349" t="s">
        <v>740</v>
      </c>
      <c r="C1349" t="s">
        <v>95</v>
      </c>
      <c r="D1349" t="s">
        <v>544</v>
      </c>
      <c r="E1349" t="s">
        <v>545</v>
      </c>
      <c r="F1349" t="s">
        <v>6058</v>
      </c>
      <c r="G1349" s="2" t="str">
        <f>HYPERLINK("https://www.facebook.com/100021629022305/posts/204668273597472")</f>
        <v>https://www.facebook.com/100021629022305/posts/204668273597472</v>
      </c>
      <c r="H1349" t="s">
        <v>6062</v>
      </c>
      <c r="I1349" t="s">
        <v>741</v>
      </c>
      <c r="J1349" s="2" t="str">
        <f>HYPERLINK("https://www.facebook.com/100021629022305")</f>
        <v>https://www.facebook.com/100021629022305</v>
      </c>
      <c r="K1349">
        <v>75</v>
      </c>
      <c r="L1349" t="s">
        <v>6064</v>
      </c>
      <c r="N1349" t="s">
        <v>13</v>
      </c>
      <c r="O1349" t="s">
        <v>741</v>
      </c>
      <c r="P1349" s="2" t="str">
        <f>HYPERLINK("https://www.facebook.com/100021629022305")</f>
        <v>https://www.facebook.com/100021629022305</v>
      </c>
      <c r="Q1349">
        <v>75</v>
      </c>
      <c r="R1349" t="s">
        <v>6067</v>
      </c>
      <c r="S1349" t="s">
        <v>6073</v>
      </c>
    </row>
    <row r="1350" spans="1:19" ht="14.25" customHeight="1" x14ac:dyDescent="0.3">
      <c r="A1350" t="s">
        <v>3527</v>
      </c>
      <c r="B1350" t="s">
        <v>4170</v>
      </c>
      <c r="C1350" t="s">
        <v>95</v>
      </c>
      <c r="D1350" t="s">
        <v>4171</v>
      </c>
      <c r="E1350" t="s">
        <v>4172</v>
      </c>
      <c r="F1350" t="s">
        <v>6058</v>
      </c>
      <c r="G1350" s="2" t="str">
        <f>HYPERLINK("https://www.facebook.com/1596374753980925/posts/2039451663006563")</f>
        <v>https://www.facebook.com/1596374753980925/posts/2039451663006563</v>
      </c>
      <c r="H1350" t="s">
        <v>6062</v>
      </c>
      <c r="I1350" t="s">
        <v>4173</v>
      </c>
      <c r="J1350" s="2" t="str">
        <f>HYPERLINK("https://www.facebook.com/100023544593601")</f>
        <v>https://www.facebook.com/100023544593601</v>
      </c>
      <c r="K1350">
        <v>93</v>
      </c>
      <c r="L1350" t="s">
        <v>6064</v>
      </c>
      <c r="N1350" t="s">
        <v>13</v>
      </c>
      <c r="O1350" t="s">
        <v>4174</v>
      </c>
      <c r="P1350" s="2" t="str">
        <f>HYPERLINK("https://www.facebook.com/1596374753980925")</f>
        <v>https://www.facebook.com/1596374753980925</v>
      </c>
      <c r="R1350" t="s">
        <v>6067</v>
      </c>
    </row>
    <row r="1351" spans="1:19" ht="14.25" customHeight="1" x14ac:dyDescent="0.3">
      <c r="A1351" t="s">
        <v>4439</v>
      </c>
      <c r="B1351" t="s">
        <v>2494</v>
      </c>
      <c r="C1351" t="s">
        <v>3538</v>
      </c>
      <c r="D1351" t="s">
        <v>4171</v>
      </c>
      <c r="E1351" t="s">
        <v>4172</v>
      </c>
      <c r="F1351" t="s">
        <v>6058</v>
      </c>
      <c r="G1351" s="2" t="str">
        <f>HYPERLINK("https://www.facebook.com/1046767265371356/posts/198626517598833")</f>
        <v>https://www.facebook.com/1046767265371356/posts/198626517598833</v>
      </c>
      <c r="H1351" t="s">
        <v>6062</v>
      </c>
      <c r="I1351" t="s">
        <v>4173</v>
      </c>
      <c r="J1351" s="2" t="str">
        <f>HYPERLINK("https://www.facebook.com/100023544593601")</f>
        <v>https://www.facebook.com/100023544593601</v>
      </c>
      <c r="K1351">
        <v>93</v>
      </c>
      <c r="L1351" t="s">
        <v>6064</v>
      </c>
      <c r="N1351" t="s">
        <v>13</v>
      </c>
      <c r="O1351" t="s">
        <v>4486</v>
      </c>
      <c r="P1351" s="2" t="str">
        <f>HYPERLINK("https://www.facebook.com/1046767265371356")</f>
        <v>https://www.facebook.com/1046767265371356</v>
      </c>
      <c r="R1351" t="s">
        <v>6067</v>
      </c>
    </row>
    <row r="1352" spans="1:19" ht="14.25" customHeight="1" x14ac:dyDescent="0.3">
      <c r="A1352" t="s">
        <v>629</v>
      </c>
      <c r="B1352" t="s">
        <v>1117</v>
      </c>
      <c r="C1352" t="s">
        <v>95</v>
      </c>
      <c r="D1352" t="s">
        <v>370</v>
      </c>
      <c r="E1352" t="s">
        <v>371</v>
      </c>
      <c r="F1352" t="s">
        <v>6058</v>
      </c>
      <c r="G1352" s="2" t="str">
        <f>HYPERLINK("https://www.facebook.com/239038942922840/posts/937598293066898")</f>
        <v>https://www.facebook.com/239038942922840/posts/937598293066898</v>
      </c>
      <c r="H1352" t="s">
        <v>6062</v>
      </c>
      <c r="I1352" t="s">
        <v>1118</v>
      </c>
      <c r="J1352" s="2" t="str">
        <f t="shared" ref="J1352:J1371" si="35">HYPERLINK("https://www.facebook.com/100008810349036")</f>
        <v>https://www.facebook.com/100008810349036</v>
      </c>
      <c r="K1352">
        <v>362</v>
      </c>
      <c r="L1352" t="s">
        <v>6064</v>
      </c>
      <c r="N1352" t="s">
        <v>13</v>
      </c>
      <c r="O1352" t="s">
        <v>968</v>
      </c>
      <c r="P1352" s="2" t="str">
        <f>HYPERLINK("https://www.facebook.com/239038942922840")</f>
        <v>https://www.facebook.com/239038942922840</v>
      </c>
      <c r="Q1352">
        <v>4756</v>
      </c>
      <c r="R1352" t="s">
        <v>6067</v>
      </c>
      <c r="S1352" t="s">
        <v>6073</v>
      </c>
    </row>
    <row r="1353" spans="1:19" ht="14.25" customHeight="1" x14ac:dyDescent="0.3">
      <c r="A1353" t="s">
        <v>629</v>
      </c>
      <c r="B1353" t="s">
        <v>1548</v>
      </c>
      <c r="C1353" t="s">
        <v>95</v>
      </c>
      <c r="D1353" t="s">
        <v>370</v>
      </c>
      <c r="E1353" t="s">
        <v>371</v>
      </c>
      <c r="F1353" t="s">
        <v>6058</v>
      </c>
      <c r="G1353" s="2" t="str">
        <f>HYPERLINK("https://www.facebook.com/1736095469952719/posts/2162740473954881")</f>
        <v>https://www.facebook.com/1736095469952719/posts/2162740473954881</v>
      </c>
      <c r="H1353" t="s">
        <v>6062</v>
      </c>
      <c r="I1353" t="s">
        <v>1118</v>
      </c>
      <c r="J1353" s="2" t="str">
        <f t="shared" si="35"/>
        <v>https://www.facebook.com/100008810349036</v>
      </c>
      <c r="K1353">
        <v>362</v>
      </c>
      <c r="L1353" t="s">
        <v>6064</v>
      </c>
      <c r="N1353" t="s">
        <v>13</v>
      </c>
      <c r="O1353" t="s">
        <v>1549</v>
      </c>
      <c r="P1353" s="2" t="str">
        <f>HYPERLINK("https://www.facebook.com/1736095469952719")</f>
        <v>https://www.facebook.com/1736095469952719</v>
      </c>
      <c r="R1353" t="s">
        <v>6067</v>
      </c>
      <c r="S1353" t="s">
        <v>6073</v>
      </c>
    </row>
    <row r="1354" spans="1:19" ht="14.25" customHeight="1" x14ac:dyDescent="0.3">
      <c r="A1354" t="s">
        <v>629</v>
      </c>
      <c r="B1354" t="s">
        <v>1548</v>
      </c>
      <c r="C1354" t="s">
        <v>95</v>
      </c>
      <c r="D1354" t="s">
        <v>370</v>
      </c>
      <c r="E1354" t="s">
        <v>371</v>
      </c>
      <c r="F1354" t="s">
        <v>6058</v>
      </c>
      <c r="G1354" s="2" t="str">
        <f>HYPERLINK("https://www.facebook.com/1736095469952719/posts/1804983283138666")</f>
        <v>https://www.facebook.com/1736095469952719/posts/1804983283138666</v>
      </c>
      <c r="H1354" t="s">
        <v>6062</v>
      </c>
      <c r="I1354" t="s">
        <v>1118</v>
      </c>
      <c r="J1354" s="2" t="str">
        <f t="shared" si="35"/>
        <v>https://www.facebook.com/100008810349036</v>
      </c>
      <c r="K1354">
        <v>362</v>
      </c>
      <c r="L1354" t="s">
        <v>6064</v>
      </c>
      <c r="N1354" t="s">
        <v>13</v>
      </c>
      <c r="O1354" t="s">
        <v>1549</v>
      </c>
      <c r="P1354" s="2" t="str">
        <f>HYPERLINK("https://www.facebook.com/1736095469952719")</f>
        <v>https://www.facebook.com/1736095469952719</v>
      </c>
      <c r="R1354" t="s">
        <v>6067</v>
      </c>
      <c r="S1354" t="s">
        <v>6073</v>
      </c>
    </row>
    <row r="1355" spans="1:19" ht="14.25" customHeight="1" x14ac:dyDescent="0.3">
      <c r="A1355" t="s">
        <v>629</v>
      </c>
      <c r="B1355" t="s">
        <v>1548</v>
      </c>
      <c r="C1355" t="s">
        <v>95</v>
      </c>
      <c r="D1355" t="s">
        <v>370</v>
      </c>
      <c r="E1355" t="s">
        <v>371</v>
      </c>
      <c r="F1355" t="s">
        <v>6058</v>
      </c>
      <c r="G1355" s="2" t="str">
        <f>HYPERLINK("https://www.facebook.com/215702115202206/posts/1804983193138675")</f>
        <v>https://www.facebook.com/215702115202206/posts/1804983193138675</v>
      </c>
      <c r="H1355" t="s">
        <v>6062</v>
      </c>
      <c r="I1355" t="s">
        <v>1118</v>
      </c>
      <c r="J1355" s="2" t="str">
        <f t="shared" si="35"/>
        <v>https://www.facebook.com/100008810349036</v>
      </c>
      <c r="K1355">
        <v>362</v>
      </c>
      <c r="L1355" t="s">
        <v>6064</v>
      </c>
      <c r="N1355" t="s">
        <v>13</v>
      </c>
      <c r="O1355" t="s">
        <v>1550</v>
      </c>
      <c r="P1355" s="2" t="str">
        <f>HYPERLINK("https://www.facebook.com/215702115202206")</f>
        <v>https://www.facebook.com/215702115202206</v>
      </c>
      <c r="R1355" t="s">
        <v>6067</v>
      </c>
      <c r="S1355" t="s">
        <v>6073</v>
      </c>
    </row>
    <row r="1356" spans="1:19" ht="14.25" customHeight="1" x14ac:dyDescent="0.3">
      <c r="A1356" t="s">
        <v>629</v>
      </c>
      <c r="B1356" t="s">
        <v>1548</v>
      </c>
      <c r="C1356" t="s">
        <v>95</v>
      </c>
      <c r="D1356" t="s">
        <v>370</v>
      </c>
      <c r="E1356" t="s">
        <v>371</v>
      </c>
      <c r="F1356" t="s">
        <v>6058</v>
      </c>
      <c r="G1356" s="2" t="str">
        <f>HYPERLINK("https://www.facebook.com/215702115202206/posts/1410754202363652")</f>
        <v>https://www.facebook.com/215702115202206/posts/1410754202363652</v>
      </c>
      <c r="H1356" t="s">
        <v>6062</v>
      </c>
      <c r="I1356" t="s">
        <v>1118</v>
      </c>
      <c r="J1356" s="2" t="str">
        <f t="shared" si="35"/>
        <v>https://www.facebook.com/100008810349036</v>
      </c>
      <c r="K1356">
        <v>362</v>
      </c>
      <c r="L1356" t="s">
        <v>6064</v>
      </c>
      <c r="N1356" t="s">
        <v>13</v>
      </c>
      <c r="O1356" t="s">
        <v>1550</v>
      </c>
      <c r="P1356" s="2" t="str">
        <f>HYPERLINK("https://www.facebook.com/215702115202206")</f>
        <v>https://www.facebook.com/215702115202206</v>
      </c>
      <c r="R1356" t="s">
        <v>6067</v>
      </c>
      <c r="S1356" t="s">
        <v>6073</v>
      </c>
    </row>
    <row r="1357" spans="1:19" ht="14.25" customHeight="1" x14ac:dyDescent="0.3">
      <c r="A1357" t="s">
        <v>629</v>
      </c>
      <c r="B1357" t="s">
        <v>1548</v>
      </c>
      <c r="C1357" t="s">
        <v>95</v>
      </c>
      <c r="D1357" t="s">
        <v>370</v>
      </c>
      <c r="E1357" t="s">
        <v>371</v>
      </c>
      <c r="F1357" t="s">
        <v>6058</v>
      </c>
      <c r="G1357" s="2" t="str">
        <f>HYPERLINK("https://www.facebook.com/392231080929765/posts/1804983169805344")</f>
        <v>https://www.facebook.com/392231080929765/posts/1804983169805344</v>
      </c>
      <c r="H1357" t="s">
        <v>6062</v>
      </c>
      <c r="I1357" t="s">
        <v>1118</v>
      </c>
      <c r="J1357" s="2" t="str">
        <f t="shared" si="35"/>
        <v>https://www.facebook.com/100008810349036</v>
      </c>
      <c r="K1357">
        <v>362</v>
      </c>
      <c r="L1357" t="s">
        <v>6064</v>
      </c>
      <c r="N1357" t="s">
        <v>13</v>
      </c>
      <c r="O1357" t="s">
        <v>1551</v>
      </c>
      <c r="P1357" s="2" t="str">
        <f>HYPERLINK("https://www.facebook.com/392231080929765")</f>
        <v>https://www.facebook.com/392231080929765</v>
      </c>
      <c r="Q1357">
        <v>98</v>
      </c>
      <c r="R1357" t="s">
        <v>6067</v>
      </c>
      <c r="S1357" t="s">
        <v>6073</v>
      </c>
    </row>
    <row r="1358" spans="1:19" ht="14.25" customHeight="1" x14ac:dyDescent="0.3">
      <c r="A1358" t="s">
        <v>629</v>
      </c>
      <c r="B1358" t="s">
        <v>1548</v>
      </c>
      <c r="C1358" t="s">
        <v>95</v>
      </c>
      <c r="D1358" t="s">
        <v>370</v>
      </c>
      <c r="E1358" t="s">
        <v>371</v>
      </c>
      <c r="F1358" t="s">
        <v>6058</v>
      </c>
      <c r="G1358" s="2" t="str">
        <f>HYPERLINK("https://www.facebook.com/392231080929765/posts/1008588335960700")</f>
        <v>https://www.facebook.com/392231080929765/posts/1008588335960700</v>
      </c>
      <c r="H1358" t="s">
        <v>6062</v>
      </c>
      <c r="I1358" t="s">
        <v>1118</v>
      </c>
      <c r="J1358" s="2" t="str">
        <f t="shared" si="35"/>
        <v>https://www.facebook.com/100008810349036</v>
      </c>
      <c r="K1358">
        <v>362</v>
      </c>
      <c r="L1358" t="s">
        <v>6064</v>
      </c>
      <c r="N1358" t="s">
        <v>13</v>
      </c>
      <c r="O1358" t="s">
        <v>1551</v>
      </c>
      <c r="P1358" s="2" t="str">
        <f>HYPERLINK("https://www.facebook.com/392231080929765")</f>
        <v>https://www.facebook.com/392231080929765</v>
      </c>
      <c r="Q1358">
        <v>98</v>
      </c>
      <c r="R1358" t="s">
        <v>6067</v>
      </c>
      <c r="S1358" t="s">
        <v>6073</v>
      </c>
    </row>
    <row r="1359" spans="1:19" ht="14.25" customHeight="1" x14ac:dyDescent="0.3">
      <c r="A1359" t="s">
        <v>629</v>
      </c>
      <c r="B1359" t="s">
        <v>1548</v>
      </c>
      <c r="C1359" t="s">
        <v>95</v>
      </c>
      <c r="D1359" t="s">
        <v>370</v>
      </c>
      <c r="E1359" t="s">
        <v>371</v>
      </c>
      <c r="F1359" t="s">
        <v>6058</v>
      </c>
      <c r="G1359" s="2" t="str">
        <f>HYPERLINK("https://www.facebook.com/928591253893251/posts/1661719107247125")</f>
        <v>https://www.facebook.com/928591253893251/posts/1661719107247125</v>
      </c>
      <c r="H1359" t="s">
        <v>6062</v>
      </c>
      <c r="I1359" t="s">
        <v>1118</v>
      </c>
      <c r="J1359" s="2" t="str">
        <f t="shared" si="35"/>
        <v>https://www.facebook.com/100008810349036</v>
      </c>
      <c r="K1359">
        <v>362</v>
      </c>
      <c r="L1359" t="s">
        <v>6064</v>
      </c>
      <c r="N1359" t="s">
        <v>13</v>
      </c>
      <c r="O1359" t="s">
        <v>1552</v>
      </c>
      <c r="P1359" s="2" t="str">
        <f>HYPERLINK("https://www.facebook.com/928591253893251")</f>
        <v>https://www.facebook.com/928591253893251</v>
      </c>
      <c r="R1359" t="s">
        <v>6067</v>
      </c>
      <c r="S1359" t="s">
        <v>6073</v>
      </c>
    </row>
    <row r="1360" spans="1:19" ht="14.25" customHeight="1" x14ac:dyDescent="0.3">
      <c r="A1360" t="s">
        <v>629</v>
      </c>
      <c r="B1360" t="s">
        <v>1548</v>
      </c>
      <c r="C1360" t="s">
        <v>95</v>
      </c>
      <c r="D1360" t="s">
        <v>370</v>
      </c>
      <c r="E1360" t="s">
        <v>371</v>
      </c>
      <c r="F1360" t="s">
        <v>6058</v>
      </c>
      <c r="G1360" s="2" t="str">
        <f>HYPERLINK("https://www.facebook.com/928591253893251/posts/1804983146472013")</f>
        <v>https://www.facebook.com/928591253893251/posts/1804983146472013</v>
      </c>
      <c r="H1360" t="s">
        <v>6062</v>
      </c>
      <c r="I1360" t="s">
        <v>1118</v>
      </c>
      <c r="J1360" s="2" t="str">
        <f t="shared" si="35"/>
        <v>https://www.facebook.com/100008810349036</v>
      </c>
      <c r="K1360">
        <v>362</v>
      </c>
      <c r="L1360" t="s">
        <v>6064</v>
      </c>
      <c r="N1360" t="s">
        <v>13</v>
      </c>
      <c r="O1360" t="s">
        <v>1552</v>
      </c>
      <c r="P1360" s="2" t="str">
        <f>HYPERLINK("https://www.facebook.com/928591253893251")</f>
        <v>https://www.facebook.com/928591253893251</v>
      </c>
      <c r="R1360" t="s">
        <v>6067</v>
      </c>
      <c r="S1360" t="s">
        <v>6073</v>
      </c>
    </row>
    <row r="1361" spans="1:19" ht="14.25" customHeight="1" x14ac:dyDescent="0.3">
      <c r="A1361" t="s">
        <v>629</v>
      </c>
      <c r="B1361" t="s">
        <v>1548</v>
      </c>
      <c r="C1361" t="s">
        <v>95</v>
      </c>
      <c r="D1361" t="s">
        <v>370</v>
      </c>
      <c r="E1361" t="s">
        <v>371</v>
      </c>
      <c r="F1361" t="s">
        <v>6058</v>
      </c>
      <c r="G1361" s="2" t="str">
        <f>HYPERLINK("https://www.facebook.com/807503986021638/posts/1804983126472015")</f>
        <v>https://www.facebook.com/807503986021638/posts/1804983126472015</v>
      </c>
      <c r="H1361" t="s">
        <v>6062</v>
      </c>
      <c r="I1361" t="s">
        <v>1118</v>
      </c>
      <c r="J1361" s="2" t="str">
        <f t="shared" si="35"/>
        <v>https://www.facebook.com/100008810349036</v>
      </c>
      <c r="K1361">
        <v>362</v>
      </c>
      <c r="L1361" t="s">
        <v>6064</v>
      </c>
      <c r="N1361" t="s">
        <v>13</v>
      </c>
      <c r="O1361" t="s">
        <v>1358</v>
      </c>
      <c r="P1361" s="2" t="str">
        <f>HYPERLINK("https://www.facebook.com/807503986021638")</f>
        <v>https://www.facebook.com/807503986021638</v>
      </c>
      <c r="Q1361">
        <v>424</v>
      </c>
      <c r="R1361" t="s">
        <v>6067</v>
      </c>
      <c r="S1361" t="s">
        <v>6073</v>
      </c>
    </row>
    <row r="1362" spans="1:19" ht="14.25" customHeight="1" x14ac:dyDescent="0.3">
      <c r="A1362" t="s">
        <v>629</v>
      </c>
      <c r="B1362" t="s">
        <v>1548</v>
      </c>
      <c r="C1362" t="s">
        <v>95</v>
      </c>
      <c r="D1362" t="s">
        <v>370</v>
      </c>
      <c r="E1362" t="s">
        <v>371</v>
      </c>
      <c r="F1362" t="s">
        <v>6058</v>
      </c>
      <c r="G1362" s="2" t="str">
        <f>HYPERLINK("https://www.facebook.com/807503986021638/posts/1473024766136220")</f>
        <v>https://www.facebook.com/807503986021638/posts/1473024766136220</v>
      </c>
      <c r="H1362" t="s">
        <v>6062</v>
      </c>
      <c r="I1362" t="s">
        <v>1118</v>
      </c>
      <c r="J1362" s="2" t="str">
        <f t="shared" si="35"/>
        <v>https://www.facebook.com/100008810349036</v>
      </c>
      <c r="K1362">
        <v>362</v>
      </c>
      <c r="L1362" t="s">
        <v>6064</v>
      </c>
      <c r="N1362" t="s">
        <v>13</v>
      </c>
      <c r="O1362" t="s">
        <v>1358</v>
      </c>
      <c r="P1362" s="2" t="str">
        <f>HYPERLINK("https://www.facebook.com/807503986021638")</f>
        <v>https://www.facebook.com/807503986021638</v>
      </c>
      <c r="Q1362">
        <v>424</v>
      </c>
      <c r="R1362" t="s">
        <v>6067</v>
      </c>
      <c r="S1362" t="s">
        <v>6073</v>
      </c>
    </row>
    <row r="1363" spans="1:19" ht="14.25" customHeight="1" x14ac:dyDescent="0.3">
      <c r="A1363" t="s">
        <v>629</v>
      </c>
      <c r="B1363" t="s">
        <v>1548</v>
      </c>
      <c r="C1363" t="s">
        <v>95</v>
      </c>
      <c r="D1363" t="s">
        <v>370</v>
      </c>
      <c r="E1363" t="s">
        <v>371</v>
      </c>
      <c r="F1363" t="s">
        <v>6058</v>
      </c>
      <c r="G1363" s="2" t="str">
        <f>HYPERLINK("https://www.facebook.com/1484354755167164/posts/2030470270555607")</f>
        <v>https://www.facebook.com/1484354755167164/posts/2030470270555607</v>
      </c>
      <c r="H1363" t="s">
        <v>6062</v>
      </c>
      <c r="I1363" t="s">
        <v>1118</v>
      </c>
      <c r="J1363" s="2" t="str">
        <f t="shared" si="35"/>
        <v>https://www.facebook.com/100008810349036</v>
      </c>
      <c r="K1363">
        <v>362</v>
      </c>
      <c r="L1363" t="s">
        <v>6064</v>
      </c>
      <c r="N1363" t="s">
        <v>13</v>
      </c>
      <c r="O1363" t="s">
        <v>1553</v>
      </c>
      <c r="P1363" s="2" t="str">
        <f>HYPERLINK("https://www.facebook.com/1484354755167164")</f>
        <v>https://www.facebook.com/1484354755167164</v>
      </c>
      <c r="R1363" t="s">
        <v>6067</v>
      </c>
      <c r="S1363" t="s">
        <v>6073</v>
      </c>
    </row>
    <row r="1364" spans="1:19" ht="14.25" customHeight="1" x14ac:dyDescent="0.3">
      <c r="A1364" t="s">
        <v>629</v>
      </c>
      <c r="B1364" t="s">
        <v>1548</v>
      </c>
      <c r="C1364" t="s">
        <v>95</v>
      </c>
      <c r="D1364" t="s">
        <v>370</v>
      </c>
      <c r="E1364" t="s">
        <v>371</v>
      </c>
      <c r="F1364" t="s">
        <v>6058</v>
      </c>
      <c r="G1364" s="2" t="str">
        <f>HYPERLINK("https://www.facebook.com/1484354755167164/posts/1804983103138684")</f>
        <v>https://www.facebook.com/1484354755167164/posts/1804983103138684</v>
      </c>
      <c r="H1364" t="s">
        <v>6062</v>
      </c>
      <c r="I1364" t="s">
        <v>1118</v>
      </c>
      <c r="J1364" s="2" t="str">
        <f t="shared" si="35"/>
        <v>https://www.facebook.com/100008810349036</v>
      </c>
      <c r="K1364">
        <v>362</v>
      </c>
      <c r="L1364" t="s">
        <v>6064</v>
      </c>
      <c r="N1364" t="s">
        <v>13</v>
      </c>
      <c r="O1364" t="s">
        <v>1553</v>
      </c>
      <c r="P1364" s="2" t="str">
        <f>HYPERLINK("https://www.facebook.com/1484354755167164")</f>
        <v>https://www.facebook.com/1484354755167164</v>
      </c>
      <c r="R1364" t="s">
        <v>6067</v>
      </c>
      <c r="S1364" t="s">
        <v>6073</v>
      </c>
    </row>
    <row r="1365" spans="1:19" ht="14.25" customHeight="1" x14ac:dyDescent="0.3">
      <c r="A1365" t="s">
        <v>629</v>
      </c>
      <c r="B1365" t="s">
        <v>1548</v>
      </c>
      <c r="C1365" t="s">
        <v>95</v>
      </c>
      <c r="D1365" t="s">
        <v>370</v>
      </c>
      <c r="E1365" t="s">
        <v>371</v>
      </c>
      <c r="F1365" t="s">
        <v>6058</v>
      </c>
      <c r="G1365" s="2" t="str">
        <f>HYPERLINK("https://www.facebook.com/683604768349811/posts/1804983073138687")</f>
        <v>https://www.facebook.com/683604768349811/posts/1804983073138687</v>
      </c>
      <c r="H1365" t="s">
        <v>6062</v>
      </c>
      <c r="I1365" t="s">
        <v>1118</v>
      </c>
      <c r="J1365" s="2" t="str">
        <f t="shared" si="35"/>
        <v>https://www.facebook.com/100008810349036</v>
      </c>
      <c r="K1365">
        <v>362</v>
      </c>
      <c r="L1365" t="s">
        <v>6064</v>
      </c>
      <c r="N1365" t="s">
        <v>13</v>
      </c>
      <c r="O1365" t="s">
        <v>1554</v>
      </c>
      <c r="P1365" s="2" t="str">
        <f>HYPERLINK("https://www.facebook.com/683604768349811")</f>
        <v>https://www.facebook.com/683604768349811</v>
      </c>
      <c r="Q1365">
        <v>202</v>
      </c>
      <c r="R1365" t="s">
        <v>6067</v>
      </c>
      <c r="S1365" t="s">
        <v>6073</v>
      </c>
    </row>
    <row r="1366" spans="1:19" ht="14.25" customHeight="1" x14ac:dyDescent="0.3">
      <c r="A1366" t="s">
        <v>629</v>
      </c>
      <c r="B1366" t="s">
        <v>1548</v>
      </c>
      <c r="C1366" t="s">
        <v>95</v>
      </c>
      <c r="D1366" t="s">
        <v>370</v>
      </c>
      <c r="E1366" t="s">
        <v>371</v>
      </c>
      <c r="F1366" t="s">
        <v>6058</v>
      </c>
      <c r="G1366" s="2" t="str">
        <f>HYPERLINK("https://www.facebook.com/683604768349811/posts/1831140753596201")</f>
        <v>https://www.facebook.com/683604768349811/posts/1831140753596201</v>
      </c>
      <c r="H1366" t="s">
        <v>6062</v>
      </c>
      <c r="I1366" t="s">
        <v>1118</v>
      </c>
      <c r="J1366" s="2" t="str">
        <f t="shared" si="35"/>
        <v>https://www.facebook.com/100008810349036</v>
      </c>
      <c r="K1366">
        <v>362</v>
      </c>
      <c r="L1366" t="s">
        <v>6064</v>
      </c>
      <c r="N1366" t="s">
        <v>13</v>
      </c>
      <c r="O1366" t="s">
        <v>1554</v>
      </c>
      <c r="P1366" s="2" t="str">
        <f>HYPERLINK("https://www.facebook.com/683604768349811")</f>
        <v>https://www.facebook.com/683604768349811</v>
      </c>
      <c r="Q1366">
        <v>202</v>
      </c>
      <c r="R1366" t="s">
        <v>6067</v>
      </c>
      <c r="S1366" t="s">
        <v>6073</v>
      </c>
    </row>
    <row r="1367" spans="1:19" ht="14.25" customHeight="1" x14ac:dyDescent="0.3">
      <c r="A1367" t="s">
        <v>629</v>
      </c>
      <c r="B1367" t="s">
        <v>1548</v>
      </c>
      <c r="C1367" t="s">
        <v>95</v>
      </c>
      <c r="D1367" t="s">
        <v>370</v>
      </c>
      <c r="E1367" t="s">
        <v>371</v>
      </c>
      <c r="F1367" t="s">
        <v>6058</v>
      </c>
      <c r="G1367" s="2" t="str">
        <f>HYPERLINK("https://www.facebook.com/1695362954016409/posts/1804983049805356")</f>
        <v>https://www.facebook.com/1695362954016409/posts/1804983049805356</v>
      </c>
      <c r="H1367" t="s">
        <v>6062</v>
      </c>
      <c r="I1367" t="s">
        <v>1118</v>
      </c>
      <c r="J1367" s="2" t="str">
        <f t="shared" si="35"/>
        <v>https://www.facebook.com/100008810349036</v>
      </c>
      <c r="K1367">
        <v>362</v>
      </c>
      <c r="L1367" t="s">
        <v>6064</v>
      </c>
      <c r="N1367" t="s">
        <v>13</v>
      </c>
      <c r="O1367" t="s">
        <v>1555</v>
      </c>
      <c r="P1367" s="2" t="str">
        <f>HYPERLINK("https://www.facebook.com/1695362954016409")</f>
        <v>https://www.facebook.com/1695362954016409</v>
      </c>
      <c r="Q1367">
        <v>487</v>
      </c>
      <c r="R1367" t="s">
        <v>6067</v>
      </c>
      <c r="S1367" t="s">
        <v>6073</v>
      </c>
    </row>
    <row r="1368" spans="1:19" ht="14.25" customHeight="1" x14ac:dyDescent="0.3">
      <c r="A1368" t="s">
        <v>629</v>
      </c>
      <c r="B1368" t="s">
        <v>1548</v>
      </c>
      <c r="C1368" t="s">
        <v>95</v>
      </c>
      <c r="D1368" t="s">
        <v>370</v>
      </c>
      <c r="E1368" t="s">
        <v>371</v>
      </c>
      <c r="F1368" t="s">
        <v>6058</v>
      </c>
      <c r="G1368" s="2" t="str">
        <f>HYPERLINK("https://www.facebook.com/1695362954016409/posts/2124821604403873")</f>
        <v>https://www.facebook.com/1695362954016409/posts/2124821604403873</v>
      </c>
      <c r="H1368" t="s">
        <v>6062</v>
      </c>
      <c r="I1368" t="s">
        <v>1118</v>
      </c>
      <c r="J1368" s="2" t="str">
        <f t="shared" si="35"/>
        <v>https://www.facebook.com/100008810349036</v>
      </c>
      <c r="K1368">
        <v>362</v>
      </c>
      <c r="L1368" t="s">
        <v>6064</v>
      </c>
      <c r="N1368" t="s">
        <v>13</v>
      </c>
      <c r="O1368" t="s">
        <v>1555</v>
      </c>
      <c r="P1368" s="2" t="str">
        <f>HYPERLINK("https://www.facebook.com/1695362954016409")</f>
        <v>https://www.facebook.com/1695362954016409</v>
      </c>
      <c r="Q1368">
        <v>487</v>
      </c>
      <c r="R1368" t="s">
        <v>6067</v>
      </c>
      <c r="S1368" t="s">
        <v>6073</v>
      </c>
    </row>
    <row r="1369" spans="1:19" ht="14.25" customHeight="1" x14ac:dyDescent="0.3">
      <c r="A1369" t="s">
        <v>629</v>
      </c>
      <c r="B1369" t="s">
        <v>1548</v>
      </c>
      <c r="C1369" t="s">
        <v>95</v>
      </c>
      <c r="D1369" t="s">
        <v>370</v>
      </c>
      <c r="E1369" t="s">
        <v>371</v>
      </c>
      <c r="F1369" t="s">
        <v>6058</v>
      </c>
      <c r="G1369" s="2" t="str">
        <f>HYPERLINK("https://www.facebook.com/315710265289945/posts/1804983009805360")</f>
        <v>https://www.facebook.com/315710265289945/posts/1804983009805360</v>
      </c>
      <c r="H1369" t="s">
        <v>6062</v>
      </c>
      <c r="I1369" t="s">
        <v>1118</v>
      </c>
      <c r="J1369" s="2" t="str">
        <f t="shared" si="35"/>
        <v>https://www.facebook.com/100008810349036</v>
      </c>
      <c r="K1369">
        <v>362</v>
      </c>
      <c r="L1369" t="s">
        <v>6064</v>
      </c>
      <c r="N1369" t="s">
        <v>13</v>
      </c>
      <c r="O1369" t="s">
        <v>1503</v>
      </c>
      <c r="P1369" s="2" t="str">
        <f>HYPERLINK("https://www.facebook.com/315710265289945")</f>
        <v>https://www.facebook.com/315710265289945</v>
      </c>
      <c r="Q1369">
        <v>100</v>
      </c>
      <c r="R1369" t="s">
        <v>6067</v>
      </c>
      <c r="S1369" t="s">
        <v>6073</v>
      </c>
    </row>
    <row r="1370" spans="1:19" ht="14.25" customHeight="1" x14ac:dyDescent="0.3">
      <c r="A1370" t="s">
        <v>629</v>
      </c>
      <c r="B1370" t="s">
        <v>1548</v>
      </c>
      <c r="C1370" t="s">
        <v>95</v>
      </c>
      <c r="D1370" t="s">
        <v>370</v>
      </c>
      <c r="E1370" t="s">
        <v>371</v>
      </c>
      <c r="F1370" t="s">
        <v>6058</v>
      </c>
      <c r="G1370" s="2" t="str">
        <f>HYPERLINK("https://www.facebook.com/315710265289945/posts/808873455973621")</f>
        <v>https://www.facebook.com/315710265289945/posts/808873455973621</v>
      </c>
      <c r="H1370" t="s">
        <v>6062</v>
      </c>
      <c r="I1370" t="s">
        <v>1118</v>
      </c>
      <c r="J1370" s="2" t="str">
        <f t="shared" si="35"/>
        <v>https://www.facebook.com/100008810349036</v>
      </c>
      <c r="K1370">
        <v>362</v>
      </c>
      <c r="L1370" t="s">
        <v>6064</v>
      </c>
      <c r="N1370" t="s">
        <v>13</v>
      </c>
      <c r="O1370" t="s">
        <v>1503</v>
      </c>
      <c r="P1370" s="2" t="str">
        <f>HYPERLINK("https://www.facebook.com/315710265289945")</f>
        <v>https://www.facebook.com/315710265289945</v>
      </c>
      <c r="Q1370">
        <v>100</v>
      </c>
      <c r="R1370" t="s">
        <v>6067</v>
      </c>
      <c r="S1370" t="s">
        <v>6073</v>
      </c>
    </row>
    <row r="1371" spans="1:19" ht="14.25" customHeight="1" x14ac:dyDescent="0.3">
      <c r="A1371" t="s">
        <v>629</v>
      </c>
      <c r="B1371" t="s">
        <v>1548</v>
      </c>
      <c r="C1371" t="s">
        <v>95</v>
      </c>
      <c r="D1371" t="s">
        <v>370</v>
      </c>
      <c r="E1371" t="s">
        <v>371</v>
      </c>
      <c r="F1371" t="s">
        <v>6058</v>
      </c>
      <c r="G1371" s="2" t="str">
        <f>HYPERLINK("https://www.facebook.com/1320347444652343/posts/1804982909805370")</f>
        <v>https://www.facebook.com/1320347444652343/posts/1804982909805370</v>
      </c>
      <c r="H1371" t="s">
        <v>6062</v>
      </c>
      <c r="I1371" t="s">
        <v>1118</v>
      </c>
      <c r="J1371" s="2" t="str">
        <f t="shared" si="35"/>
        <v>https://www.facebook.com/100008810349036</v>
      </c>
      <c r="K1371">
        <v>362</v>
      </c>
      <c r="L1371" t="s">
        <v>6064</v>
      </c>
      <c r="N1371" t="s">
        <v>13</v>
      </c>
      <c r="O1371" t="s">
        <v>1359</v>
      </c>
      <c r="P1371" s="2" t="str">
        <f>HYPERLINK("https://www.facebook.com/1320347444652343")</f>
        <v>https://www.facebook.com/1320347444652343</v>
      </c>
      <c r="R1371" t="s">
        <v>6067</v>
      </c>
      <c r="S1371" t="s">
        <v>6073</v>
      </c>
    </row>
    <row r="1372" spans="1:19" ht="14.25" customHeight="1" x14ac:dyDescent="0.3">
      <c r="A1372" t="s">
        <v>5409</v>
      </c>
      <c r="B1372" t="s">
        <v>288</v>
      </c>
      <c r="C1372" t="s">
        <v>3538</v>
      </c>
      <c r="D1372" t="s">
        <v>2321</v>
      </c>
      <c r="E1372" t="s">
        <v>5822</v>
      </c>
      <c r="F1372" t="s">
        <v>6056</v>
      </c>
      <c r="G1372" s="2" t="str">
        <f>HYPERLINK("https://www.facebook.com/100001607286622/posts/1783338758396350")</f>
        <v>https://www.facebook.com/100001607286622/posts/1783338758396350</v>
      </c>
      <c r="H1372" t="s">
        <v>6062</v>
      </c>
      <c r="I1372" t="s">
        <v>5823</v>
      </c>
      <c r="J1372" s="2" t="str">
        <f>HYPERLINK("https://www.facebook.com/100001607286622")</f>
        <v>https://www.facebook.com/100001607286622</v>
      </c>
      <c r="K1372">
        <v>295</v>
      </c>
      <c r="L1372" t="s">
        <v>6063</v>
      </c>
      <c r="N1372" t="s">
        <v>13</v>
      </c>
      <c r="O1372" t="s">
        <v>5823</v>
      </c>
      <c r="P1372" s="2" t="str">
        <f>HYPERLINK("https://www.facebook.com/100001607286622")</f>
        <v>https://www.facebook.com/100001607286622</v>
      </c>
      <c r="Q1372">
        <v>295</v>
      </c>
      <c r="R1372" t="s">
        <v>6067</v>
      </c>
      <c r="S1372" t="s">
        <v>6073</v>
      </c>
    </row>
    <row r="1373" spans="1:19" ht="14.25" customHeight="1" x14ac:dyDescent="0.3">
      <c r="A1373" t="s">
        <v>2225</v>
      </c>
      <c r="B1373" t="s">
        <v>2594</v>
      </c>
      <c r="C1373" t="s">
        <v>95</v>
      </c>
      <c r="D1373" t="s">
        <v>544</v>
      </c>
      <c r="E1373" t="s">
        <v>545</v>
      </c>
      <c r="F1373" t="s">
        <v>6058</v>
      </c>
      <c r="G1373" s="2" t="str">
        <f>HYPERLINK("https://www.facebook.com/100009515051027/posts/2002323896761426")</f>
        <v>https://www.facebook.com/100009515051027/posts/2002323896761426</v>
      </c>
      <c r="H1373" t="s">
        <v>6062</v>
      </c>
      <c r="I1373" t="s">
        <v>2595</v>
      </c>
      <c r="J1373" s="2" t="str">
        <f>HYPERLINK("https://www.facebook.com/100009515051027")</f>
        <v>https://www.facebook.com/100009515051027</v>
      </c>
      <c r="K1373">
        <v>38</v>
      </c>
      <c r="L1373" t="s">
        <v>6063</v>
      </c>
      <c r="N1373" t="s">
        <v>13</v>
      </c>
      <c r="O1373" t="s">
        <v>2595</v>
      </c>
      <c r="P1373" s="2" t="str">
        <f>HYPERLINK("https://www.facebook.com/100009515051027")</f>
        <v>https://www.facebook.com/100009515051027</v>
      </c>
      <c r="Q1373">
        <v>38</v>
      </c>
      <c r="R1373" t="s">
        <v>6067</v>
      </c>
      <c r="S1373" t="s">
        <v>6073</v>
      </c>
    </row>
    <row r="1374" spans="1:19" ht="14.25" customHeight="1" x14ac:dyDescent="0.3">
      <c r="A1374" t="s">
        <v>629</v>
      </c>
      <c r="B1374" t="s">
        <v>693</v>
      </c>
      <c r="C1374" t="s">
        <v>95</v>
      </c>
      <c r="D1374" t="s">
        <v>370</v>
      </c>
      <c r="E1374" t="s">
        <v>371</v>
      </c>
      <c r="F1374" t="s">
        <v>6058</v>
      </c>
      <c r="G1374" s="2" t="str">
        <f>HYPERLINK("https://www.facebook.com/100013077970988/posts/440963253016270")</f>
        <v>https://www.facebook.com/100013077970988/posts/440963253016270</v>
      </c>
      <c r="H1374" t="s">
        <v>6062</v>
      </c>
      <c r="I1374" t="s">
        <v>694</v>
      </c>
      <c r="J1374" s="2" t="str">
        <f>HYPERLINK("https://www.facebook.com/100013077970988")</f>
        <v>https://www.facebook.com/100013077970988</v>
      </c>
      <c r="K1374">
        <v>295</v>
      </c>
      <c r="L1374" t="s">
        <v>6063</v>
      </c>
      <c r="N1374" t="s">
        <v>13</v>
      </c>
      <c r="O1374" t="s">
        <v>694</v>
      </c>
      <c r="P1374" s="2" t="str">
        <f>HYPERLINK("https://www.facebook.com/100013077970988")</f>
        <v>https://www.facebook.com/100013077970988</v>
      </c>
      <c r="Q1374">
        <v>295</v>
      </c>
      <c r="R1374" t="s">
        <v>6067</v>
      </c>
    </row>
    <row r="1375" spans="1:19" ht="14.25" customHeight="1" x14ac:dyDescent="0.3">
      <c r="A1375" t="s">
        <v>629</v>
      </c>
      <c r="B1375" t="s">
        <v>345</v>
      </c>
      <c r="C1375" t="s">
        <v>95</v>
      </c>
      <c r="D1375" t="s">
        <v>370</v>
      </c>
      <c r="E1375" t="s">
        <v>371</v>
      </c>
      <c r="F1375" t="s">
        <v>6058</v>
      </c>
      <c r="G1375" s="2" t="str">
        <f>HYPERLINK("https://www.facebook.com/100000765093534/posts/1652469641455190")</f>
        <v>https://www.facebook.com/100000765093534/posts/1652469641455190</v>
      </c>
      <c r="H1375" t="s">
        <v>6062</v>
      </c>
      <c r="I1375" t="s">
        <v>1563</v>
      </c>
      <c r="J1375" s="2" t="str">
        <f>HYPERLINK("https://www.facebook.com/100000765093534")</f>
        <v>https://www.facebook.com/100000765093534</v>
      </c>
      <c r="K1375">
        <v>649</v>
      </c>
      <c r="L1375" t="s">
        <v>6063</v>
      </c>
      <c r="N1375" t="s">
        <v>13</v>
      </c>
      <c r="O1375" t="s">
        <v>1563</v>
      </c>
      <c r="P1375" s="2" t="str">
        <f>HYPERLINK("https://www.facebook.com/100000765093534")</f>
        <v>https://www.facebook.com/100000765093534</v>
      </c>
      <c r="Q1375">
        <v>649</v>
      </c>
      <c r="R1375" t="s">
        <v>6067</v>
      </c>
      <c r="S1375" t="s">
        <v>6073</v>
      </c>
    </row>
    <row r="1376" spans="1:19" ht="14.25" customHeight="1" x14ac:dyDescent="0.3">
      <c r="A1376" t="s">
        <v>2225</v>
      </c>
      <c r="B1376" t="s">
        <v>984</v>
      </c>
      <c r="C1376" t="s">
        <v>95</v>
      </c>
      <c r="D1376" t="s">
        <v>2898</v>
      </c>
      <c r="E1376" t="s">
        <v>2899</v>
      </c>
      <c r="F1376" t="s">
        <v>6058</v>
      </c>
      <c r="G1376" s="2" t="str">
        <f>HYPERLINK("https://www.facebook.com/1079489068780366/posts/1860089277387004")</f>
        <v>https://www.facebook.com/1079489068780366/posts/1860089277387004</v>
      </c>
      <c r="H1376" t="s">
        <v>6062</v>
      </c>
      <c r="I1376" t="s">
        <v>3070</v>
      </c>
      <c r="J1376" s="2" t="str">
        <f>HYPERLINK("https://www.facebook.com/100005458218667")</f>
        <v>https://www.facebook.com/100005458218667</v>
      </c>
      <c r="K1376">
        <v>674</v>
      </c>
      <c r="L1376" t="s">
        <v>6063</v>
      </c>
      <c r="N1376" t="s">
        <v>13</v>
      </c>
      <c r="O1376" t="s">
        <v>295</v>
      </c>
      <c r="P1376" s="2" t="str">
        <f>HYPERLINK("https://www.facebook.com/1079489068780366")</f>
        <v>https://www.facebook.com/1079489068780366</v>
      </c>
      <c r="R1376" t="s">
        <v>6067</v>
      </c>
    </row>
    <row r="1377" spans="1:19" ht="14.25" customHeight="1" x14ac:dyDescent="0.3">
      <c r="A1377" t="s">
        <v>3527</v>
      </c>
      <c r="B1377" t="s">
        <v>4241</v>
      </c>
      <c r="C1377" t="s">
        <v>3538</v>
      </c>
      <c r="D1377" t="s">
        <v>4243</v>
      </c>
      <c r="E1377" t="s">
        <v>4244</v>
      </c>
      <c r="F1377" t="s">
        <v>6058</v>
      </c>
      <c r="G1377" s="2" t="str">
        <f>HYPERLINK("https://www.facebook.com/1079489068780366/posts/1858872320842033")</f>
        <v>https://www.facebook.com/1079489068780366/posts/1858872320842033</v>
      </c>
      <c r="H1377" t="s">
        <v>6062</v>
      </c>
      <c r="I1377" t="s">
        <v>3070</v>
      </c>
      <c r="J1377" s="2" t="str">
        <f>HYPERLINK("https://www.facebook.com/100005458218667")</f>
        <v>https://www.facebook.com/100005458218667</v>
      </c>
      <c r="K1377">
        <v>674</v>
      </c>
      <c r="L1377" t="s">
        <v>6063</v>
      </c>
      <c r="N1377" t="s">
        <v>13</v>
      </c>
      <c r="O1377" t="s">
        <v>295</v>
      </c>
      <c r="P1377" s="2" t="str">
        <f>HYPERLINK("https://www.facebook.com/1079489068780366")</f>
        <v>https://www.facebook.com/1079489068780366</v>
      </c>
      <c r="R1377" t="s">
        <v>6067</v>
      </c>
    </row>
    <row r="1378" spans="1:19" ht="14.25" customHeight="1" x14ac:dyDescent="0.3">
      <c r="A1378" t="s">
        <v>629</v>
      </c>
      <c r="B1378" t="s">
        <v>1795</v>
      </c>
      <c r="C1378" t="s">
        <v>95</v>
      </c>
      <c r="D1378" t="s">
        <v>370</v>
      </c>
      <c r="E1378" t="s">
        <v>371</v>
      </c>
      <c r="F1378" t="s">
        <v>6058</v>
      </c>
      <c r="G1378" s="2" t="str">
        <f>HYPERLINK("https://www.facebook.com/100003312259100/posts/1622182607902132")</f>
        <v>https://www.facebook.com/100003312259100/posts/1622182607902132</v>
      </c>
      <c r="H1378" t="s">
        <v>6062</v>
      </c>
      <c r="I1378" t="s">
        <v>1800</v>
      </c>
      <c r="J1378" s="2" t="str">
        <f>HYPERLINK("https://www.facebook.com/100003312259100")</f>
        <v>https://www.facebook.com/100003312259100</v>
      </c>
      <c r="K1378">
        <v>29</v>
      </c>
      <c r="L1378" t="s">
        <v>6063</v>
      </c>
      <c r="N1378" t="s">
        <v>13</v>
      </c>
      <c r="O1378" t="s">
        <v>1800</v>
      </c>
      <c r="P1378" s="2" t="str">
        <f>HYPERLINK("https://www.facebook.com/100003312259100")</f>
        <v>https://www.facebook.com/100003312259100</v>
      </c>
      <c r="Q1378">
        <v>29</v>
      </c>
      <c r="R1378" t="s">
        <v>6067</v>
      </c>
      <c r="S1378" t="s">
        <v>6073</v>
      </c>
    </row>
    <row r="1379" spans="1:19" ht="14.25" customHeight="1" x14ac:dyDescent="0.3">
      <c r="A1379" t="s">
        <v>2225</v>
      </c>
      <c r="B1379" t="s">
        <v>2494</v>
      </c>
      <c r="C1379" t="s">
        <v>95</v>
      </c>
      <c r="D1379" t="s">
        <v>544</v>
      </c>
      <c r="E1379" t="s">
        <v>545</v>
      </c>
      <c r="F1379" t="s">
        <v>6058</v>
      </c>
      <c r="G1379" s="2" t="str">
        <f>HYPERLINK("https://www.facebook.com/100003961778793/posts/1113226285486087")</f>
        <v>https://www.facebook.com/100003961778793/posts/1113226285486087</v>
      </c>
      <c r="H1379" t="s">
        <v>6062</v>
      </c>
      <c r="I1379" t="s">
        <v>2510</v>
      </c>
      <c r="J1379" s="2" t="str">
        <f>HYPERLINK("https://www.facebook.com/100003961778793")</f>
        <v>https://www.facebook.com/100003961778793</v>
      </c>
      <c r="K1379">
        <v>405</v>
      </c>
      <c r="L1379" t="s">
        <v>6063</v>
      </c>
      <c r="N1379" t="s">
        <v>13</v>
      </c>
      <c r="O1379" t="s">
        <v>2510</v>
      </c>
      <c r="P1379" s="2" t="str">
        <f>HYPERLINK("https://www.facebook.com/100003961778793")</f>
        <v>https://www.facebook.com/100003961778793</v>
      </c>
      <c r="Q1379">
        <v>405</v>
      </c>
      <c r="R1379" t="s">
        <v>6067</v>
      </c>
      <c r="S1379" t="s">
        <v>6073</v>
      </c>
    </row>
    <row r="1380" spans="1:19" ht="14.25" customHeight="1" x14ac:dyDescent="0.3">
      <c r="A1380" t="s">
        <v>5409</v>
      </c>
      <c r="B1380" t="s">
        <v>595</v>
      </c>
      <c r="C1380" t="s">
        <v>3538</v>
      </c>
      <c r="D1380" t="s">
        <v>4216</v>
      </c>
      <c r="E1380" t="s">
        <v>4217</v>
      </c>
      <c r="F1380" t="s">
        <v>6058</v>
      </c>
      <c r="G1380" s="2" t="str">
        <f>HYPERLINK("https://www.facebook.com/100017248204910/posts/212478366003769")</f>
        <v>https://www.facebook.com/100017248204910/posts/212478366003769</v>
      </c>
      <c r="H1380" t="s">
        <v>6062</v>
      </c>
      <c r="I1380" t="s">
        <v>1501</v>
      </c>
      <c r="J1380" s="2" t="str">
        <f>HYPERLINK("https://www.facebook.com/100017248204910")</f>
        <v>https://www.facebook.com/100017248204910</v>
      </c>
      <c r="K1380">
        <v>66</v>
      </c>
      <c r="L1380" t="s">
        <v>6064</v>
      </c>
      <c r="N1380" t="s">
        <v>13</v>
      </c>
      <c r="O1380" t="s">
        <v>1501</v>
      </c>
      <c r="P1380" s="2" t="str">
        <f>HYPERLINK("https://www.facebook.com/100017248204910")</f>
        <v>https://www.facebook.com/100017248204910</v>
      </c>
      <c r="Q1380">
        <v>66</v>
      </c>
      <c r="R1380" t="s">
        <v>6067</v>
      </c>
      <c r="S1380" t="s">
        <v>6073</v>
      </c>
    </row>
    <row r="1381" spans="1:19" ht="14.25" customHeight="1" x14ac:dyDescent="0.3">
      <c r="A1381" t="s">
        <v>5409</v>
      </c>
      <c r="B1381" t="s">
        <v>6015</v>
      </c>
      <c r="C1381" t="s">
        <v>3538</v>
      </c>
      <c r="D1381" t="s">
        <v>3780</v>
      </c>
      <c r="E1381" t="s">
        <v>5696</v>
      </c>
      <c r="F1381" t="s">
        <v>6058</v>
      </c>
      <c r="G1381" s="2" t="str">
        <f>HYPERLINK("https://www.facebook.com/100017248204910/posts/212478176003788")</f>
        <v>https://www.facebook.com/100017248204910/posts/212478176003788</v>
      </c>
      <c r="H1381" t="s">
        <v>6062</v>
      </c>
      <c r="I1381" t="s">
        <v>1501</v>
      </c>
      <c r="J1381" s="2" t="str">
        <f>HYPERLINK("https://www.facebook.com/100017248204910")</f>
        <v>https://www.facebook.com/100017248204910</v>
      </c>
      <c r="K1381">
        <v>66</v>
      </c>
      <c r="L1381" t="s">
        <v>6064</v>
      </c>
      <c r="N1381" t="s">
        <v>13</v>
      </c>
      <c r="O1381" t="s">
        <v>1501</v>
      </c>
      <c r="P1381" s="2" t="str">
        <f>HYPERLINK("https://www.facebook.com/100017248204910")</f>
        <v>https://www.facebook.com/100017248204910</v>
      </c>
      <c r="Q1381">
        <v>66</v>
      </c>
      <c r="R1381" t="s">
        <v>6067</v>
      </c>
      <c r="S1381" t="s">
        <v>6073</v>
      </c>
    </row>
    <row r="1382" spans="1:19" ht="14.25" customHeight="1" x14ac:dyDescent="0.3">
      <c r="A1382" t="s">
        <v>629</v>
      </c>
      <c r="B1382" t="s">
        <v>279</v>
      </c>
      <c r="C1382" t="s">
        <v>95</v>
      </c>
      <c r="D1382" t="s">
        <v>370</v>
      </c>
      <c r="E1382" t="s">
        <v>371</v>
      </c>
      <c r="F1382" t="s">
        <v>6058</v>
      </c>
      <c r="G1382" s="2" t="str">
        <f>HYPERLINK("https://www.facebook.com/220854325155650/posts/214242845827321")</f>
        <v>https://www.facebook.com/220854325155650/posts/214242845827321</v>
      </c>
      <c r="H1382" t="s">
        <v>6062</v>
      </c>
      <c r="I1382" t="s">
        <v>1501</v>
      </c>
      <c r="J1382" s="2" t="str">
        <f>HYPERLINK("https://www.facebook.com/100017248204910")</f>
        <v>https://www.facebook.com/100017248204910</v>
      </c>
      <c r="K1382">
        <v>66</v>
      </c>
      <c r="L1382" t="s">
        <v>6064</v>
      </c>
      <c r="N1382" t="s">
        <v>13</v>
      </c>
      <c r="O1382" t="s">
        <v>1502</v>
      </c>
      <c r="P1382" s="2" t="str">
        <f>HYPERLINK("https://www.facebook.com/220854325155650")</f>
        <v>https://www.facebook.com/220854325155650</v>
      </c>
      <c r="R1382" t="s">
        <v>6067</v>
      </c>
      <c r="S1382" t="s">
        <v>6073</v>
      </c>
    </row>
    <row r="1383" spans="1:19" ht="14.25" customHeight="1" x14ac:dyDescent="0.3">
      <c r="A1383" t="s">
        <v>629</v>
      </c>
      <c r="B1383" t="s">
        <v>279</v>
      </c>
      <c r="C1383" t="s">
        <v>95</v>
      </c>
      <c r="D1383" t="s">
        <v>370</v>
      </c>
      <c r="E1383" t="s">
        <v>371</v>
      </c>
      <c r="F1383" t="s">
        <v>6058</v>
      </c>
      <c r="G1383" s="2" t="str">
        <f>HYPERLINK("https://www.facebook.com/315710265289945/posts/808880455972921")</f>
        <v>https://www.facebook.com/315710265289945/posts/808880455972921</v>
      </c>
      <c r="H1383" t="s">
        <v>6062</v>
      </c>
      <c r="I1383" t="s">
        <v>1501</v>
      </c>
      <c r="J1383" s="2" t="str">
        <f>HYPERLINK("https://www.facebook.com/100017248204910")</f>
        <v>https://www.facebook.com/100017248204910</v>
      </c>
      <c r="K1383">
        <v>66</v>
      </c>
      <c r="L1383" t="s">
        <v>6064</v>
      </c>
      <c r="N1383" t="s">
        <v>13</v>
      </c>
      <c r="O1383" t="s">
        <v>1503</v>
      </c>
      <c r="P1383" s="2" t="str">
        <f>HYPERLINK("https://www.facebook.com/315710265289945")</f>
        <v>https://www.facebook.com/315710265289945</v>
      </c>
      <c r="Q1383">
        <v>100</v>
      </c>
      <c r="R1383" t="s">
        <v>6067</v>
      </c>
      <c r="S1383" t="s">
        <v>6073</v>
      </c>
    </row>
    <row r="1384" spans="1:19" ht="14.25" customHeight="1" x14ac:dyDescent="0.3">
      <c r="A1384" t="s">
        <v>629</v>
      </c>
      <c r="B1384" t="s">
        <v>279</v>
      </c>
      <c r="C1384" t="s">
        <v>95</v>
      </c>
      <c r="D1384" t="s">
        <v>370</v>
      </c>
      <c r="E1384" t="s">
        <v>371</v>
      </c>
      <c r="F1384" t="s">
        <v>6058</v>
      </c>
      <c r="G1384" s="2" t="str">
        <f>HYPERLINK("https://www.facebook.com/315710265289945/posts/214242822493990")</f>
        <v>https://www.facebook.com/315710265289945/posts/214242822493990</v>
      </c>
      <c r="H1384" t="s">
        <v>6062</v>
      </c>
      <c r="I1384" t="s">
        <v>1501</v>
      </c>
      <c r="J1384" s="2" t="str">
        <f>HYPERLINK("https://www.facebook.com/100017248204910")</f>
        <v>https://www.facebook.com/100017248204910</v>
      </c>
      <c r="K1384">
        <v>66</v>
      </c>
      <c r="L1384" t="s">
        <v>6064</v>
      </c>
      <c r="N1384" t="s">
        <v>13</v>
      </c>
      <c r="O1384" t="s">
        <v>1503</v>
      </c>
      <c r="P1384" s="2" t="str">
        <f>HYPERLINK("https://www.facebook.com/315710265289945")</f>
        <v>https://www.facebook.com/315710265289945</v>
      </c>
      <c r="Q1384">
        <v>100</v>
      </c>
      <c r="R1384" t="s">
        <v>6067</v>
      </c>
      <c r="S1384" t="s">
        <v>6073</v>
      </c>
    </row>
    <row r="1385" spans="1:19" ht="14.25" customHeight="1" x14ac:dyDescent="0.3">
      <c r="A1385" t="s">
        <v>4439</v>
      </c>
      <c r="B1385" t="s">
        <v>923</v>
      </c>
      <c r="C1385" t="s">
        <v>3538</v>
      </c>
      <c r="D1385" t="s">
        <v>4313</v>
      </c>
      <c r="E1385" t="s">
        <v>4579</v>
      </c>
      <c r="F1385" t="s">
        <v>6059</v>
      </c>
      <c r="G1385" s="2" t="str">
        <f>HYPERLINK("https://www.facebook.com/100015988325813/posts/251269498749326?comment_id=251277682081841")</f>
        <v>https://www.facebook.com/100015988325813/posts/251269498749326?comment_id=251277682081841</v>
      </c>
      <c r="H1385" t="s">
        <v>6062</v>
      </c>
      <c r="I1385" t="s">
        <v>4316</v>
      </c>
      <c r="J1385" s="2" t="str">
        <f>HYPERLINK("https://www.facebook.com/100015988325813")</f>
        <v>https://www.facebook.com/100015988325813</v>
      </c>
      <c r="K1385">
        <v>11</v>
      </c>
      <c r="L1385" t="s">
        <v>6063</v>
      </c>
      <c r="N1385" t="s">
        <v>13</v>
      </c>
      <c r="O1385" t="s">
        <v>4316</v>
      </c>
      <c r="P1385" s="2" t="str">
        <f>HYPERLINK("https://www.facebook.com/100015988325813")</f>
        <v>https://www.facebook.com/100015988325813</v>
      </c>
      <c r="Q1385">
        <v>11</v>
      </c>
      <c r="R1385" t="s">
        <v>6067</v>
      </c>
    </row>
    <row r="1386" spans="1:19" ht="14.25" customHeight="1" x14ac:dyDescent="0.3">
      <c r="A1386" t="s">
        <v>4439</v>
      </c>
      <c r="B1386" t="s">
        <v>3980</v>
      </c>
      <c r="C1386" t="s">
        <v>3538</v>
      </c>
      <c r="D1386" t="s">
        <v>4313</v>
      </c>
      <c r="E1386" t="s">
        <v>4593</v>
      </c>
      <c r="F1386" t="s">
        <v>6056</v>
      </c>
      <c r="G1386" s="2" t="str">
        <f>HYPERLINK("https://www.facebook.com/100015988325813/posts/251269498749326")</f>
        <v>https://www.facebook.com/100015988325813/posts/251269498749326</v>
      </c>
      <c r="H1386" t="s">
        <v>6062</v>
      </c>
      <c r="I1386" t="s">
        <v>4316</v>
      </c>
      <c r="J1386" s="2" t="str">
        <f>HYPERLINK("https://www.facebook.com/100015988325813")</f>
        <v>https://www.facebook.com/100015988325813</v>
      </c>
      <c r="K1386">
        <v>11</v>
      </c>
      <c r="L1386" t="s">
        <v>6063</v>
      </c>
      <c r="N1386" t="s">
        <v>13</v>
      </c>
      <c r="O1386" t="s">
        <v>4316</v>
      </c>
      <c r="P1386" s="2" t="str">
        <f>HYPERLINK("https://www.facebook.com/100015988325813")</f>
        <v>https://www.facebook.com/100015988325813</v>
      </c>
      <c r="Q1386">
        <v>11</v>
      </c>
      <c r="R1386" t="s">
        <v>6067</v>
      </c>
    </row>
    <row r="1387" spans="1:19" ht="14.25" customHeight="1" x14ac:dyDescent="0.3">
      <c r="A1387" t="s">
        <v>5409</v>
      </c>
      <c r="B1387" t="s">
        <v>6005</v>
      </c>
      <c r="C1387" t="s">
        <v>3538</v>
      </c>
      <c r="D1387" t="s">
        <v>3780</v>
      </c>
      <c r="E1387" t="s">
        <v>3781</v>
      </c>
      <c r="F1387" t="s">
        <v>6058</v>
      </c>
      <c r="G1387" s="2" t="str">
        <f>HYPERLINK("https://www.facebook.com/100015296712569/posts/353712888481932")</f>
        <v>https://www.facebook.com/100015296712569/posts/353712888481932</v>
      </c>
      <c r="H1387" t="s">
        <v>6062</v>
      </c>
      <c r="I1387" t="s">
        <v>2770</v>
      </c>
      <c r="J1387" s="2" t="str">
        <f>HYPERLINK("https://www.facebook.com/100015296712569")</f>
        <v>https://www.facebook.com/100015296712569</v>
      </c>
      <c r="K1387">
        <v>100</v>
      </c>
      <c r="L1387" t="s">
        <v>6063</v>
      </c>
      <c r="N1387" t="s">
        <v>13</v>
      </c>
      <c r="O1387" t="s">
        <v>2770</v>
      </c>
      <c r="P1387" s="2" t="str">
        <f>HYPERLINK("https://www.facebook.com/100015296712569")</f>
        <v>https://www.facebook.com/100015296712569</v>
      </c>
      <c r="Q1387">
        <v>100</v>
      </c>
      <c r="R1387" t="s">
        <v>6067</v>
      </c>
      <c r="S1387" t="s">
        <v>6073</v>
      </c>
    </row>
    <row r="1388" spans="1:19" ht="14.25" customHeight="1" x14ac:dyDescent="0.3">
      <c r="A1388" t="s">
        <v>2225</v>
      </c>
      <c r="B1388" t="s">
        <v>2766</v>
      </c>
      <c r="C1388" t="s">
        <v>95</v>
      </c>
      <c r="D1388" t="s">
        <v>544</v>
      </c>
      <c r="E1388" t="s">
        <v>545</v>
      </c>
      <c r="F1388" t="s">
        <v>6058</v>
      </c>
      <c r="G1388" s="2" t="str">
        <f>HYPERLINK("https://www.facebook.com/100015296712569/posts/355859318267289")</f>
        <v>https://www.facebook.com/100015296712569/posts/355859318267289</v>
      </c>
      <c r="H1388" t="s">
        <v>6062</v>
      </c>
      <c r="I1388" t="s">
        <v>2770</v>
      </c>
      <c r="J1388" s="2" t="str">
        <f>HYPERLINK("https://www.facebook.com/100015296712569")</f>
        <v>https://www.facebook.com/100015296712569</v>
      </c>
      <c r="K1388">
        <v>100</v>
      </c>
      <c r="L1388" t="s">
        <v>6063</v>
      </c>
      <c r="N1388" t="s">
        <v>13</v>
      </c>
      <c r="O1388" t="s">
        <v>2770</v>
      </c>
      <c r="P1388" s="2" t="str">
        <f>HYPERLINK("https://www.facebook.com/100015296712569")</f>
        <v>https://www.facebook.com/100015296712569</v>
      </c>
      <c r="Q1388">
        <v>100</v>
      </c>
      <c r="R1388" t="s">
        <v>6067</v>
      </c>
      <c r="S1388" t="s">
        <v>6073</v>
      </c>
    </row>
    <row r="1389" spans="1:19" ht="14.25" customHeight="1" x14ac:dyDescent="0.3">
      <c r="A1389" t="s">
        <v>2225</v>
      </c>
      <c r="B1389" t="s">
        <v>2653</v>
      </c>
      <c r="C1389" t="s">
        <v>95</v>
      </c>
      <c r="D1389" t="s">
        <v>544</v>
      </c>
      <c r="E1389" t="s">
        <v>545</v>
      </c>
      <c r="F1389" t="s">
        <v>6058</v>
      </c>
      <c r="G1389" s="2" t="str">
        <f>HYPERLINK("https://www.facebook.com/100011770126210/posts/488575294878137")</f>
        <v>https://www.facebook.com/100011770126210/posts/488575294878137</v>
      </c>
      <c r="H1389" t="s">
        <v>6062</v>
      </c>
      <c r="I1389" t="s">
        <v>2655</v>
      </c>
      <c r="J1389" s="2" t="str">
        <f>HYPERLINK("https://www.facebook.com/100011770126210")</f>
        <v>https://www.facebook.com/100011770126210</v>
      </c>
      <c r="K1389">
        <v>301</v>
      </c>
      <c r="L1389" t="s">
        <v>6063</v>
      </c>
      <c r="N1389" t="s">
        <v>13</v>
      </c>
      <c r="O1389" t="s">
        <v>2655</v>
      </c>
      <c r="P1389" s="2" t="str">
        <f>HYPERLINK("https://www.facebook.com/100011770126210")</f>
        <v>https://www.facebook.com/100011770126210</v>
      </c>
      <c r="Q1389">
        <v>301</v>
      </c>
      <c r="R1389" t="s">
        <v>6067</v>
      </c>
    </row>
    <row r="1390" spans="1:19" ht="14.25" customHeight="1" x14ac:dyDescent="0.3">
      <c r="A1390" t="s">
        <v>2225</v>
      </c>
      <c r="B1390" t="s">
        <v>2653</v>
      </c>
      <c r="C1390" t="s">
        <v>95</v>
      </c>
      <c r="D1390" t="s">
        <v>544</v>
      </c>
      <c r="E1390" t="s">
        <v>545</v>
      </c>
      <c r="F1390" t="s">
        <v>6058</v>
      </c>
      <c r="G1390" s="2" t="str">
        <f>HYPERLINK("https://www.facebook.com/100011770126210/posts/488575194878147")</f>
        <v>https://www.facebook.com/100011770126210/posts/488575194878147</v>
      </c>
      <c r="H1390" t="s">
        <v>6062</v>
      </c>
      <c r="I1390" t="s">
        <v>2655</v>
      </c>
      <c r="J1390" s="2" t="str">
        <f>HYPERLINK("https://www.facebook.com/100011770126210")</f>
        <v>https://www.facebook.com/100011770126210</v>
      </c>
      <c r="K1390">
        <v>301</v>
      </c>
      <c r="L1390" t="s">
        <v>6063</v>
      </c>
      <c r="N1390" t="s">
        <v>13</v>
      </c>
      <c r="O1390" t="s">
        <v>2655</v>
      </c>
      <c r="P1390" s="2" t="str">
        <f>HYPERLINK("https://www.facebook.com/100011770126210")</f>
        <v>https://www.facebook.com/100011770126210</v>
      </c>
      <c r="Q1390">
        <v>301</v>
      </c>
      <c r="R1390" t="s">
        <v>6067</v>
      </c>
    </row>
    <row r="1391" spans="1:19" ht="14.25" customHeight="1" x14ac:dyDescent="0.3">
      <c r="A1391" t="s">
        <v>629</v>
      </c>
      <c r="B1391" t="s">
        <v>1813</v>
      </c>
      <c r="C1391" t="s">
        <v>95</v>
      </c>
      <c r="D1391" t="s">
        <v>370</v>
      </c>
      <c r="E1391" t="s">
        <v>371</v>
      </c>
      <c r="F1391" t="s">
        <v>6058</v>
      </c>
      <c r="G1391" s="2" t="str">
        <f>HYPERLINK("https://www.facebook.com/100010920247761/posts/555683824805621")</f>
        <v>https://www.facebook.com/100010920247761/posts/555683824805621</v>
      </c>
      <c r="H1391" t="s">
        <v>6062</v>
      </c>
      <c r="I1391" t="s">
        <v>1816</v>
      </c>
      <c r="J1391" s="2" t="str">
        <f>HYPERLINK("https://www.facebook.com/100010920247761")</f>
        <v>https://www.facebook.com/100010920247761</v>
      </c>
      <c r="K1391">
        <v>4951</v>
      </c>
      <c r="L1391" t="s">
        <v>6063</v>
      </c>
      <c r="N1391" t="s">
        <v>13</v>
      </c>
      <c r="O1391" t="s">
        <v>1816</v>
      </c>
      <c r="P1391" s="2" t="str">
        <f>HYPERLINK("https://www.facebook.com/100010920247761")</f>
        <v>https://www.facebook.com/100010920247761</v>
      </c>
      <c r="Q1391">
        <v>4951</v>
      </c>
      <c r="R1391" t="s">
        <v>6067</v>
      </c>
      <c r="S1391" t="s">
        <v>6073</v>
      </c>
    </row>
    <row r="1392" spans="1:19" ht="14.25" customHeight="1" x14ac:dyDescent="0.3">
      <c r="A1392" t="s">
        <v>629</v>
      </c>
      <c r="B1392" t="s">
        <v>1461</v>
      </c>
      <c r="C1392" t="s">
        <v>95</v>
      </c>
      <c r="D1392" t="s">
        <v>1462</v>
      </c>
      <c r="E1392" t="s">
        <v>1463</v>
      </c>
      <c r="F1392" t="s">
        <v>6057</v>
      </c>
      <c r="G1392" s="2" t="str">
        <f>HYPERLINK("https://www.facebook.com/146178742699152/posts/1802347283160347")</f>
        <v>https://www.facebook.com/146178742699152/posts/1802347283160347</v>
      </c>
      <c r="H1392" t="s">
        <v>6062</v>
      </c>
      <c r="I1392" t="s">
        <v>1464</v>
      </c>
      <c r="J1392" s="2" t="str">
        <f>HYPERLINK("https://www.facebook.com/100001552788950")</f>
        <v>https://www.facebook.com/100001552788950</v>
      </c>
      <c r="K1392">
        <v>99</v>
      </c>
      <c r="L1392" t="s">
        <v>6063</v>
      </c>
      <c r="N1392" t="s">
        <v>13</v>
      </c>
      <c r="O1392" t="s">
        <v>1465</v>
      </c>
      <c r="P1392" s="2" t="str">
        <f>HYPERLINK("https://www.facebook.com/146178742699152")</f>
        <v>https://www.facebook.com/146178742699152</v>
      </c>
      <c r="R1392" t="s">
        <v>6067</v>
      </c>
    </row>
    <row r="1393" spans="1:19" ht="14.25" customHeight="1" x14ac:dyDescent="0.3">
      <c r="A1393" t="s">
        <v>2225</v>
      </c>
      <c r="B1393" t="s">
        <v>2792</v>
      </c>
      <c r="C1393" t="s">
        <v>95</v>
      </c>
      <c r="D1393" t="s">
        <v>544</v>
      </c>
      <c r="E1393" t="s">
        <v>545</v>
      </c>
      <c r="F1393" t="s">
        <v>6058</v>
      </c>
      <c r="G1393" s="2" t="str">
        <f>HYPERLINK("https://www.facebook.com/100003606903027/posts/1214855238644695")</f>
        <v>https://www.facebook.com/100003606903027/posts/1214855238644695</v>
      </c>
      <c r="H1393" t="s">
        <v>6062</v>
      </c>
      <c r="I1393" t="s">
        <v>2794</v>
      </c>
      <c r="J1393" s="2" t="str">
        <f>HYPERLINK("https://www.facebook.com/100003606903027")</f>
        <v>https://www.facebook.com/100003606903027</v>
      </c>
      <c r="K1393">
        <v>135</v>
      </c>
      <c r="L1393" t="s">
        <v>6063</v>
      </c>
      <c r="N1393" t="s">
        <v>13</v>
      </c>
      <c r="O1393" t="s">
        <v>2794</v>
      </c>
      <c r="P1393" s="2" t="str">
        <f>HYPERLINK("https://www.facebook.com/100003606903027")</f>
        <v>https://www.facebook.com/100003606903027</v>
      </c>
      <c r="Q1393">
        <v>135</v>
      </c>
      <c r="R1393" t="s">
        <v>6067</v>
      </c>
      <c r="S1393" t="s">
        <v>6073</v>
      </c>
    </row>
    <row r="1394" spans="1:19" ht="14.25" customHeight="1" x14ac:dyDescent="0.3">
      <c r="A1394" t="s">
        <v>629</v>
      </c>
      <c r="B1394" t="s">
        <v>1787</v>
      </c>
      <c r="C1394" t="s">
        <v>95</v>
      </c>
      <c r="D1394" t="s">
        <v>370</v>
      </c>
      <c r="E1394" t="s">
        <v>371</v>
      </c>
      <c r="F1394" t="s">
        <v>6058</v>
      </c>
      <c r="G1394" s="2" t="str">
        <f>HYPERLINK("https://www.facebook.com/100009745328263/posts/625487211119451")</f>
        <v>https://www.facebook.com/100009745328263/posts/625487211119451</v>
      </c>
      <c r="H1394" t="s">
        <v>6062</v>
      </c>
      <c r="I1394" t="s">
        <v>1790</v>
      </c>
      <c r="J1394" s="2" t="str">
        <f>HYPERLINK("https://www.facebook.com/100009745328263")</f>
        <v>https://www.facebook.com/100009745328263</v>
      </c>
      <c r="K1394">
        <v>494</v>
      </c>
      <c r="L1394" t="s">
        <v>6063</v>
      </c>
      <c r="N1394" t="s">
        <v>13</v>
      </c>
      <c r="O1394" t="s">
        <v>1790</v>
      </c>
      <c r="P1394" s="2" t="str">
        <f>HYPERLINK("https://www.facebook.com/100009745328263")</f>
        <v>https://www.facebook.com/100009745328263</v>
      </c>
      <c r="Q1394">
        <v>494</v>
      </c>
      <c r="R1394" t="s">
        <v>6067</v>
      </c>
      <c r="S1394" t="s">
        <v>6073</v>
      </c>
    </row>
    <row r="1395" spans="1:19" ht="14.25" customHeight="1" x14ac:dyDescent="0.3">
      <c r="A1395" t="s">
        <v>5409</v>
      </c>
      <c r="B1395" t="s">
        <v>6003</v>
      </c>
      <c r="C1395" t="s">
        <v>3538</v>
      </c>
      <c r="D1395" t="s">
        <v>3780</v>
      </c>
      <c r="E1395" t="s">
        <v>4672</v>
      </c>
      <c r="F1395" t="s">
        <v>6058</v>
      </c>
      <c r="G1395" s="2" t="str">
        <f>HYPERLINK("https://www.facebook.com/100020629385803/posts/162809101083402")</f>
        <v>https://www.facebook.com/100020629385803/posts/162809101083402</v>
      </c>
      <c r="H1395" t="s">
        <v>6062</v>
      </c>
      <c r="I1395" t="s">
        <v>6004</v>
      </c>
      <c r="J1395" s="2" t="str">
        <f>HYPERLINK("https://www.facebook.com/100020629385803")</f>
        <v>https://www.facebook.com/100020629385803</v>
      </c>
      <c r="K1395">
        <v>28</v>
      </c>
      <c r="L1395" t="s">
        <v>6063</v>
      </c>
      <c r="N1395" t="s">
        <v>13</v>
      </c>
      <c r="O1395" t="s">
        <v>6004</v>
      </c>
      <c r="P1395" s="2" t="str">
        <f>HYPERLINK("https://www.facebook.com/100020629385803")</f>
        <v>https://www.facebook.com/100020629385803</v>
      </c>
      <c r="Q1395">
        <v>28</v>
      </c>
      <c r="R1395" t="s">
        <v>6067</v>
      </c>
    </row>
    <row r="1396" spans="1:19" ht="14.25" customHeight="1" x14ac:dyDescent="0.3">
      <c r="A1396" t="s">
        <v>629</v>
      </c>
      <c r="B1396" t="s">
        <v>338</v>
      </c>
      <c r="C1396" t="s">
        <v>95</v>
      </c>
      <c r="D1396" t="s">
        <v>370</v>
      </c>
      <c r="E1396" t="s">
        <v>371</v>
      </c>
      <c r="F1396" t="s">
        <v>6058</v>
      </c>
      <c r="G1396" s="2" t="str">
        <f>HYPERLINK("https://www.facebook.com/100008390556375/posts/2115729618716703")</f>
        <v>https://www.facebook.com/100008390556375/posts/2115729618716703</v>
      </c>
      <c r="H1396" t="s">
        <v>6062</v>
      </c>
      <c r="I1396" t="s">
        <v>1543</v>
      </c>
      <c r="J1396" s="2" t="str">
        <f>HYPERLINK("https://www.facebook.com/100008390556375")</f>
        <v>https://www.facebook.com/100008390556375</v>
      </c>
      <c r="K1396">
        <v>1346</v>
      </c>
      <c r="L1396" t="s">
        <v>6063</v>
      </c>
      <c r="N1396" t="s">
        <v>13</v>
      </c>
      <c r="O1396" t="s">
        <v>1543</v>
      </c>
      <c r="P1396" s="2" t="str">
        <f>HYPERLINK("https://www.facebook.com/100008390556375")</f>
        <v>https://www.facebook.com/100008390556375</v>
      </c>
      <c r="Q1396">
        <v>1346</v>
      </c>
      <c r="R1396" t="s">
        <v>6067</v>
      </c>
      <c r="S1396" t="s">
        <v>6073</v>
      </c>
    </row>
    <row r="1397" spans="1:19" ht="14.25" customHeight="1" x14ac:dyDescent="0.3">
      <c r="A1397" t="s">
        <v>2225</v>
      </c>
      <c r="B1397" t="s">
        <v>2628</v>
      </c>
      <c r="C1397" t="s">
        <v>95</v>
      </c>
      <c r="D1397" t="s">
        <v>544</v>
      </c>
      <c r="E1397" t="s">
        <v>2629</v>
      </c>
      <c r="F1397" t="s">
        <v>6059</v>
      </c>
      <c r="G1397" s="2" t="str">
        <f>HYPERLINK("https://www.facebook.com/100003588416555/posts/1490255364437396?comment_id=1490278297768436")</f>
        <v>https://www.facebook.com/100003588416555/posts/1490255364437396?comment_id=1490278297768436</v>
      </c>
      <c r="H1397" t="s">
        <v>6062</v>
      </c>
      <c r="I1397" t="s">
        <v>2630</v>
      </c>
      <c r="J1397" s="2" t="str">
        <f>HYPERLINK("https://www.facebook.com/100008518230600")</f>
        <v>https://www.facebook.com/100008518230600</v>
      </c>
      <c r="K1397">
        <v>3463</v>
      </c>
      <c r="L1397" t="s">
        <v>6063</v>
      </c>
      <c r="N1397" t="s">
        <v>13</v>
      </c>
      <c r="O1397" t="s">
        <v>2631</v>
      </c>
      <c r="P1397" s="2" t="str">
        <f>HYPERLINK("https://www.facebook.com/100003588416555")</f>
        <v>https://www.facebook.com/100003588416555</v>
      </c>
      <c r="Q1397">
        <v>4820</v>
      </c>
      <c r="R1397" t="s">
        <v>6067</v>
      </c>
      <c r="S1397" t="s">
        <v>6073</v>
      </c>
    </row>
    <row r="1398" spans="1:19" ht="14.25" customHeight="1" x14ac:dyDescent="0.3">
      <c r="A1398" t="s">
        <v>5409</v>
      </c>
      <c r="B1398" t="s">
        <v>2967</v>
      </c>
      <c r="C1398" t="s">
        <v>3538</v>
      </c>
      <c r="D1398" t="s">
        <v>5517</v>
      </c>
      <c r="E1398" t="s">
        <v>5537</v>
      </c>
      <c r="F1398" t="s">
        <v>6059</v>
      </c>
      <c r="G1398" s="2" t="str">
        <f>HYPERLINK("https://www.facebook.com/100002388320217/posts/1633916853364576?comment_id=1634231513333110")</f>
        <v>https://www.facebook.com/100002388320217/posts/1633916853364576?comment_id=1634231513333110</v>
      </c>
      <c r="H1398" t="s">
        <v>6062</v>
      </c>
      <c r="I1398" t="s">
        <v>5538</v>
      </c>
      <c r="J1398" s="2" t="str">
        <f>HYPERLINK("https://www.facebook.com/100002125862275")</f>
        <v>https://www.facebook.com/100002125862275</v>
      </c>
      <c r="K1398">
        <v>3130</v>
      </c>
      <c r="L1398" t="s">
        <v>6063</v>
      </c>
      <c r="N1398" t="s">
        <v>13</v>
      </c>
      <c r="O1398" t="s">
        <v>5519</v>
      </c>
      <c r="P1398" s="2" t="str">
        <f>HYPERLINK("https://www.facebook.com/100002388320217")</f>
        <v>https://www.facebook.com/100002388320217</v>
      </c>
      <c r="Q1398">
        <v>1240</v>
      </c>
      <c r="R1398" t="s">
        <v>6067</v>
      </c>
      <c r="S1398" t="s">
        <v>6073</v>
      </c>
    </row>
    <row r="1399" spans="1:19" ht="14.25" customHeight="1" x14ac:dyDescent="0.3">
      <c r="A1399" t="s">
        <v>2225</v>
      </c>
      <c r="B1399" t="s">
        <v>2639</v>
      </c>
      <c r="C1399" t="s">
        <v>95</v>
      </c>
      <c r="D1399" t="s">
        <v>544</v>
      </c>
      <c r="E1399" t="s">
        <v>545</v>
      </c>
      <c r="F1399" t="s">
        <v>6058</v>
      </c>
      <c r="G1399" s="2" t="str">
        <f>HYPERLINK("https://www.facebook.com/100002184091387/posts/1634303989985722")</f>
        <v>https://www.facebook.com/100002184091387/posts/1634303989985722</v>
      </c>
      <c r="H1399" t="s">
        <v>6062</v>
      </c>
      <c r="I1399" t="s">
        <v>2644</v>
      </c>
      <c r="J1399" s="2" t="str">
        <f>HYPERLINK("https://www.facebook.com/100002184091387")</f>
        <v>https://www.facebook.com/100002184091387</v>
      </c>
      <c r="K1399">
        <v>800</v>
      </c>
      <c r="L1399" t="s">
        <v>6063</v>
      </c>
      <c r="N1399" t="s">
        <v>13</v>
      </c>
      <c r="O1399" t="s">
        <v>2644</v>
      </c>
      <c r="P1399" s="2" t="str">
        <f>HYPERLINK("https://www.facebook.com/100002184091387")</f>
        <v>https://www.facebook.com/100002184091387</v>
      </c>
      <c r="Q1399">
        <v>800</v>
      </c>
      <c r="R1399" t="s">
        <v>6067</v>
      </c>
      <c r="S1399" t="s">
        <v>6073</v>
      </c>
    </row>
    <row r="1400" spans="1:19" ht="14.25" customHeight="1" x14ac:dyDescent="0.3">
      <c r="A1400" t="s">
        <v>2225</v>
      </c>
      <c r="B1400" t="s">
        <v>2759</v>
      </c>
      <c r="C1400" t="s">
        <v>95</v>
      </c>
      <c r="D1400" t="s">
        <v>544</v>
      </c>
      <c r="E1400" t="s">
        <v>545</v>
      </c>
      <c r="F1400" t="s">
        <v>6058</v>
      </c>
      <c r="G1400" s="2" t="str">
        <f>HYPERLINK("https://www.facebook.com/100024826595389/posts/138735176964035")</f>
        <v>https://www.facebook.com/100024826595389/posts/138735176964035</v>
      </c>
      <c r="H1400" t="s">
        <v>6062</v>
      </c>
      <c r="I1400" t="s">
        <v>2765</v>
      </c>
      <c r="J1400" s="2" t="str">
        <f>HYPERLINK("https://www.facebook.com/100024826595389")</f>
        <v>https://www.facebook.com/100024826595389</v>
      </c>
      <c r="K1400">
        <v>66</v>
      </c>
      <c r="L1400" t="s">
        <v>6063</v>
      </c>
      <c r="N1400" t="s">
        <v>13</v>
      </c>
      <c r="O1400" t="s">
        <v>2765</v>
      </c>
      <c r="P1400" s="2" t="str">
        <f>HYPERLINK("https://www.facebook.com/100024826595389")</f>
        <v>https://www.facebook.com/100024826595389</v>
      </c>
      <c r="Q1400">
        <v>66</v>
      </c>
      <c r="R1400" t="s">
        <v>6067</v>
      </c>
      <c r="S1400" t="s">
        <v>6073</v>
      </c>
    </row>
    <row r="1401" spans="1:19" ht="14.25" customHeight="1" x14ac:dyDescent="0.3">
      <c r="A1401" t="s">
        <v>2225</v>
      </c>
      <c r="B1401" t="s">
        <v>728</v>
      </c>
      <c r="C1401" t="s">
        <v>95</v>
      </c>
      <c r="D1401" t="s">
        <v>853</v>
      </c>
      <c r="E1401" t="s">
        <v>2464</v>
      </c>
      <c r="F1401" t="s">
        <v>6059</v>
      </c>
      <c r="G1401" s="2" t="str">
        <f>HYPERLINK("https://www.facebook.com/100008934274771/posts/1810262525948206?comment_id=1810293575945101")</f>
        <v>https://www.facebook.com/100008934274771/posts/1810262525948206?comment_id=1810293575945101</v>
      </c>
      <c r="H1401" t="s">
        <v>6062</v>
      </c>
      <c r="I1401" t="s">
        <v>2465</v>
      </c>
      <c r="J1401" s="2" t="str">
        <f>HYPERLINK("https://www.facebook.com/100024709849382")</f>
        <v>https://www.facebook.com/100024709849382</v>
      </c>
      <c r="K1401">
        <v>0</v>
      </c>
      <c r="L1401" t="s">
        <v>6063</v>
      </c>
      <c r="N1401" t="s">
        <v>13</v>
      </c>
      <c r="O1401" t="s">
        <v>856</v>
      </c>
      <c r="P1401" s="2" t="str">
        <f>HYPERLINK("https://www.facebook.com/100008934274771")</f>
        <v>https://www.facebook.com/100008934274771</v>
      </c>
      <c r="Q1401">
        <v>10395</v>
      </c>
      <c r="R1401" t="s">
        <v>6067</v>
      </c>
      <c r="S1401" t="s">
        <v>6073</v>
      </c>
    </row>
    <row r="1402" spans="1:19" ht="14.25" customHeight="1" x14ac:dyDescent="0.3">
      <c r="A1402" t="s">
        <v>2225</v>
      </c>
      <c r="B1402" t="s">
        <v>2471</v>
      </c>
      <c r="C1402" t="s">
        <v>95</v>
      </c>
      <c r="D1402" t="s">
        <v>853</v>
      </c>
      <c r="E1402" t="s">
        <v>2479</v>
      </c>
      <c r="F1402" t="s">
        <v>6059</v>
      </c>
      <c r="G1402" s="2" t="str">
        <f>HYPERLINK("https://www.facebook.com/100008934274771/posts/1810262525948206?comment_id=1810292869278505")</f>
        <v>https://www.facebook.com/100008934274771/posts/1810262525948206?comment_id=1810292869278505</v>
      </c>
      <c r="H1402" t="s">
        <v>6062</v>
      </c>
      <c r="I1402" t="s">
        <v>2480</v>
      </c>
      <c r="J1402" s="2" t="str">
        <f>HYPERLINK("https://www.facebook.com/100017004698752")</f>
        <v>https://www.facebook.com/100017004698752</v>
      </c>
      <c r="K1402">
        <v>116</v>
      </c>
      <c r="L1402" t="s">
        <v>6063</v>
      </c>
      <c r="N1402" t="s">
        <v>13</v>
      </c>
      <c r="O1402" t="s">
        <v>856</v>
      </c>
      <c r="P1402" s="2" t="str">
        <f>HYPERLINK("https://www.facebook.com/100008934274771")</f>
        <v>https://www.facebook.com/100008934274771</v>
      </c>
      <c r="Q1402">
        <v>10395</v>
      </c>
      <c r="R1402" t="s">
        <v>6067</v>
      </c>
      <c r="S1402" t="s">
        <v>6073</v>
      </c>
    </row>
    <row r="1403" spans="1:19" ht="14.25" customHeight="1" x14ac:dyDescent="0.3">
      <c r="A1403" t="s">
        <v>2225</v>
      </c>
      <c r="B1403" t="s">
        <v>2282</v>
      </c>
      <c r="C1403" t="s">
        <v>95</v>
      </c>
      <c r="D1403" t="s">
        <v>853</v>
      </c>
      <c r="E1403" t="s">
        <v>2283</v>
      </c>
      <c r="F1403" t="s">
        <v>6059</v>
      </c>
      <c r="G1403" s="2" t="str">
        <f>HYPERLINK("https://www.facebook.com/100008934274771/posts/1810262525948206?comment_id=1810311492609976")</f>
        <v>https://www.facebook.com/100008934274771/posts/1810262525948206?comment_id=1810311492609976</v>
      </c>
      <c r="H1403" t="s">
        <v>6062</v>
      </c>
      <c r="I1403" t="s">
        <v>1868</v>
      </c>
      <c r="J1403" s="2" t="str">
        <f>HYPERLINK("https://www.facebook.com/100013796332046")</f>
        <v>https://www.facebook.com/100013796332046</v>
      </c>
      <c r="K1403">
        <v>41</v>
      </c>
      <c r="L1403" t="s">
        <v>6063</v>
      </c>
      <c r="N1403" t="s">
        <v>13</v>
      </c>
      <c r="O1403" t="s">
        <v>856</v>
      </c>
      <c r="P1403" s="2" t="str">
        <f>HYPERLINK("https://www.facebook.com/100008934274771")</f>
        <v>https://www.facebook.com/100008934274771</v>
      </c>
      <c r="Q1403">
        <v>10395</v>
      </c>
      <c r="R1403" t="s">
        <v>6067</v>
      </c>
      <c r="S1403" t="s">
        <v>6073</v>
      </c>
    </row>
    <row r="1404" spans="1:19" ht="14.25" customHeight="1" x14ac:dyDescent="0.3">
      <c r="A1404" t="s">
        <v>629</v>
      </c>
      <c r="B1404" t="s">
        <v>447</v>
      </c>
      <c r="C1404" t="s">
        <v>95</v>
      </c>
      <c r="D1404" t="s">
        <v>370</v>
      </c>
      <c r="E1404" t="s">
        <v>371</v>
      </c>
      <c r="F1404" t="s">
        <v>6058</v>
      </c>
      <c r="G1404" s="2" t="str">
        <f>HYPERLINK("https://www.facebook.com/1285853724841697/posts/425333347936539")</f>
        <v>https://www.facebook.com/1285853724841697/posts/425333347936539</v>
      </c>
      <c r="H1404" t="s">
        <v>6062</v>
      </c>
      <c r="I1404" t="s">
        <v>1868</v>
      </c>
      <c r="J1404" s="2" t="str">
        <f>HYPERLINK("https://www.facebook.com/100013796332046")</f>
        <v>https://www.facebook.com/100013796332046</v>
      </c>
      <c r="K1404">
        <v>41</v>
      </c>
      <c r="L1404" t="s">
        <v>6063</v>
      </c>
      <c r="N1404" t="s">
        <v>13</v>
      </c>
      <c r="O1404" t="s">
        <v>1723</v>
      </c>
      <c r="P1404" s="2" t="str">
        <f>HYPERLINK("https://www.facebook.com/1285853724841697")</f>
        <v>https://www.facebook.com/1285853724841697</v>
      </c>
      <c r="R1404" t="s">
        <v>6067</v>
      </c>
    </row>
    <row r="1405" spans="1:19" ht="14.25" customHeight="1" x14ac:dyDescent="0.3">
      <c r="A1405" t="s">
        <v>2225</v>
      </c>
      <c r="B1405" t="s">
        <v>2304</v>
      </c>
      <c r="C1405" t="s">
        <v>95</v>
      </c>
      <c r="D1405" t="s">
        <v>853</v>
      </c>
      <c r="E1405" t="s">
        <v>2305</v>
      </c>
      <c r="F1405" t="s">
        <v>6059</v>
      </c>
      <c r="G1405" s="2" t="str">
        <f>HYPERLINK("https://www.facebook.com/100008934274771/posts/1810262525948206?comment_id=1810307982610327")</f>
        <v>https://www.facebook.com/100008934274771/posts/1810262525948206?comment_id=1810307982610327</v>
      </c>
      <c r="H1405" t="s">
        <v>6062</v>
      </c>
      <c r="I1405" t="s">
        <v>1868</v>
      </c>
      <c r="J1405" s="2" t="str">
        <f>HYPERLINK("https://www.facebook.com/100013796332046")</f>
        <v>https://www.facebook.com/100013796332046</v>
      </c>
      <c r="K1405">
        <v>41</v>
      </c>
      <c r="L1405" t="s">
        <v>6063</v>
      </c>
      <c r="N1405" t="s">
        <v>13</v>
      </c>
      <c r="O1405" t="s">
        <v>856</v>
      </c>
      <c r="P1405" s="2" t="str">
        <f>HYPERLINK("https://www.facebook.com/100008934274771")</f>
        <v>https://www.facebook.com/100008934274771</v>
      </c>
      <c r="Q1405">
        <v>10395</v>
      </c>
      <c r="R1405" t="s">
        <v>6067</v>
      </c>
      <c r="S1405" t="s">
        <v>6073</v>
      </c>
    </row>
    <row r="1406" spans="1:19" ht="14.25" customHeight="1" x14ac:dyDescent="0.3">
      <c r="A1406" t="s">
        <v>629</v>
      </c>
      <c r="B1406" t="s">
        <v>2217</v>
      </c>
      <c r="C1406" t="s">
        <v>95</v>
      </c>
      <c r="D1406" t="s">
        <v>544</v>
      </c>
      <c r="E1406" t="s">
        <v>545</v>
      </c>
      <c r="F1406" t="s">
        <v>6058</v>
      </c>
      <c r="G1406" s="2" t="str">
        <f>HYPERLINK("https://www.facebook.com/100013187957077/posts/431107577338837")</f>
        <v>https://www.facebook.com/100013187957077/posts/431107577338837</v>
      </c>
      <c r="H1406" t="s">
        <v>6062</v>
      </c>
      <c r="I1406" t="s">
        <v>2218</v>
      </c>
      <c r="J1406" s="2" t="str">
        <f>HYPERLINK("https://www.facebook.com/100013187957077")</f>
        <v>https://www.facebook.com/100013187957077</v>
      </c>
      <c r="K1406">
        <v>4</v>
      </c>
      <c r="L1406" t="s">
        <v>6064</v>
      </c>
      <c r="N1406" t="s">
        <v>13</v>
      </c>
      <c r="O1406" t="s">
        <v>2218</v>
      </c>
      <c r="P1406" s="2" t="str">
        <f>HYPERLINK("https://www.facebook.com/100013187957077")</f>
        <v>https://www.facebook.com/100013187957077</v>
      </c>
      <c r="Q1406">
        <v>4</v>
      </c>
      <c r="R1406" t="s">
        <v>6067</v>
      </c>
      <c r="S1406" t="s">
        <v>6073</v>
      </c>
    </row>
    <row r="1407" spans="1:19" ht="14.25" customHeight="1" x14ac:dyDescent="0.3">
      <c r="A1407" t="s">
        <v>2225</v>
      </c>
      <c r="B1407" t="s">
        <v>2785</v>
      </c>
      <c r="C1407" t="s">
        <v>95</v>
      </c>
      <c r="D1407" t="s">
        <v>544</v>
      </c>
      <c r="E1407" t="s">
        <v>545</v>
      </c>
      <c r="F1407" t="s">
        <v>6058</v>
      </c>
      <c r="G1407" s="2" t="str">
        <f>HYPERLINK("https://www.facebook.com/100004002134334/posts/1334817129995012")</f>
        <v>https://www.facebook.com/100004002134334/posts/1334817129995012</v>
      </c>
      <c r="H1407" t="s">
        <v>6062</v>
      </c>
      <c r="I1407" t="s">
        <v>2026</v>
      </c>
      <c r="J1407" s="2" t="str">
        <f>HYPERLINK("https://www.facebook.com/100004002134334")</f>
        <v>https://www.facebook.com/100004002134334</v>
      </c>
      <c r="K1407">
        <v>120</v>
      </c>
      <c r="L1407" t="s">
        <v>6063</v>
      </c>
      <c r="N1407" t="s">
        <v>13</v>
      </c>
      <c r="O1407" t="s">
        <v>2026</v>
      </c>
      <c r="P1407" s="2" t="str">
        <f>HYPERLINK("https://www.facebook.com/100004002134334")</f>
        <v>https://www.facebook.com/100004002134334</v>
      </c>
      <c r="Q1407">
        <v>120</v>
      </c>
      <c r="R1407" t="s">
        <v>6067</v>
      </c>
      <c r="S1407" t="s">
        <v>6073</v>
      </c>
    </row>
    <row r="1408" spans="1:19" ht="14.25" customHeight="1" x14ac:dyDescent="0.3">
      <c r="A1408" t="s">
        <v>629</v>
      </c>
      <c r="B1408" t="s">
        <v>2024</v>
      </c>
      <c r="C1408" t="s">
        <v>95</v>
      </c>
      <c r="D1408" t="s">
        <v>370</v>
      </c>
      <c r="E1408" t="s">
        <v>371</v>
      </c>
      <c r="F1408" t="s">
        <v>6058</v>
      </c>
      <c r="G1408" s="2" t="str">
        <f>HYPERLINK("https://www.facebook.com/100004002134334/posts/1335123863297672")</f>
        <v>https://www.facebook.com/100004002134334/posts/1335123863297672</v>
      </c>
      <c r="H1408" t="s">
        <v>6062</v>
      </c>
      <c r="I1408" t="s">
        <v>2026</v>
      </c>
      <c r="J1408" s="2" t="str">
        <f>HYPERLINK("https://www.facebook.com/100004002134334")</f>
        <v>https://www.facebook.com/100004002134334</v>
      </c>
      <c r="K1408">
        <v>120</v>
      </c>
      <c r="L1408" t="s">
        <v>6063</v>
      </c>
      <c r="N1408" t="s">
        <v>13</v>
      </c>
      <c r="O1408" t="s">
        <v>2026</v>
      </c>
      <c r="P1408" s="2" t="str">
        <f>HYPERLINK("https://www.facebook.com/100004002134334")</f>
        <v>https://www.facebook.com/100004002134334</v>
      </c>
      <c r="Q1408">
        <v>120</v>
      </c>
      <c r="R1408" t="s">
        <v>6067</v>
      </c>
      <c r="S1408" t="s">
        <v>6073</v>
      </c>
    </row>
    <row r="1409" spans="1:19" ht="14.25" customHeight="1" x14ac:dyDescent="0.3">
      <c r="A1409" t="s">
        <v>2225</v>
      </c>
      <c r="B1409" t="s">
        <v>3055</v>
      </c>
      <c r="C1409" t="s">
        <v>95</v>
      </c>
      <c r="D1409" t="s">
        <v>2602</v>
      </c>
      <c r="E1409" t="s">
        <v>3056</v>
      </c>
      <c r="F1409" t="s">
        <v>6059</v>
      </c>
      <c r="G1409" s="2" t="str">
        <f>HYPERLINK("https://www.facebook.com/100000893960392/posts/1854701537902960?comment_id=1854703617902752")</f>
        <v>https://www.facebook.com/100000893960392/posts/1854701537902960?comment_id=1854703617902752</v>
      </c>
      <c r="H1409" t="s">
        <v>6062</v>
      </c>
      <c r="I1409" t="s">
        <v>2604</v>
      </c>
      <c r="J1409" s="2" t="str">
        <f>HYPERLINK("https://www.facebook.com/100000893960392")</f>
        <v>https://www.facebook.com/100000893960392</v>
      </c>
      <c r="K1409">
        <v>2281</v>
      </c>
      <c r="L1409" t="s">
        <v>6063</v>
      </c>
      <c r="M1409">
        <v>47</v>
      </c>
      <c r="N1409" t="s">
        <v>13</v>
      </c>
      <c r="O1409" t="s">
        <v>2604</v>
      </c>
      <c r="P1409" s="2" t="str">
        <f>HYPERLINK("https://www.facebook.com/100000893960392")</f>
        <v>https://www.facebook.com/100000893960392</v>
      </c>
      <c r="Q1409">
        <v>2281</v>
      </c>
      <c r="R1409" t="s">
        <v>6067</v>
      </c>
      <c r="S1409" t="s">
        <v>6073</v>
      </c>
    </row>
    <row r="1410" spans="1:19" ht="14.25" customHeight="1" x14ac:dyDescent="0.3">
      <c r="A1410" t="s">
        <v>2225</v>
      </c>
      <c r="B1410" t="s">
        <v>3053</v>
      </c>
      <c r="C1410" t="s">
        <v>95</v>
      </c>
      <c r="D1410" t="s">
        <v>2602</v>
      </c>
      <c r="E1410" t="s">
        <v>3054</v>
      </c>
      <c r="F1410" t="s">
        <v>6059</v>
      </c>
      <c r="G1410" s="2" t="str">
        <f>HYPERLINK("https://www.facebook.com/100000893960392/posts/1854701537902960?comment_id=1854704697902644")</f>
        <v>https://www.facebook.com/100000893960392/posts/1854701537902960?comment_id=1854704697902644</v>
      </c>
      <c r="H1410" t="s">
        <v>6062</v>
      </c>
      <c r="I1410" t="s">
        <v>2604</v>
      </c>
      <c r="J1410" s="2" t="str">
        <f>HYPERLINK("https://www.facebook.com/100000893960392")</f>
        <v>https://www.facebook.com/100000893960392</v>
      </c>
      <c r="K1410">
        <v>2281</v>
      </c>
      <c r="L1410" t="s">
        <v>6063</v>
      </c>
      <c r="M1410">
        <v>47</v>
      </c>
      <c r="N1410" t="s">
        <v>13</v>
      </c>
      <c r="O1410" t="s">
        <v>2604</v>
      </c>
      <c r="P1410" s="2" t="str">
        <f>HYPERLINK("https://www.facebook.com/100000893960392")</f>
        <v>https://www.facebook.com/100000893960392</v>
      </c>
      <c r="Q1410">
        <v>2281</v>
      </c>
      <c r="R1410" t="s">
        <v>6067</v>
      </c>
      <c r="S1410" t="s">
        <v>6073</v>
      </c>
    </row>
    <row r="1411" spans="1:19" ht="14.25" customHeight="1" x14ac:dyDescent="0.3">
      <c r="A1411" t="s">
        <v>2225</v>
      </c>
      <c r="B1411" t="s">
        <v>3060</v>
      </c>
      <c r="C1411" t="s">
        <v>95</v>
      </c>
      <c r="D1411" t="s">
        <v>2602</v>
      </c>
      <c r="E1411" t="s">
        <v>3062</v>
      </c>
      <c r="F1411" t="s">
        <v>6057</v>
      </c>
      <c r="G1411" s="2" t="str">
        <f>HYPERLINK("https://www.facebook.com/100000893960392/posts/1854701537902960")</f>
        <v>https://www.facebook.com/100000893960392/posts/1854701537902960</v>
      </c>
      <c r="H1411" t="s">
        <v>6062</v>
      </c>
      <c r="I1411" t="s">
        <v>2604</v>
      </c>
      <c r="J1411" s="2" t="str">
        <f>HYPERLINK("https://www.facebook.com/100000893960392")</f>
        <v>https://www.facebook.com/100000893960392</v>
      </c>
      <c r="K1411">
        <v>2281</v>
      </c>
      <c r="L1411" t="s">
        <v>6063</v>
      </c>
      <c r="M1411">
        <v>47</v>
      </c>
      <c r="N1411" t="s">
        <v>13</v>
      </c>
      <c r="O1411" t="s">
        <v>2604</v>
      </c>
      <c r="P1411" s="2" t="str">
        <f>HYPERLINK("https://www.facebook.com/100000893960392")</f>
        <v>https://www.facebook.com/100000893960392</v>
      </c>
      <c r="Q1411">
        <v>2281</v>
      </c>
      <c r="R1411" t="s">
        <v>6067</v>
      </c>
      <c r="S1411" t="s">
        <v>6073</v>
      </c>
    </row>
    <row r="1412" spans="1:19" ht="14.25" customHeight="1" x14ac:dyDescent="0.3">
      <c r="A1412" t="s">
        <v>2225</v>
      </c>
      <c r="B1412" t="s">
        <v>2596</v>
      </c>
      <c r="C1412" t="s">
        <v>95</v>
      </c>
      <c r="D1412" t="s">
        <v>2602</v>
      </c>
      <c r="E1412" t="s">
        <v>2603</v>
      </c>
      <c r="F1412" t="s">
        <v>6059</v>
      </c>
      <c r="G1412" s="2" t="str">
        <f>HYPERLINK("https://www.facebook.com/100000893960392/posts/1854701537902960?comment_id=1854879861218461")</f>
        <v>https://www.facebook.com/100000893960392/posts/1854701537902960?comment_id=1854879861218461</v>
      </c>
      <c r="H1412" t="s">
        <v>6062</v>
      </c>
      <c r="I1412" t="s">
        <v>2604</v>
      </c>
      <c r="J1412" s="2" t="str">
        <f>HYPERLINK("https://www.facebook.com/100000893960392")</f>
        <v>https://www.facebook.com/100000893960392</v>
      </c>
      <c r="K1412">
        <v>2281</v>
      </c>
      <c r="L1412" t="s">
        <v>6063</v>
      </c>
      <c r="M1412">
        <v>47</v>
      </c>
      <c r="N1412" t="s">
        <v>13</v>
      </c>
      <c r="O1412" t="s">
        <v>2604</v>
      </c>
      <c r="P1412" s="2" t="str">
        <f>HYPERLINK("https://www.facebook.com/100000893960392")</f>
        <v>https://www.facebook.com/100000893960392</v>
      </c>
      <c r="Q1412">
        <v>2281</v>
      </c>
      <c r="R1412" t="s">
        <v>6067</v>
      </c>
      <c r="S1412" t="s">
        <v>6073</v>
      </c>
    </row>
    <row r="1413" spans="1:19" ht="14.25" customHeight="1" x14ac:dyDescent="0.3">
      <c r="A1413" t="s">
        <v>629</v>
      </c>
      <c r="B1413" t="s">
        <v>1389</v>
      </c>
      <c r="C1413" t="s">
        <v>95</v>
      </c>
      <c r="D1413" t="s">
        <v>370</v>
      </c>
      <c r="E1413" t="s">
        <v>371</v>
      </c>
      <c r="F1413" t="s">
        <v>6058</v>
      </c>
      <c r="G1413" s="2" t="str">
        <f>HYPERLINK("https://www.facebook.com/100016123533007/posts/234720887075361")</f>
        <v>https://www.facebook.com/100016123533007/posts/234720887075361</v>
      </c>
      <c r="H1413" t="s">
        <v>6062</v>
      </c>
      <c r="I1413" t="s">
        <v>1390</v>
      </c>
      <c r="J1413" s="2" t="str">
        <f>HYPERLINK("https://www.facebook.com/100016123533007")</f>
        <v>https://www.facebook.com/100016123533007</v>
      </c>
      <c r="K1413">
        <v>222</v>
      </c>
      <c r="L1413" t="s">
        <v>6063</v>
      </c>
      <c r="N1413" t="s">
        <v>13</v>
      </c>
      <c r="O1413" t="s">
        <v>1390</v>
      </c>
      <c r="P1413" s="2" t="str">
        <f>HYPERLINK("https://www.facebook.com/100016123533007")</f>
        <v>https://www.facebook.com/100016123533007</v>
      </c>
      <c r="Q1413">
        <v>222</v>
      </c>
      <c r="R1413" t="s">
        <v>6067</v>
      </c>
    </row>
    <row r="1414" spans="1:19" ht="14.25" customHeight="1" x14ac:dyDescent="0.3">
      <c r="A1414" t="s">
        <v>2225</v>
      </c>
      <c r="B1414" t="s">
        <v>3265</v>
      </c>
      <c r="C1414" t="s">
        <v>95</v>
      </c>
      <c r="D1414" t="s">
        <v>2086</v>
      </c>
      <c r="E1414" t="s">
        <v>3267</v>
      </c>
      <c r="F1414" t="s">
        <v>6059</v>
      </c>
      <c r="G1414" s="2" t="str">
        <f>HYPERLINK("https://www.facebook.com/100001463526763/posts/1766213380104096?comment_id=1766217813436986")</f>
        <v>https://www.facebook.com/100001463526763/posts/1766213380104096?comment_id=1766217813436986</v>
      </c>
      <c r="H1414" t="s">
        <v>6062</v>
      </c>
      <c r="I1414" t="s">
        <v>3268</v>
      </c>
      <c r="J1414" s="2" t="str">
        <f>HYPERLINK("https://www.facebook.com/100004196917106")</f>
        <v>https://www.facebook.com/100004196917106</v>
      </c>
      <c r="K1414">
        <v>1505</v>
      </c>
      <c r="L1414" t="s">
        <v>6063</v>
      </c>
      <c r="N1414" t="s">
        <v>13</v>
      </c>
      <c r="O1414" t="s">
        <v>2089</v>
      </c>
      <c r="P1414" s="2" t="str">
        <f>HYPERLINK("https://www.facebook.com/100001463526763")</f>
        <v>https://www.facebook.com/100001463526763</v>
      </c>
      <c r="Q1414">
        <v>73186</v>
      </c>
      <c r="R1414" t="s">
        <v>6067</v>
      </c>
      <c r="S1414" t="s">
        <v>6073</v>
      </c>
    </row>
    <row r="1415" spans="1:19" ht="14.25" customHeight="1" x14ac:dyDescent="0.3">
      <c r="A1415" t="s">
        <v>2225</v>
      </c>
      <c r="B1415" t="s">
        <v>767</v>
      </c>
      <c r="C1415" t="s">
        <v>95</v>
      </c>
      <c r="D1415" t="s">
        <v>853</v>
      </c>
      <c r="E1415" t="s">
        <v>2884</v>
      </c>
      <c r="F1415" t="s">
        <v>6059</v>
      </c>
      <c r="G1415" s="2" t="str">
        <f>HYPERLINK("https://www.facebook.com/100008934274771/posts/1810262525948206?comment_id=1810265155947943")</f>
        <v>https://www.facebook.com/100008934274771/posts/1810262525948206?comment_id=1810265155947943</v>
      </c>
      <c r="H1415" t="s">
        <v>6062</v>
      </c>
      <c r="I1415" t="s">
        <v>2852</v>
      </c>
      <c r="J1415" s="2" t="str">
        <f>HYPERLINK("https://www.facebook.com/100015457331509")</f>
        <v>https://www.facebook.com/100015457331509</v>
      </c>
      <c r="K1415">
        <v>111</v>
      </c>
      <c r="L1415" t="s">
        <v>6063</v>
      </c>
      <c r="N1415" t="s">
        <v>13</v>
      </c>
      <c r="O1415" t="s">
        <v>856</v>
      </c>
      <c r="P1415" s="2" t="str">
        <f>HYPERLINK("https://www.facebook.com/100008934274771")</f>
        <v>https://www.facebook.com/100008934274771</v>
      </c>
      <c r="Q1415">
        <v>10395</v>
      </c>
      <c r="R1415" t="s">
        <v>6067</v>
      </c>
      <c r="S1415" t="s">
        <v>6073</v>
      </c>
    </row>
    <row r="1416" spans="1:19" ht="14.25" customHeight="1" x14ac:dyDescent="0.3">
      <c r="A1416" t="s">
        <v>2225</v>
      </c>
      <c r="B1416" t="s">
        <v>2847</v>
      </c>
      <c r="C1416" t="s">
        <v>95</v>
      </c>
      <c r="D1416" t="s">
        <v>853</v>
      </c>
      <c r="E1416" t="s">
        <v>2851</v>
      </c>
      <c r="F1416" t="s">
        <v>6059</v>
      </c>
      <c r="G1416" s="2" t="str">
        <f>HYPERLINK("https://www.facebook.com/100008934274771/posts/1810262525948206?comment_id=1810266369281155")</f>
        <v>https://www.facebook.com/100008934274771/posts/1810262525948206?comment_id=1810266369281155</v>
      </c>
      <c r="H1416" t="s">
        <v>6062</v>
      </c>
      <c r="I1416" t="s">
        <v>2852</v>
      </c>
      <c r="J1416" s="2" t="str">
        <f>HYPERLINK("https://www.facebook.com/100015457331509")</f>
        <v>https://www.facebook.com/100015457331509</v>
      </c>
      <c r="K1416">
        <v>111</v>
      </c>
      <c r="L1416" t="s">
        <v>6063</v>
      </c>
      <c r="N1416" t="s">
        <v>13</v>
      </c>
      <c r="O1416" t="s">
        <v>856</v>
      </c>
      <c r="P1416" s="2" t="str">
        <f>HYPERLINK("https://www.facebook.com/100008934274771")</f>
        <v>https://www.facebook.com/100008934274771</v>
      </c>
      <c r="Q1416">
        <v>10395</v>
      </c>
      <c r="R1416" t="s">
        <v>6067</v>
      </c>
      <c r="S1416" t="s">
        <v>6073</v>
      </c>
    </row>
    <row r="1417" spans="1:19" ht="14.25" customHeight="1" x14ac:dyDescent="0.3">
      <c r="A1417" t="s">
        <v>2225</v>
      </c>
      <c r="B1417" t="s">
        <v>2620</v>
      </c>
      <c r="C1417" t="s">
        <v>95</v>
      </c>
      <c r="D1417" t="s">
        <v>853</v>
      </c>
      <c r="E1417" t="s">
        <v>2623</v>
      </c>
      <c r="F1417" t="s">
        <v>6059</v>
      </c>
      <c r="G1417" s="2" t="str">
        <f>HYPERLINK("https://www.facebook.com/100008934274771/posts/1810262525948206?comment_id=1810284259279366")</f>
        <v>https://www.facebook.com/100008934274771/posts/1810262525948206?comment_id=1810284259279366</v>
      </c>
      <c r="H1417" t="s">
        <v>6062</v>
      </c>
      <c r="I1417" t="s">
        <v>2624</v>
      </c>
      <c r="J1417" s="2" t="str">
        <f>HYPERLINK("https://www.facebook.com/100014056815098")</f>
        <v>https://www.facebook.com/100014056815098</v>
      </c>
      <c r="K1417">
        <v>164</v>
      </c>
      <c r="L1417" t="s">
        <v>6064</v>
      </c>
      <c r="N1417" t="s">
        <v>13</v>
      </c>
      <c r="O1417" t="s">
        <v>856</v>
      </c>
      <c r="P1417" s="2" t="str">
        <f>HYPERLINK("https://www.facebook.com/100008934274771")</f>
        <v>https://www.facebook.com/100008934274771</v>
      </c>
      <c r="Q1417">
        <v>10395</v>
      </c>
      <c r="R1417" t="s">
        <v>6067</v>
      </c>
      <c r="S1417" t="s">
        <v>6073</v>
      </c>
    </row>
    <row r="1418" spans="1:19" ht="14.25" customHeight="1" x14ac:dyDescent="0.3">
      <c r="A1418" t="s">
        <v>629</v>
      </c>
      <c r="B1418" t="s">
        <v>1224</v>
      </c>
      <c r="C1418" t="s">
        <v>95</v>
      </c>
      <c r="D1418" t="s">
        <v>370</v>
      </c>
      <c r="E1418" t="s">
        <v>371</v>
      </c>
      <c r="F1418" t="s">
        <v>6058</v>
      </c>
      <c r="G1418" s="2" t="str">
        <f>HYPERLINK("https://www.facebook.com/100012602833548/posts/423678744728883")</f>
        <v>https://www.facebook.com/100012602833548/posts/423678744728883</v>
      </c>
      <c r="H1418" t="s">
        <v>6062</v>
      </c>
      <c r="I1418" t="s">
        <v>1228</v>
      </c>
      <c r="J1418" s="2" t="str">
        <f>HYPERLINK("https://www.facebook.com/100012602833548")</f>
        <v>https://www.facebook.com/100012602833548</v>
      </c>
      <c r="K1418">
        <v>9</v>
      </c>
      <c r="L1418" t="s">
        <v>6064</v>
      </c>
      <c r="N1418" t="s">
        <v>13</v>
      </c>
      <c r="O1418" t="s">
        <v>1228</v>
      </c>
      <c r="P1418" s="2" t="str">
        <f>HYPERLINK("https://www.facebook.com/100012602833548")</f>
        <v>https://www.facebook.com/100012602833548</v>
      </c>
      <c r="Q1418">
        <v>9</v>
      </c>
      <c r="R1418" t="s">
        <v>6067</v>
      </c>
      <c r="S1418" t="s">
        <v>6073</v>
      </c>
    </row>
    <row r="1419" spans="1:19" ht="14.25" customHeight="1" x14ac:dyDescent="0.3">
      <c r="A1419" t="s">
        <v>3527</v>
      </c>
      <c r="B1419" t="s">
        <v>2348</v>
      </c>
      <c r="C1419" t="s">
        <v>95</v>
      </c>
      <c r="D1419" t="s">
        <v>508</v>
      </c>
      <c r="E1419" t="s">
        <v>509</v>
      </c>
      <c r="F1419" t="s">
        <v>6058</v>
      </c>
      <c r="G1419" s="2" t="str">
        <f>HYPERLINK("https://www.facebook.com/100010435247635/posts/580000519024451")</f>
        <v>https://www.facebook.com/100010435247635/posts/580000519024451</v>
      </c>
      <c r="H1419" t="s">
        <v>6062</v>
      </c>
      <c r="I1419" t="s">
        <v>3632</v>
      </c>
      <c r="J1419" s="2" t="str">
        <f>HYPERLINK("https://www.facebook.com/100010435247635")</f>
        <v>https://www.facebook.com/100010435247635</v>
      </c>
      <c r="K1419">
        <v>426</v>
      </c>
      <c r="L1419" t="s">
        <v>6064</v>
      </c>
      <c r="N1419" t="s">
        <v>13</v>
      </c>
      <c r="O1419" t="s">
        <v>3632</v>
      </c>
      <c r="P1419" s="2" t="str">
        <f>HYPERLINK("https://www.facebook.com/100010435247635")</f>
        <v>https://www.facebook.com/100010435247635</v>
      </c>
      <c r="Q1419">
        <v>426</v>
      </c>
      <c r="R1419" t="s">
        <v>6067</v>
      </c>
    </row>
    <row r="1420" spans="1:19" ht="14.25" customHeight="1" x14ac:dyDescent="0.3">
      <c r="A1420" t="s">
        <v>2225</v>
      </c>
      <c r="B1420" t="s">
        <v>720</v>
      </c>
      <c r="C1420" t="s">
        <v>95</v>
      </c>
      <c r="D1420" t="s">
        <v>1056</v>
      </c>
      <c r="E1420" t="s">
        <v>1057</v>
      </c>
      <c r="F1420" t="s">
        <v>6058</v>
      </c>
      <c r="G1420" s="2" t="str">
        <f>HYPERLINK("https://www.facebook.com/100008302713019/posts/2133844923568911")</f>
        <v>https://www.facebook.com/100008302713019/posts/2133844923568911</v>
      </c>
      <c r="H1420" t="s">
        <v>6062</v>
      </c>
      <c r="I1420" t="s">
        <v>2412</v>
      </c>
      <c r="J1420" s="2" t="str">
        <f>HYPERLINK("https://www.facebook.com/100008302713019")</f>
        <v>https://www.facebook.com/100008302713019</v>
      </c>
      <c r="K1420">
        <v>115</v>
      </c>
      <c r="L1420" t="s">
        <v>6063</v>
      </c>
      <c r="N1420" t="s">
        <v>13</v>
      </c>
      <c r="O1420" t="s">
        <v>2412</v>
      </c>
      <c r="P1420" s="2" t="str">
        <f>HYPERLINK("https://www.facebook.com/100008302713019")</f>
        <v>https://www.facebook.com/100008302713019</v>
      </c>
      <c r="Q1420">
        <v>115</v>
      </c>
      <c r="R1420" t="s">
        <v>6067</v>
      </c>
      <c r="S1420" t="s">
        <v>6073</v>
      </c>
    </row>
    <row r="1421" spans="1:19" ht="14.25" customHeight="1" x14ac:dyDescent="0.3">
      <c r="A1421" t="s">
        <v>4439</v>
      </c>
      <c r="B1421" t="s">
        <v>363</v>
      </c>
      <c r="C1421" t="s">
        <v>3538</v>
      </c>
      <c r="D1421" t="s">
        <v>2321</v>
      </c>
      <c r="E1421" t="s">
        <v>4811</v>
      </c>
      <c r="F1421" t="s">
        <v>6056</v>
      </c>
      <c r="G1421" s="2" t="str">
        <f>HYPERLINK("https://www.facebook.com/100014664510300/posts/365369547295193")</f>
        <v>https://www.facebook.com/100014664510300/posts/365369547295193</v>
      </c>
      <c r="H1421" t="s">
        <v>6062</v>
      </c>
      <c r="I1421" t="s">
        <v>4812</v>
      </c>
      <c r="J1421" s="2" t="str">
        <f>HYPERLINK("https://www.facebook.com/100014664510300")</f>
        <v>https://www.facebook.com/100014664510300</v>
      </c>
      <c r="K1421">
        <v>503</v>
      </c>
      <c r="L1421" t="s">
        <v>6063</v>
      </c>
      <c r="N1421" t="s">
        <v>13</v>
      </c>
      <c r="O1421" t="s">
        <v>4812</v>
      </c>
      <c r="P1421" s="2" t="str">
        <f>HYPERLINK("https://www.facebook.com/100014664510300")</f>
        <v>https://www.facebook.com/100014664510300</v>
      </c>
      <c r="Q1421">
        <v>503</v>
      </c>
      <c r="R1421" t="s">
        <v>6067</v>
      </c>
      <c r="S1421" t="s">
        <v>6073</v>
      </c>
    </row>
    <row r="1422" spans="1:19" ht="14.25" customHeight="1" x14ac:dyDescent="0.3">
      <c r="A1422" t="s">
        <v>5409</v>
      </c>
      <c r="B1422" t="s">
        <v>3165</v>
      </c>
      <c r="C1422" t="s">
        <v>3538</v>
      </c>
      <c r="D1422" t="s">
        <v>3780</v>
      </c>
      <c r="E1422" t="s">
        <v>4672</v>
      </c>
      <c r="F1422" t="s">
        <v>6058</v>
      </c>
      <c r="G1422" s="2" t="str">
        <f>HYPERLINK("https://www.facebook.com/100013931807940/posts/369286786879045")</f>
        <v>https://www.facebook.com/100013931807940/posts/369286786879045</v>
      </c>
      <c r="H1422" t="s">
        <v>6062</v>
      </c>
      <c r="I1422" t="s">
        <v>5651</v>
      </c>
      <c r="J1422" s="2" t="str">
        <f>HYPERLINK("https://www.facebook.com/100013931807940")</f>
        <v>https://www.facebook.com/100013931807940</v>
      </c>
      <c r="K1422">
        <v>69</v>
      </c>
      <c r="L1422" t="s">
        <v>6063</v>
      </c>
      <c r="N1422" t="s">
        <v>13</v>
      </c>
      <c r="O1422" t="s">
        <v>5651</v>
      </c>
      <c r="P1422" s="2" t="str">
        <f>HYPERLINK("https://www.facebook.com/100013931807940")</f>
        <v>https://www.facebook.com/100013931807940</v>
      </c>
      <c r="Q1422">
        <v>69</v>
      </c>
      <c r="R1422" t="s">
        <v>6067</v>
      </c>
    </row>
    <row r="1423" spans="1:19" ht="14.25" customHeight="1" x14ac:dyDescent="0.3">
      <c r="A1423" t="s">
        <v>4995</v>
      </c>
      <c r="B1423" t="s">
        <v>4909</v>
      </c>
      <c r="C1423" t="s">
        <v>3538</v>
      </c>
      <c r="D1423" t="s">
        <v>5117</v>
      </c>
      <c r="E1423" t="s">
        <v>5387</v>
      </c>
      <c r="F1423" t="s">
        <v>6059</v>
      </c>
      <c r="G1423" s="2" t="str">
        <f>HYPERLINK("https://www.facebook.com/100008916314935/posts/1781863062120887?comment_id=1782046562102537")</f>
        <v>https://www.facebook.com/100008916314935/posts/1781863062120887?comment_id=1782046562102537</v>
      </c>
      <c r="H1423" t="s">
        <v>6062</v>
      </c>
      <c r="I1423" t="s">
        <v>5388</v>
      </c>
      <c r="J1423" s="2" t="str">
        <f>HYPERLINK("https://www.facebook.com/637714520")</f>
        <v>https://www.facebook.com/637714520</v>
      </c>
      <c r="K1423">
        <v>0</v>
      </c>
      <c r="L1423" t="s">
        <v>6063</v>
      </c>
      <c r="N1423" t="s">
        <v>13</v>
      </c>
      <c r="O1423" t="s">
        <v>5120</v>
      </c>
      <c r="P1423" s="2" t="str">
        <f>HYPERLINK("https://www.facebook.com/100008916314935")</f>
        <v>https://www.facebook.com/100008916314935</v>
      </c>
      <c r="Q1423">
        <v>82</v>
      </c>
      <c r="R1423" t="s">
        <v>6067</v>
      </c>
      <c r="S1423" t="s">
        <v>6073</v>
      </c>
    </row>
    <row r="1424" spans="1:19" ht="14.25" customHeight="1" x14ac:dyDescent="0.3">
      <c r="A1424" t="s">
        <v>629</v>
      </c>
      <c r="B1424" t="s">
        <v>1950</v>
      </c>
      <c r="C1424" t="s">
        <v>95</v>
      </c>
      <c r="D1424" t="s">
        <v>370</v>
      </c>
      <c r="E1424" t="s">
        <v>371</v>
      </c>
      <c r="F1424" t="s">
        <v>6058</v>
      </c>
      <c r="G1424" s="2" t="str">
        <f>HYPERLINK("https://www.facebook.com/100011326877454/posts/735642603489962")</f>
        <v>https://www.facebook.com/100011326877454/posts/735642603489962</v>
      </c>
      <c r="H1424" t="s">
        <v>6062</v>
      </c>
      <c r="I1424" t="s">
        <v>1951</v>
      </c>
      <c r="J1424" s="2" t="str">
        <f>HYPERLINK("https://www.facebook.com/100011326877454")</f>
        <v>https://www.facebook.com/100011326877454</v>
      </c>
      <c r="K1424">
        <v>1097</v>
      </c>
      <c r="L1424" t="s">
        <v>6063</v>
      </c>
      <c r="N1424" t="s">
        <v>13</v>
      </c>
      <c r="O1424" t="s">
        <v>1951</v>
      </c>
      <c r="P1424" s="2" t="str">
        <f>HYPERLINK("https://www.facebook.com/100011326877454")</f>
        <v>https://www.facebook.com/100011326877454</v>
      </c>
      <c r="Q1424">
        <v>1097</v>
      </c>
      <c r="R1424" t="s">
        <v>6067</v>
      </c>
      <c r="S1424" t="s">
        <v>6073</v>
      </c>
    </row>
    <row r="1425" spans="1:19" ht="14.25" customHeight="1" x14ac:dyDescent="0.3">
      <c r="A1425" t="s">
        <v>2225</v>
      </c>
      <c r="B1425" t="s">
        <v>764</v>
      </c>
      <c r="C1425" t="s">
        <v>95</v>
      </c>
      <c r="D1425" t="s">
        <v>544</v>
      </c>
      <c r="E1425" t="s">
        <v>545</v>
      </c>
      <c r="F1425" t="s">
        <v>6058</v>
      </c>
      <c r="G1425" s="2" t="str">
        <f>HYPERLINK("https://www.facebook.com/100003197360364/posts/1596342930482270")</f>
        <v>https://www.facebook.com/100003197360364/posts/1596342930482270</v>
      </c>
      <c r="H1425" t="s">
        <v>6062</v>
      </c>
      <c r="I1425" t="s">
        <v>1561</v>
      </c>
      <c r="J1425" s="2" t="str">
        <f>HYPERLINK("https://www.facebook.com/100003197360364")</f>
        <v>https://www.facebook.com/100003197360364</v>
      </c>
      <c r="K1425">
        <v>2620</v>
      </c>
      <c r="L1425" t="s">
        <v>6063</v>
      </c>
      <c r="N1425" t="s">
        <v>13</v>
      </c>
      <c r="O1425" t="s">
        <v>1561</v>
      </c>
      <c r="P1425" s="2" t="str">
        <f>HYPERLINK("https://www.facebook.com/100003197360364")</f>
        <v>https://www.facebook.com/100003197360364</v>
      </c>
      <c r="Q1425">
        <v>2620</v>
      </c>
      <c r="R1425" t="s">
        <v>6067</v>
      </c>
      <c r="S1425" t="s">
        <v>6073</v>
      </c>
    </row>
    <row r="1426" spans="1:19" ht="14.25" customHeight="1" x14ac:dyDescent="0.3">
      <c r="A1426" t="s">
        <v>629</v>
      </c>
      <c r="B1426" t="s">
        <v>343</v>
      </c>
      <c r="C1426" t="s">
        <v>95</v>
      </c>
      <c r="D1426" t="s">
        <v>370</v>
      </c>
      <c r="E1426" t="s">
        <v>371</v>
      </c>
      <c r="F1426" t="s">
        <v>6058</v>
      </c>
      <c r="G1426" s="2" t="str">
        <f>HYPERLINK("https://www.facebook.com/100003197360364/posts/1596903143759582")</f>
        <v>https://www.facebook.com/100003197360364/posts/1596903143759582</v>
      </c>
      <c r="H1426" t="s">
        <v>6062</v>
      </c>
      <c r="I1426" t="s">
        <v>1561</v>
      </c>
      <c r="J1426" s="2" t="str">
        <f>HYPERLINK("https://www.facebook.com/100003197360364")</f>
        <v>https://www.facebook.com/100003197360364</v>
      </c>
      <c r="K1426">
        <v>2620</v>
      </c>
      <c r="L1426" t="s">
        <v>6063</v>
      </c>
      <c r="N1426" t="s">
        <v>13</v>
      </c>
      <c r="O1426" t="s">
        <v>1561</v>
      </c>
      <c r="P1426" s="2" t="str">
        <f>HYPERLINK("https://www.facebook.com/100003197360364")</f>
        <v>https://www.facebook.com/100003197360364</v>
      </c>
      <c r="Q1426">
        <v>2620</v>
      </c>
      <c r="R1426" t="s">
        <v>6067</v>
      </c>
      <c r="S1426" t="s">
        <v>6073</v>
      </c>
    </row>
    <row r="1427" spans="1:19" ht="14.25" customHeight="1" x14ac:dyDescent="0.3">
      <c r="A1427" t="s">
        <v>5409</v>
      </c>
      <c r="B1427" t="s">
        <v>4253</v>
      </c>
      <c r="C1427" t="s">
        <v>3538</v>
      </c>
      <c r="D1427" t="s">
        <v>5783</v>
      </c>
      <c r="E1427" t="s">
        <v>5784</v>
      </c>
      <c r="F1427" t="s">
        <v>6056</v>
      </c>
      <c r="G1427" s="2" t="str">
        <f>HYPERLINK("https://www.facebook.com/100002472442748/posts/1671433219615743")</f>
        <v>https://www.facebook.com/100002472442748/posts/1671433219615743</v>
      </c>
      <c r="H1427" t="s">
        <v>6062</v>
      </c>
      <c r="I1427" t="s">
        <v>5776</v>
      </c>
      <c r="J1427" s="2" t="str">
        <f>HYPERLINK("https://www.facebook.com/100002472442748")</f>
        <v>https://www.facebook.com/100002472442748</v>
      </c>
      <c r="K1427">
        <v>174</v>
      </c>
      <c r="L1427" t="s">
        <v>6063</v>
      </c>
      <c r="N1427" t="s">
        <v>13</v>
      </c>
      <c r="O1427" t="s">
        <v>5776</v>
      </c>
      <c r="P1427" s="2" t="str">
        <f>HYPERLINK("https://www.facebook.com/100002472442748")</f>
        <v>https://www.facebook.com/100002472442748</v>
      </c>
      <c r="Q1427">
        <v>174</v>
      </c>
      <c r="R1427" t="s">
        <v>6067</v>
      </c>
      <c r="S1427" t="s">
        <v>6073</v>
      </c>
    </row>
    <row r="1428" spans="1:19" ht="14.25" customHeight="1" x14ac:dyDescent="0.3">
      <c r="A1428" t="s">
        <v>629</v>
      </c>
      <c r="B1428" t="s">
        <v>997</v>
      </c>
      <c r="C1428" t="s">
        <v>95</v>
      </c>
      <c r="D1428" t="s">
        <v>10</v>
      </c>
      <c r="E1428" t="s">
        <v>999</v>
      </c>
      <c r="F1428" t="s">
        <v>6059</v>
      </c>
      <c r="G1428" s="2" t="str">
        <f>HYPERLINK("https://www.facebook.com/762053551/posts/10156366210158552?comment_id=10156366415358552")</f>
        <v>https://www.facebook.com/762053551/posts/10156366210158552?comment_id=10156366415358552</v>
      </c>
      <c r="H1428" t="s">
        <v>6062</v>
      </c>
      <c r="I1428" t="s">
        <v>1000</v>
      </c>
      <c r="J1428" s="2" t="str">
        <f>HYPERLINK("https://www.facebook.com/100001742564306")</f>
        <v>https://www.facebook.com/100001742564306</v>
      </c>
      <c r="K1428">
        <v>224</v>
      </c>
      <c r="L1428" t="s">
        <v>6063</v>
      </c>
      <c r="N1428" t="s">
        <v>13</v>
      </c>
      <c r="O1428" t="s">
        <v>14</v>
      </c>
      <c r="P1428" s="2" t="str">
        <f>HYPERLINK("https://www.facebook.com/762053551")</f>
        <v>https://www.facebook.com/762053551</v>
      </c>
      <c r="Q1428">
        <v>102347</v>
      </c>
      <c r="R1428" t="s">
        <v>6067</v>
      </c>
      <c r="S1428" t="s">
        <v>6073</v>
      </c>
    </row>
    <row r="1429" spans="1:19" ht="14.25" customHeight="1" x14ac:dyDescent="0.3">
      <c r="A1429" t="s">
        <v>629</v>
      </c>
      <c r="B1429" t="s">
        <v>1907</v>
      </c>
      <c r="C1429" t="s">
        <v>95</v>
      </c>
      <c r="D1429" t="s">
        <v>370</v>
      </c>
      <c r="E1429" t="s">
        <v>371</v>
      </c>
      <c r="F1429" t="s">
        <v>6058</v>
      </c>
      <c r="G1429" s="2" t="str">
        <f>HYPERLINK("https://www.facebook.com/100003967146909/posts/1107471012728460")</f>
        <v>https://www.facebook.com/100003967146909/posts/1107471012728460</v>
      </c>
      <c r="H1429" t="s">
        <v>6062</v>
      </c>
      <c r="I1429" t="s">
        <v>1908</v>
      </c>
      <c r="J1429" s="2" t="str">
        <f>HYPERLINK("https://www.facebook.com/100003967146909")</f>
        <v>https://www.facebook.com/100003967146909</v>
      </c>
      <c r="K1429">
        <v>3441</v>
      </c>
      <c r="L1429" t="s">
        <v>6063</v>
      </c>
      <c r="N1429" t="s">
        <v>13</v>
      </c>
      <c r="O1429" t="s">
        <v>1908</v>
      </c>
      <c r="P1429" s="2" t="str">
        <f>HYPERLINK("https://www.facebook.com/100003967146909")</f>
        <v>https://www.facebook.com/100003967146909</v>
      </c>
      <c r="Q1429">
        <v>3441</v>
      </c>
      <c r="R1429" t="s">
        <v>6067</v>
      </c>
      <c r="S1429" t="s">
        <v>6073</v>
      </c>
    </row>
    <row r="1430" spans="1:19" ht="14.25" customHeight="1" x14ac:dyDescent="0.3">
      <c r="A1430" t="s">
        <v>2225</v>
      </c>
      <c r="B1430" t="s">
        <v>921</v>
      </c>
      <c r="C1430" t="s">
        <v>95</v>
      </c>
      <c r="D1430" t="s">
        <v>2602</v>
      </c>
      <c r="E1430" t="s">
        <v>3041</v>
      </c>
      <c r="F1430" t="s">
        <v>6059</v>
      </c>
      <c r="G1430" s="2" t="str">
        <f>HYPERLINK("https://www.facebook.com/100000893960392/posts/1854701537902960?comment_id=1854723374567443")</f>
        <v>https://www.facebook.com/100000893960392/posts/1854701537902960?comment_id=1854723374567443</v>
      </c>
      <c r="H1430" t="s">
        <v>6062</v>
      </c>
      <c r="I1430" t="s">
        <v>3042</v>
      </c>
      <c r="J1430" s="2" t="str">
        <f>HYPERLINK("https://www.facebook.com/100009212356024")</f>
        <v>https://www.facebook.com/100009212356024</v>
      </c>
      <c r="K1430">
        <v>804</v>
      </c>
      <c r="L1430" t="s">
        <v>6063</v>
      </c>
      <c r="N1430" t="s">
        <v>13</v>
      </c>
      <c r="O1430" t="s">
        <v>2604</v>
      </c>
      <c r="P1430" s="2" t="str">
        <f>HYPERLINK("https://www.facebook.com/100000893960392")</f>
        <v>https://www.facebook.com/100000893960392</v>
      </c>
      <c r="Q1430">
        <v>2281</v>
      </c>
      <c r="R1430" t="s">
        <v>6067</v>
      </c>
      <c r="S1430" t="s">
        <v>6073</v>
      </c>
    </row>
    <row r="1431" spans="1:19" ht="14.25" customHeight="1" x14ac:dyDescent="0.3">
      <c r="A1431" t="s">
        <v>629</v>
      </c>
      <c r="B1431" t="s">
        <v>728</v>
      </c>
      <c r="C1431" t="s">
        <v>95</v>
      </c>
      <c r="D1431" t="s">
        <v>544</v>
      </c>
      <c r="E1431" t="s">
        <v>545</v>
      </c>
      <c r="F1431" t="s">
        <v>6058</v>
      </c>
      <c r="G1431" s="2" t="str">
        <f>HYPERLINK("https://www.facebook.com/100009321658403/posts/2019418951712140")</f>
        <v>https://www.facebook.com/100009321658403/posts/2019418951712140</v>
      </c>
      <c r="H1431" t="s">
        <v>6062</v>
      </c>
      <c r="I1431" t="s">
        <v>729</v>
      </c>
      <c r="J1431" s="2" t="str">
        <f>HYPERLINK("https://www.facebook.com/100009321658403")</f>
        <v>https://www.facebook.com/100009321658403</v>
      </c>
      <c r="K1431">
        <v>479</v>
      </c>
      <c r="L1431" t="s">
        <v>6063</v>
      </c>
      <c r="N1431" t="s">
        <v>13</v>
      </c>
      <c r="O1431" t="s">
        <v>729</v>
      </c>
      <c r="P1431" s="2" t="str">
        <f>HYPERLINK("https://www.facebook.com/100009321658403")</f>
        <v>https://www.facebook.com/100009321658403</v>
      </c>
      <c r="Q1431">
        <v>479</v>
      </c>
      <c r="R1431" t="s">
        <v>6067</v>
      </c>
    </row>
    <row r="1432" spans="1:19" ht="14.25" customHeight="1" x14ac:dyDescent="0.3">
      <c r="A1432" t="s">
        <v>629</v>
      </c>
      <c r="B1432" t="s">
        <v>730</v>
      </c>
      <c r="C1432" t="s">
        <v>95</v>
      </c>
      <c r="D1432" t="s">
        <v>544</v>
      </c>
      <c r="E1432" t="s">
        <v>545</v>
      </c>
      <c r="F1432" t="s">
        <v>6058</v>
      </c>
      <c r="G1432" s="2" t="str">
        <f>HYPERLINK("https://www.facebook.com/100009321658403/posts/2019418621712173")</f>
        <v>https://www.facebook.com/100009321658403/posts/2019418621712173</v>
      </c>
      <c r="H1432" t="s">
        <v>6062</v>
      </c>
      <c r="I1432" t="s">
        <v>729</v>
      </c>
      <c r="J1432" s="2" t="str">
        <f>HYPERLINK("https://www.facebook.com/100009321658403")</f>
        <v>https://www.facebook.com/100009321658403</v>
      </c>
      <c r="K1432">
        <v>479</v>
      </c>
      <c r="L1432" t="s">
        <v>6063</v>
      </c>
      <c r="N1432" t="s">
        <v>13</v>
      </c>
      <c r="O1432" t="s">
        <v>729</v>
      </c>
      <c r="P1432" s="2" t="str">
        <f>HYPERLINK("https://www.facebook.com/100009321658403")</f>
        <v>https://www.facebook.com/100009321658403</v>
      </c>
      <c r="Q1432">
        <v>479</v>
      </c>
      <c r="R1432" t="s">
        <v>6067</v>
      </c>
    </row>
    <row r="1433" spans="1:19" ht="14.25" customHeight="1" x14ac:dyDescent="0.3">
      <c r="A1433" t="s">
        <v>629</v>
      </c>
      <c r="B1433" t="s">
        <v>730</v>
      </c>
      <c r="C1433" t="s">
        <v>95</v>
      </c>
      <c r="D1433" t="s">
        <v>544</v>
      </c>
      <c r="E1433" t="s">
        <v>545</v>
      </c>
      <c r="F1433" t="s">
        <v>6058</v>
      </c>
      <c r="G1433" s="2" t="str">
        <f>HYPERLINK("https://www.facebook.com/100009321658403/posts/2019418471712188")</f>
        <v>https://www.facebook.com/100009321658403/posts/2019418471712188</v>
      </c>
      <c r="H1433" t="s">
        <v>6062</v>
      </c>
      <c r="I1433" t="s">
        <v>729</v>
      </c>
      <c r="J1433" s="2" t="str">
        <f>HYPERLINK("https://www.facebook.com/100009321658403")</f>
        <v>https://www.facebook.com/100009321658403</v>
      </c>
      <c r="K1433">
        <v>479</v>
      </c>
      <c r="L1433" t="s">
        <v>6063</v>
      </c>
      <c r="N1433" t="s">
        <v>13</v>
      </c>
      <c r="O1433" t="s">
        <v>729</v>
      </c>
      <c r="P1433" s="2" t="str">
        <f>HYPERLINK("https://www.facebook.com/100009321658403")</f>
        <v>https://www.facebook.com/100009321658403</v>
      </c>
      <c r="Q1433">
        <v>479</v>
      </c>
      <c r="R1433" t="s">
        <v>6067</v>
      </c>
    </row>
    <row r="1434" spans="1:19" ht="14.25" customHeight="1" x14ac:dyDescent="0.3">
      <c r="A1434" t="s">
        <v>2225</v>
      </c>
      <c r="B1434" t="s">
        <v>764</v>
      </c>
      <c r="C1434" t="s">
        <v>95</v>
      </c>
      <c r="D1434" t="s">
        <v>853</v>
      </c>
      <c r="E1434" t="s">
        <v>2872</v>
      </c>
      <c r="F1434" t="s">
        <v>6059</v>
      </c>
      <c r="G1434" s="2" t="str">
        <f>HYPERLINK("https://www.facebook.com/100008934274771/posts/1810262525948206?comment_id=1810265655947893")</f>
        <v>https://www.facebook.com/100008934274771/posts/1810262525948206?comment_id=1810265655947893</v>
      </c>
      <c r="H1434" t="s">
        <v>6062</v>
      </c>
      <c r="I1434" t="s">
        <v>1665</v>
      </c>
      <c r="J1434" s="2" t="str">
        <f>HYPERLINK("https://www.facebook.com/100023411670159")</f>
        <v>https://www.facebook.com/100023411670159</v>
      </c>
      <c r="K1434">
        <v>0</v>
      </c>
      <c r="L1434" t="s">
        <v>6063</v>
      </c>
      <c r="N1434" t="s">
        <v>13</v>
      </c>
      <c r="O1434" t="s">
        <v>856</v>
      </c>
      <c r="P1434" s="2" t="str">
        <f>HYPERLINK("https://www.facebook.com/100008934274771")</f>
        <v>https://www.facebook.com/100008934274771</v>
      </c>
      <c r="Q1434">
        <v>10395</v>
      </c>
      <c r="R1434" t="s">
        <v>6067</v>
      </c>
      <c r="S1434" t="s">
        <v>6073</v>
      </c>
    </row>
    <row r="1435" spans="1:19" ht="14.25" customHeight="1" x14ac:dyDescent="0.3">
      <c r="A1435" t="s">
        <v>2225</v>
      </c>
      <c r="B1435" t="s">
        <v>1523</v>
      </c>
      <c r="C1435" t="s">
        <v>95</v>
      </c>
      <c r="D1435" t="s">
        <v>3194</v>
      </c>
      <c r="E1435" t="s">
        <v>3195</v>
      </c>
      <c r="F1435" t="s">
        <v>6058</v>
      </c>
      <c r="G1435" s="2" t="str">
        <f>HYPERLINK("https://www.facebook.com/100023411670159/posts/188336785290043")</f>
        <v>https://www.facebook.com/100023411670159/posts/188336785290043</v>
      </c>
      <c r="H1435" t="s">
        <v>6062</v>
      </c>
      <c r="I1435" t="s">
        <v>1665</v>
      </c>
      <c r="J1435" s="2" t="str">
        <f>HYPERLINK("https://www.facebook.com/100023411670159")</f>
        <v>https://www.facebook.com/100023411670159</v>
      </c>
      <c r="K1435">
        <v>0</v>
      </c>
      <c r="L1435" t="s">
        <v>6063</v>
      </c>
      <c r="N1435" t="s">
        <v>13</v>
      </c>
      <c r="O1435" t="s">
        <v>1665</v>
      </c>
      <c r="P1435" s="2" t="str">
        <f>HYPERLINK("https://www.facebook.com/100023411670159")</f>
        <v>https://www.facebook.com/100023411670159</v>
      </c>
      <c r="Q1435">
        <v>0</v>
      </c>
      <c r="R1435" t="s">
        <v>6067</v>
      </c>
      <c r="S1435" t="s">
        <v>6073</v>
      </c>
    </row>
    <row r="1436" spans="1:19" ht="14.25" customHeight="1" x14ac:dyDescent="0.3">
      <c r="A1436" t="s">
        <v>2225</v>
      </c>
      <c r="B1436" t="s">
        <v>2887</v>
      </c>
      <c r="C1436" t="s">
        <v>95</v>
      </c>
      <c r="D1436" t="s">
        <v>544</v>
      </c>
      <c r="E1436" t="s">
        <v>545</v>
      </c>
      <c r="F1436" t="s">
        <v>6058</v>
      </c>
      <c r="G1436" s="2" t="str">
        <f>HYPERLINK("https://www.facebook.com/100023411670159/posts/188598008597254")</f>
        <v>https://www.facebook.com/100023411670159/posts/188598008597254</v>
      </c>
      <c r="H1436" t="s">
        <v>6062</v>
      </c>
      <c r="I1436" t="s">
        <v>1665</v>
      </c>
      <c r="J1436" s="2" t="str">
        <f>HYPERLINK("https://www.facebook.com/100023411670159")</f>
        <v>https://www.facebook.com/100023411670159</v>
      </c>
      <c r="K1436">
        <v>0</v>
      </c>
      <c r="L1436" t="s">
        <v>6063</v>
      </c>
      <c r="N1436" t="s">
        <v>13</v>
      </c>
      <c r="O1436" t="s">
        <v>1665</v>
      </c>
      <c r="P1436" s="2" t="str">
        <f>HYPERLINK("https://www.facebook.com/100023411670159")</f>
        <v>https://www.facebook.com/100023411670159</v>
      </c>
      <c r="Q1436">
        <v>0</v>
      </c>
      <c r="R1436" t="s">
        <v>6067</v>
      </c>
      <c r="S1436" t="s">
        <v>6073</v>
      </c>
    </row>
    <row r="1437" spans="1:19" ht="14.25" customHeight="1" x14ac:dyDescent="0.3">
      <c r="A1437" t="s">
        <v>629</v>
      </c>
      <c r="B1437" t="s">
        <v>369</v>
      </c>
      <c r="C1437" t="s">
        <v>95</v>
      </c>
      <c r="D1437" t="s">
        <v>370</v>
      </c>
      <c r="E1437" t="s">
        <v>371</v>
      </c>
      <c r="F1437" t="s">
        <v>6058</v>
      </c>
      <c r="G1437" s="2" t="str">
        <f>HYPERLINK("https://www.facebook.com/100023411670159/posts/188830058574049")</f>
        <v>https://www.facebook.com/100023411670159/posts/188830058574049</v>
      </c>
      <c r="H1437" t="s">
        <v>6062</v>
      </c>
      <c r="I1437" t="s">
        <v>1665</v>
      </c>
      <c r="J1437" s="2" t="str">
        <f>HYPERLINK("https://www.facebook.com/100023411670159")</f>
        <v>https://www.facebook.com/100023411670159</v>
      </c>
      <c r="K1437">
        <v>0</v>
      </c>
      <c r="L1437" t="s">
        <v>6063</v>
      </c>
      <c r="N1437" t="s">
        <v>13</v>
      </c>
      <c r="O1437" t="s">
        <v>1665</v>
      </c>
      <c r="P1437" s="2" t="str">
        <f>HYPERLINK("https://www.facebook.com/100023411670159")</f>
        <v>https://www.facebook.com/100023411670159</v>
      </c>
      <c r="Q1437">
        <v>0</v>
      </c>
      <c r="R1437" t="s">
        <v>6067</v>
      </c>
      <c r="S1437" t="s">
        <v>6073</v>
      </c>
    </row>
    <row r="1438" spans="1:19" ht="14.25" customHeight="1" x14ac:dyDescent="0.3">
      <c r="A1438" t="s">
        <v>2225</v>
      </c>
      <c r="B1438" t="s">
        <v>294</v>
      </c>
      <c r="C1438" t="s">
        <v>95</v>
      </c>
      <c r="D1438" t="s">
        <v>3206</v>
      </c>
      <c r="E1438" t="s">
        <v>3366</v>
      </c>
      <c r="F1438" t="s">
        <v>6059</v>
      </c>
      <c r="G1438" s="2" t="str">
        <f>HYPERLINK("https://www.facebook.com/100008934274771/posts/1810029789304813?comment_id=1810042939303498")</f>
        <v>https://www.facebook.com/100008934274771/posts/1810029789304813?comment_id=1810042939303498</v>
      </c>
      <c r="H1438" t="s">
        <v>6062</v>
      </c>
      <c r="I1438" t="s">
        <v>1665</v>
      </c>
      <c r="J1438" s="2" t="str">
        <f>HYPERLINK("https://www.facebook.com/100023411670159")</f>
        <v>https://www.facebook.com/100023411670159</v>
      </c>
      <c r="K1438">
        <v>0</v>
      </c>
      <c r="L1438" t="s">
        <v>6063</v>
      </c>
      <c r="N1438" t="s">
        <v>13</v>
      </c>
      <c r="O1438" t="s">
        <v>856</v>
      </c>
      <c r="P1438" s="2" t="str">
        <f>HYPERLINK("https://www.facebook.com/100008934274771")</f>
        <v>https://www.facebook.com/100008934274771</v>
      </c>
      <c r="Q1438">
        <v>10395</v>
      </c>
      <c r="R1438" t="s">
        <v>6067</v>
      </c>
      <c r="S1438" t="s">
        <v>6073</v>
      </c>
    </row>
    <row r="1439" spans="1:19" ht="14.25" customHeight="1" x14ac:dyDescent="0.3">
      <c r="A1439" t="s">
        <v>2225</v>
      </c>
      <c r="B1439" t="s">
        <v>2564</v>
      </c>
      <c r="C1439" t="s">
        <v>95</v>
      </c>
      <c r="D1439" t="s">
        <v>544</v>
      </c>
      <c r="E1439" t="s">
        <v>545</v>
      </c>
      <c r="F1439" t="s">
        <v>6058</v>
      </c>
      <c r="G1439" s="2" t="str">
        <f>HYPERLINK("https://www.facebook.com/100008824625814/posts/1808563029447834")</f>
        <v>https://www.facebook.com/100008824625814/posts/1808563029447834</v>
      </c>
      <c r="H1439" t="s">
        <v>6062</v>
      </c>
      <c r="I1439" t="s">
        <v>2572</v>
      </c>
      <c r="J1439" s="2" t="str">
        <f>HYPERLINK("https://www.facebook.com/100008824625814")</f>
        <v>https://www.facebook.com/100008824625814</v>
      </c>
      <c r="K1439">
        <v>1107</v>
      </c>
      <c r="L1439" t="s">
        <v>6063</v>
      </c>
      <c r="N1439" t="s">
        <v>13</v>
      </c>
      <c r="O1439" t="s">
        <v>2572</v>
      </c>
      <c r="P1439" s="2" t="str">
        <f>HYPERLINK("https://www.facebook.com/100008824625814")</f>
        <v>https://www.facebook.com/100008824625814</v>
      </c>
      <c r="Q1439">
        <v>1107</v>
      </c>
      <c r="R1439" t="s">
        <v>6067</v>
      </c>
    </row>
    <row r="1440" spans="1:19" ht="14.25" customHeight="1" x14ac:dyDescent="0.3">
      <c r="A1440" t="s">
        <v>2225</v>
      </c>
      <c r="B1440" t="s">
        <v>2803</v>
      </c>
      <c r="C1440" t="s">
        <v>95</v>
      </c>
      <c r="D1440" t="s">
        <v>544</v>
      </c>
      <c r="E1440" t="s">
        <v>545</v>
      </c>
      <c r="F1440" t="s">
        <v>6058</v>
      </c>
      <c r="G1440" s="2" t="str">
        <f>HYPERLINK("https://www.facebook.com/100001161589158/posts/1641042985944405")</f>
        <v>https://www.facebook.com/100001161589158/posts/1641042985944405</v>
      </c>
      <c r="H1440" t="s">
        <v>6062</v>
      </c>
      <c r="I1440" t="s">
        <v>2808</v>
      </c>
      <c r="J1440" s="2" t="str">
        <f>HYPERLINK("https://www.facebook.com/100001161589158")</f>
        <v>https://www.facebook.com/100001161589158</v>
      </c>
      <c r="K1440">
        <v>2003</v>
      </c>
      <c r="L1440" t="s">
        <v>6063</v>
      </c>
      <c r="N1440" t="s">
        <v>13</v>
      </c>
      <c r="O1440" t="s">
        <v>2808</v>
      </c>
      <c r="P1440" s="2" t="str">
        <f>HYPERLINK("https://www.facebook.com/100001161589158")</f>
        <v>https://www.facebook.com/100001161589158</v>
      </c>
      <c r="Q1440">
        <v>2003</v>
      </c>
      <c r="R1440" t="s">
        <v>6067</v>
      </c>
      <c r="S1440" t="s">
        <v>6073</v>
      </c>
    </row>
    <row r="1441" spans="1:19" ht="14.25" customHeight="1" x14ac:dyDescent="0.3">
      <c r="A1441" t="s">
        <v>629</v>
      </c>
      <c r="B1441" t="s">
        <v>1299</v>
      </c>
      <c r="C1441" t="s">
        <v>95</v>
      </c>
      <c r="D1441" t="s">
        <v>10</v>
      </c>
      <c r="E1441" t="s">
        <v>1300</v>
      </c>
      <c r="F1441" t="s">
        <v>6059</v>
      </c>
      <c r="G1441" s="2" t="str">
        <f>HYPERLINK("https://www.facebook.com/762053551/posts/10156366210158552?comment_id=10156366212723552")</f>
        <v>https://www.facebook.com/762053551/posts/10156366210158552?comment_id=10156366212723552</v>
      </c>
      <c r="H1441" t="s">
        <v>6062</v>
      </c>
      <c r="I1441" t="s">
        <v>1301</v>
      </c>
      <c r="J1441" s="2" t="str">
        <f>HYPERLINK("https://www.facebook.com/100001789691554")</f>
        <v>https://www.facebook.com/100001789691554</v>
      </c>
      <c r="K1441">
        <v>795</v>
      </c>
      <c r="L1441" t="s">
        <v>6063</v>
      </c>
      <c r="N1441" t="s">
        <v>13</v>
      </c>
      <c r="O1441" t="s">
        <v>14</v>
      </c>
      <c r="P1441" s="2" t="str">
        <f>HYPERLINK("https://www.facebook.com/762053551")</f>
        <v>https://www.facebook.com/762053551</v>
      </c>
      <c r="Q1441">
        <v>102347</v>
      </c>
      <c r="R1441" t="s">
        <v>6067</v>
      </c>
      <c r="S1441" t="s">
        <v>6101</v>
      </c>
    </row>
    <row r="1442" spans="1:19" ht="14.25" customHeight="1" x14ac:dyDescent="0.3">
      <c r="A1442" t="s">
        <v>2225</v>
      </c>
      <c r="B1442" t="s">
        <v>767</v>
      </c>
      <c r="C1442" t="s">
        <v>95</v>
      </c>
      <c r="D1442" t="s">
        <v>544</v>
      </c>
      <c r="E1442" t="s">
        <v>545</v>
      </c>
      <c r="F1442" t="s">
        <v>6058</v>
      </c>
      <c r="G1442" s="2" t="str">
        <f>HYPERLINK("https://www.facebook.com/100012582841176/posts/449763198786438")</f>
        <v>https://www.facebook.com/100012582841176/posts/449763198786438</v>
      </c>
      <c r="H1442" t="s">
        <v>6062</v>
      </c>
      <c r="I1442" t="s">
        <v>2878</v>
      </c>
      <c r="J1442" s="2" t="str">
        <f>HYPERLINK("https://www.facebook.com/100012582841176")</f>
        <v>https://www.facebook.com/100012582841176</v>
      </c>
      <c r="K1442">
        <v>113</v>
      </c>
      <c r="L1442" t="s">
        <v>6063</v>
      </c>
      <c r="N1442" t="s">
        <v>13</v>
      </c>
      <c r="O1442" t="s">
        <v>2878</v>
      </c>
      <c r="P1442" s="2" t="str">
        <f>HYPERLINK("https://www.facebook.com/100012582841176")</f>
        <v>https://www.facebook.com/100012582841176</v>
      </c>
      <c r="Q1442">
        <v>113</v>
      </c>
      <c r="R1442" t="s">
        <v>6067</v>
      </c>
    </row>
    <row r="1443" spans="1:19" ht="14.25" customHeight="1" x14ac:dyDescent="0.3">
      <c r="A1443" t="s">
        <v>2225</v>
      </c>
      <c r="B1443" t="s">
        <v>2702</v>
      </c>
      <c r="C1443" t="s">
        <v>95</v>
      </c>
      <c r="D1443" t="s">
        <v>544</v>
      </c>
      <c r="E1443" t="s">
        <v>545</v>
      </c>
      <c r="F1443" t="s">
        <v>6058</v>
      </c>
      <c r="G1443" s="2" t="str">
        <f>HYPERLINK("https://www.facebook.com/100010328027655/posts/618734158480846")</f>
        <v>https://www.facebook.com/100010328027655/posts/618734158480846</v>
      </c>
      <c r="H1443" t="s">
        <v>6062</v>
      </c>
      <c r="I1443" t="s">
        <v>2704</v>
      </c>
      <c r="J1443" s="2" t="str">
        <f>HYPERLINK("https://www.facebook.com/100010328027655")</f>
        <v>https://www.facebook.com/100010328027655</v>
      </c>
      <c r="K1443">
        <v>0</v>
      </c>
      <c r="L1443" t="s">
        <v>6063</v>
      </c>
      <c r="N1443" t="s">
        <v>13</v>
      </c>
      <c r="O1443" t="s">
        <v>2704</v>
      </c>
      <c r="P1443" s="2" t="str">
        <f>HYPERLINK("https://www.facebook.com/100010328027655")</f>
        <v>https://www.facebook.com/100010328027655</v>
      </c>
      <c r="Q1443">
        <v>0</v>
      </c>
      <c r="R1443" t="s">
        <v>6067</v>
      </c>
      <c r="S1443" t="s">
        <v>6073</v>
      </c>
    </row>
    <row r="1444" spans="1:19" ht="14.25" customHeight="1" x14ac:dyDescent="0.3">
      <c r="A1444" t="s">
        <v>2225</v>
      </c>
      <c r="B1444" t="s">
        <v>1511</v>
      </c>
      <c r="C1444" t="s">
        <v>95</v>
      </c>
      <c r="D1444" t="s">
        <v>3356</v>
      </c>
      <c r="E1444" t="s">
        <v>3357</v>
      </c>
      <c r="F1444" t="s">
        <v>6059</v>
      </c>
      <c r="G1444" s="2" t="str">
        <f>HYPERLINK("https://www.facebook.com/1581787837/posts/10210621564966938?comment_id=10210627649199040")</f>
        <v>https://www.facebook.com/1581787837/posts/10210621564966938?comment_id=10210627649199040</v>
      </c>
      <c r="H1444" t="s">
        <v>6062</v>
      </c>
      <c r="I1444" t="s">
        <v>3358</v>
      </c>
      <c r="J1444" s="2" t="str">
        <f>HYPERLINK("https://www.facebook.com/1581787837")</f>
        <v>https://www.facebook.com/1581787837</v>
      </c>
      <c r="K1444">
        <v>678</v>
      </c>
      <c r="L1444" t="s">
        <v>6063</v>
      </c>
      <c r="N1444" t="s">
        <v>13</v>
      </c>
      <c r="O1444" t="s">
        <v>3358</v>
      </c>
      <c r="P1444" s="2" t="str">
        <f>HYPERLINK("https://www.facebook.com/1581787837")</f>
        <v>https://www.facebook.com/1581787837</v>
      </c>
      <c r="Q1444">
        <v>678</v>
      </c>
      <c r="R1444" t="s">
        <v>6067</v>
      </c>
      <c r="S1444" t="s">
        <v>6073</v>
      </c>
    </row>
    <row r="1445" spans="1:19" ht="14.25" customHeight="1" x14ac:dyDescent="0.3">
      <c r="A1445" t="s">
        <v>3527</v>
      </c>
      <c r="B1445" t="s">
        <v>4193</v>
      </c>
      <c r="C1445" t="s">
        <v>95</v>
      </c>
      <c r="D1445" t="s">
        <v>3356</v>
      </c>
      <c r="E1445" t="s">
        <v>4194</v>
      </c>
      <c r="F1445" t="s">
        <v>6059</v>
      </c>
      <c r="G1445" s="2" t="str">
        <f>HYPERLINK("https://www.facebook.com/1581787837/posts/10210621564966938?comment_id=10210621770012064")</f>
        <v>https://www.facebook.com/1581787837/posts/10210621564966938?comment_id=10210621770012064</v>
      </c>
      <c r="H1445" t="s">
        <v>6062</v>
      </c>
      <c r="I1445" t="s">
        <v>3358</v>
      </c>
      <c r="J1445" s="2" t="str">
        <f>HYPERLINK("https://www.facebook.com/1581787837")</f>
        <v>https://www.facebook.com/1581787837</v>
      </c>
      <c r="K1445">
        <v>678</v>
      </c>
      <c r="L1445" t="s">
        <v>6063</v>
      </c>
      <c r="N1445" t="s">
        <v>13</v>
      </c>
      <c r="O1445" t="s">
        <v>3358</v>
      </c>
      <c r="P1445" s="2" t="str">
        <f>HYPERLINK("https://www.facebook.com/1581787837")</f>
        <v>https://www.facebook.com/1581787837</v>
      </c>
      <c r="Q1445">
        <v>678</v>
      </c>
      <c r="R1445" t="s">
        <v>6067</v>
      </c>
      <c r="S1445" t="s">
        <v>6073</v>
      </c>
    </row>
    <row r="1446" spans="1:19" ht="14.25" customHeight="1" x14ac:dyDescent="0.3">
      <c r="A1446" t="s">
        <v>2225</v>
      </c>
      <c r="B1446" t="s">
        <v>2356</v>
      </c>
      <c r="C1446" t="s">
        <v>95</v>
      </c>
      <c r="D1446" t="s">
        <v>544</v>
      </c>
      <c r="E1446" t="s">
        <v>2360</v>
      </c>
      <c r="F1446" t="s">
        <v>6059</v>
      </c>
      <c r="G1446" s="2" t="str">
        <f>HYPERLINK("https://www.facebook.com/100003278944034/posts/1643562215763061?comment_id=1643589032427046")</f>
        <v>https://www.facebook.com/100003278944034/posts/1643562215763061?comment_id=1643589032427046</v>
      </c>
      <c r="H1446" t="s">
        <v>6062</v>
      </c>
      <c r="I1446" t="s">
        <v>2361</v>
      </c>
      <c r="J1446" s="2" t="str">
        <f>HYPERLINK("https://www.facebook.com/100002314114336")</f>
        <v>https://www.facebook.com/100002314114336</v>
      </c>
      <c r="K1446">
        <v>0</v>
      </c>
      <c r="L1446" t="s">
        <v>6063</v>
      </c>
      <c r="N1446" t="s">
        <v>13</v>
      </c>
      <c r="O1446" t="s">
        <v>2362</v>
      </c>
      <c r="P1446" s="2" t="str">
        <f>HYPERLINK("https://www.facebook.com/100003278944034")</f>
        <v>https://www.facebook.com/100003278944034</v>
      </c>
      <c r="Q1446">
        <v>54</v>
      </c>
      <c r="R1446" t="s">
        <v>6067</v>
      </c>
      <c r="S1446" t="s">
        <v>6073</v>
      </c>
    </row>
    <row r="1447" spans="1:19" ht="14.25" customHeight="1" x14ac:dyDescent="0.3">
      <c r="A1447" t="s">
        <v>629</v>
      </c>
      <c r="B1447" t="s">
        <v>1845</v>
      </c>
      <c r="C1447" t="s">
        <v>95</v>
      </c>
      <c r="D1447" t="s">
        <v>370</v>
      </c>
      <c r="E1447" t="s">
        <v>371</v>
      </c>
      <c r="F1447" t="s">
        <v>6058</v>
      </c>
      <c r="G1447" s="2" t="str">
        <f>HYPERLINK("https://www.facebook.com/100011139163474/posts/564903477224286")</f>
        <v>https://www.facebook.com/100011139163474/posts/564903477224286</v>
      </c>
      <c r="H1447" t="s">
        <v>6062</v>
      </c>
      <c r="I1447" t="s">
        <v>1847</v>
      </c>
      <c r="J1447" s="2" t="str">
        <f>HYPERLINK("https://www.facebook.com/100011139163474")</f>
        <v>https://www.facebook.com/100011139163474</v>
      </c>
      <c r="K1447">
        <v>382</v>
      </c>
      <c r="L1447" t="s">
        <v>6063</v>
      </c>
      <c r="N1447" t="s">
        <v>13</v>
      </c>
      <c r="O1447" t="s">
        <v>1847</v>
      </c>
      <c r="P1447" s="2" t="str">
        <f>HYPERLINK("https://www.facebook.com/100011139163474")</f>
        <v>https://www.facebook.com/100011139163474</v>
      </c>
      <c r="Q1447">
        <v>382</v>
      </c>
      <c r="R1447" t="s">
        <v>6067</v>
      </c>
    </row>
    <row r="1448" spans="1:19" ht="14.25" customHeight="1" x14ac:dyDescent="0.3">
      <c r="A1448" t="s">
        <v>629</v>
      </c>
      <c r="B1448" t="s">
        <v>1031</v>
      </c>
      <c r="C1448" t="s">
        <v>95</v>
      </c>
      <c r="D1448" t="s">
        <v>10</v>
      </c>
      <c r="E1448" t="s">
        <v>1032</v>
      </c>
      <c r="F1448" t="s">
        <v>6059</v>
      </c>
      <c r="G1448" s="2" t="str">
        <f>HYPERLINK("https://www.facebook.com/762053551/posts/10156366210158552?comment_id=10156366374563552")</f>
        <v>https://www.facebook.com/762053551/posts/10156366210158552?comment_id=10156366374563552</v>
      </c>
      <c r="H1448" t="s">
        <v>6062</v>
      </c>
      <c r="I1448" t="s">
        <v>1033</v>
      </c>
      <c r="J1448" s="2" t="str">
        <f>HYPERLINK("https://www.facebook.com/100001963240183")</f>
        <v>https://www.facebook.com/100001963240183</v>
      </c>
      <c r="K1448">
        <v>249</v>
      </c>
      <c r="L1448" t="s">
        <v>6063</v>
      </c>
      <c r="N1448" t="s">
        <v>13</v>
      </c>
      <c r="O1448" t="s">
        <v>14</v>
      </c>
      <c r="P1448" s="2" t="str">
        <f>HYPERLINK("https://www.facebook.com/762053551")</f>
        <v>https://www.facebook.com/762053551</v>
      </c>
      <c r="Q1448">
        <v>102347</v>
      </c>
      <c r="R1448" t="s">
        <v>6067</v>
      </c>
      <c r="S1448" t="s">
        <v>6073</v>
      </c>
    </row>
    <row r="1449" spans="1:19" ht="14.25" customHeight="1" x14ac:dyDescent="0.3">
      <c r="A1449" t="s">
        <v>629</v>
      </c>
      <c r="B1449" t="s">
        <v>1622</v>
      </c>
      <c r="C1449" t="s">
        <v>95</v>
      </c>
      <c r="D1449" t="s">
        <v>370</v>
      </c>
      <c r="E1449" t="s">
        <v>371</v>
      </c>
      <c r="F1449" t="s">
        <v>6058</v>
      </c>
      <c r="G1449" s="2" t="str">
        <f>HYPERLINK("https://www.facebook.com/1519093104999590/posts/2030193423889553")</f>
        <v>https://www.facebook.com/1519093104999590/posts/2030193423889553</v>
      </c>
      <c r="H1449" t="s">
        <v>6062</v>
      </c>
      <c r="I1449" t="s">
        <v>1623</v>
      </c>
      <c r="J1449" s="2" t="str">
        <f>HYPERLINK("https://www.facebook.com/1519093104999590")</f>
        <v>https://www.facebook.com/1519093104999590</v>
      </c>
      <c r="K1449">
        <v>258</v>
      </c>
      <c r="L1449" t="s">
        <v>6065</v>
      </c>
      <c r="N1449" t="s">
        <v>13</v>
      </c>
      <c r="O1449" t="s">
        <v>1623</v>
      </c>
      <c r="P1449" s="2" t="str">
        <f>HYPERLINK("https://www.facebook.com/1519093104999590")</f>
        <v>https://www.facebook.com/1519093104999590</v>
      </c>
      <c r="Q1449">
        <v>258</v>
      </c>
      <c r="R1449" t="s">
        <v>6067</v>
      </c>
    </row>
    <row r="1450" spans="1:19" ht="14.25" customHeight="1" x14ac:dyDescent="0.3">
      <c r="A1450" t="s">
        <v>2225</v>
      </c>
      <c r="B1450" t="s">
        <v>2723</v>
      </c>
      <c r="C1450" t="s">
        <v>95</v>
      </c>
      <c r="D1450" t="s">
        <v>853</v>
      </c>
      <c r="E1450" t="s">
        <v>2729</v>
      </c>
      <c r="F1450" t="s">
        <v>6059</v>
      </c>
      <c r="G1450" s="2" t="str">
        <f>HYPERLINK("https://www.facebook.com/100008934274771/posts/1810262525948206?comment_id=1810274552613670")</f>
        <v>https://www.facebook.com/100008934274771/posts/1810262525948206?comment_id=1810274552613670</v>
      </c>
      <c r="H1450" t="s">
        <v>6062</v>
      </c>
      <c r="I1450" t="s">
        <v>2730</v>
      </c>
      <c r="J1450" s="2" t="str">
        <f>HYPERLINK("https://www.facebook.com/100014010198420")</f>
        <v>https://www.facebook.com/100014010198420</v>
      </c>
      <c r="K1450">
        <v>517</v>
      </c>
      <c r="L1450" t="s">
        <v>6063</v>
      </c>
      <c r="N1450" t="s">
        <v>13</v>
      </c>
      <c r="O1450" t="s">
        <v>856</v>
      </c>
      <c r="P1450" s="2" t="str">
        <f>HYPERLINK("https://www.facebook.com/100008934274771")</f>
        <v>https://www.facebook.com/100008934274771</v>
      </c>
      <c r="Q1450">
        <v>10395</v>
      </c>
      <c r="R1450" t="s">
        <v>6067</v>
      </c>
      <c r="S1450" t="s">
        <v>6073</v>
      </c>
    </row>
    <row r="1451" spans="1:19" ht="14.25" customHeight="1" x14ac:dyDescent="0.3">
      <c r="A1451" t="s">
        <v>2225</v>
      </c>
      <c r="B1451" t="s">
        <v>756</v>
      </c>
      <c r="C1451" t="s">
        <v>95</v>
      </c>
      <c r="D1451" t="s">
        <v>544</v>
      </c>
      <c r="E1451" t="s">
        <v>545</v>
      </c>
      <c r="F1451" t="s">
        <v>6058</v>
      </c>
      <c r="G1451" s="2" t="str">
        <f>HYPERLINK("https://www.facebook.com/100014010198420/posts/364759564001047")</f>
        <v>https://www.facebook.com/100014010198420/posts/364759564001047</v>
      </c>
      <c r="H1451" t="s">
        <v>6062</v>
      </c>
      <c r="I1451" t="s">
        <v>2730</v>
      </c>
      <c r="J1451" s="2" t="str">
        <f>HYPERLINK("https://www.facebook.com/100014010198420")</f>
        <v>https://www.facebook.com/100014010198420</v>
      </c>
      <c r="K1451">
        <v>517</v>
      </c>
      <c r="L1451" t="s">
        <v>6063</v>
      </c>
      <c r="N1451" t="s">
        <v>13</v>
      </c>
      <c r="O1451" t="s">
        <v>2730</v>
      </c>
      <c r="P1451" s="2" t="str">
        <f>HYPERLINK("https://www.facebook.com/100014010198420")</f>
        <v>https://www.facebook.com/100014010198420</v>
      </c>
      <c r="Q1451">
        <v>517</v>
      </c>
      <c r="R1451" t="s">
        <v>6067</v>
      </c>
      <c r="S1451" t="s">
        <v>6073</v>
      </c>
    </row>
    <row r="1452" spans="1:19" ht="14.25" customHeight="1" x14ac:dyDescent="0.3">
      <c r="A1452" t="s">
        <v>629</v>
      </c>
      <c r="B1452" t="s">
        <v>1059</v>
      </c>
      <c r="C1452" t="s">
        <v>95</v>
      </c>
      <c r="D1452" t="s">
        <v>10</v>
      </c>
      <c r="E1452" t="s">
        <v>1060</v>
      </c>
      <c r="F1452" t="s">
        <v>6059</v>
      </c>
      <c r="G1452" s="2" t="str">
        <f>HYPERLINK("https://www.facebook.com/762053551/posts/10156366210158552?comment_id=10156366359833552")</f>
        <v>https://www.facebook.com/762053551/posts/10156366210158552?comment_id=10156366359833552</v>
      </c>
      <c r="H1452" t="s">
        <v>6062</v>
      </c>
      <c r="I1452" t="s">
        <v>1061</v>
      </c>
      <c r="J1452" s="2" t="str">
        <f>HYPERLINK("https://www.facebook.com/100001097719951")</f>
        <v>https://www.facebook.com/100001097719951</v>
      </c>
      <c r="K1452">
        <v>3280</v>
      </c>
      <c r="L1452" t="s">
        <v>6063</v>
      </c>
      <c r="N1452" t="s">
        <v>13</v>
      </c>
      <c r="O1452" t="s">
        <v>14</v>
      </c>
      <c r="P1452" s="2" t="str">
        <f>HYPERLINK("https://www.facebook.com/762053551")</f>
        <v>https://www.facebook.com/762053551</v>
      </c>
      <c r="Q1452">
        <v>102347</v>
      </c>
      <c r="R1452" t="s">
        <v>6067</v>
      </c>
      <c r="S1452" t="s">
        <v>6073</v>
      </c>
    </row>
    <row r="1453" spans="1:19" ht="14.25" customHeight="1" x14ac:dyDescent="0.3">
      <c r="A1453" t="s">
        <v>629</v>
      </c>
      <c r="B1453" t="s">
        <v>1750</v>
      </c>
      <c r="C1453" t="s">
        <v>95</v>
      </c>
      <c r="D1453" t="s">
        <v>370</v>
      </c>
      <c r="E1453" t="s">
        <v>371</v>
      </c>
      <c r="F1453" t="s">
        <v>6058</v>
      </c>
      <c r="G1453" s="2" t="str">
        <f>HYPERLINK("https://www.facebook.com/100006958811885/posts/2023039504604657")</f>
        <v>https://www.facebook.com/100006958811885/posts/2023039504604657</v>
      </c>
      <c r="H1453" t="s">
        <v>6062</v>
      </c>
      <c r="I1453" t="s">
        <v>1751</v>
      </c>
      <c r="J1453" s="2" t="str">
        <f>HYPERLINK("https://www.facebook.com/100006958811885")</f>
        <v>https://www.facebook.com/100006958811885</v>
      </c>
      <c r="K1453">
        <v>514</v>
      </c>
      <c r="L1453" t="s">
        <v>6063</v>
      </c>
      <c r="N1453" t="s">
        <v>13</v>
      </c>
      <c r="O1453" t="s">
        <v>1751</v>
      </c>
      <c r="P1453" s="2" t="str">
        <f>HYPERLINK("https://www.facebook.com/100006958811885")</f>
        <v>https://www.facebook.com/100006958811885</v>
      </c>
      <c r="Q1453">
        <v>514</v>
      </c>
      <c r="R1453" t="s">
        <v>6067</v>
      </c>
    </row>
    <row r="1454" spans="1:19" ht="14.25" customHeight="1" x14ac:dyDescent="0.3">
      <c r="A1454" t="s">
        <v>629</v>
      </c>
      <c r="B1454" t="s">
        <v>1975</v>
      </c>
      <c r="C1454" t="s">
        <v>95</v>
      </c>
      <c r="D1454" t="s">
        <v>370</v>
      </c>
      <c r="E1454" t="s">
        <v>371</v>
      </c>
      <c r="F1454" t="s">
        <v>6058</v>
      </c>
      <c r="G1454" s="2" t="str">
        <f>HYPERLINK("https://www.facebook.com/1221159501315550/posts/164441870920016")</f>
        <v>https://www.facebook.com/1221159501315550/posts/164441870920016</v>
      </c>
      <c r="H1454" t="s">
        <v>6062</v>
      </c>
      <c r="I1454" t="s">
        <v>1976</v>
      </c>
      <c r="J1454" s="2" t="str">
        <f t="shared" ref="J1454:J1460" si="36">HYPERLINK("https://www.facebook.com/100020626123168")</f>
        <v>https://www.facebook.com/100020626123168</v>
      </c>
      <c r="K1454">
        <v>289</v>
      </c>
      <c r="L1454" t="s">
        <v>6064</v>
      </c>
      <c r="N1454" t="s">
        <v>13</v>
      </c>
      <c r="O1454" t="s">
        <v>1876</v>
      </c>
      <c r="P1454" s="2" t="str">
        <f>HYPERLINK("https://www.facebook.com/1221159501315550")</f>
        <v>https://www.facebook.com/1221159501315550</v>
      </c>
      <c r="R1454" t="s">
        <v>6067</v>
      </c>
    </row>
    <row r="1455" spans="1:19" ht="14.25" customHeight="1" x14ac:dyDescent="0.3">
      <c r="A1455" t="s">
        <v>629</v>
      </c>
      <c r="B1455" t="s">
        <v>1975</v>
      </c>
      <c r="C1455" t="s">
        <v>95</v>
      </c>
      <c r="D1455" t="s">
        <v>370</v>
      </c>
      <c r="E1455" t="s">
        <v>371</v>
      </c>
      <c r="F1455" t="s">
        <v>6058</v>
      </c>
      <c r="G1455" s="2" t="str">
        <f>HYPERLINK("https://www.facebook.com/551755915023768/posts/164441857586684")</f>
        <v>https://www.facebook.com/551755915023768/posts/164441857586684</v>
      </c>
      <c r="H1455" t="s">
        <v>6062</v>
      </c>
      <c r="I1455" t="s">
        <v>1976</v>
      </c>
      <c r="J1455" s="2" t="str">
        <f t="shared" si="36"/>
        <v>https://www.facebook.com/100020626123168</v>
      </c>
      <c r="K1455">
        <v>289</v>
      </c>
      <c r="L1455" t="s">
        <v>6064</v>
      </c>
      <c r="N1455" t="s">
        <v>13</v>
      </c>
      <c r="O1455" t="s">
        <v>1977</v>
      </c>
      <c r="P1455" s="2" t="str">
        <f>HYPERLINK("https://www.facebook.com/551755915023768")</f>
        <v>https://www.facebook.com/551755915023768</v>
      </c>
      <c r="R1455" t="s">
        <v>6067</v>
      </c>
    </row>
    <row r="1456" spans="1:19" ht="14.25" customHeight="1" x14ac:dyDescent="0.3">
      <c r="A1456" t="s">
        <v>629</v>
      </c>
      <c r="B1456" t="s">
        <v>1975</v>
      </c>
      <c r="C1456" t="s">
        <v>95</v>
      </c>
      <c r="D1456" t="s">
        <v>370</v>
      </c>
      <c r="E1456" t="s">
        <v>371</v>
      </c>
      <c r="F1456" t="s">
        <v>6058</v>
      </c>
      <c r="G1456" s="2" t="str">
        <f>HYPERLINK("https://www.facebook.com/805490922968881/posts/164441850920018")</f>
        <v>https://www.facebook.com/805490922968881/posts/164441850920018</v>
      </c>
      <c r="H1456" t="s">
        <v>6062</v>
      </c>
      <c r="I1456" t="s">
        <v>1976</v>
      </c>
      <c r="J1456" s="2" t="str">
        <f t="shared" si="36"/>
        <v>https://www.facebook.com/100020626123168</v>
      </c>
      <c r="K1456">
        <v>289</v>
      </c>
      <c r="L1456" t="s">
        <v>6064</v>
      </c>
      <c r="N1456" t="s">
        <v>13</v>
      </c>
      <c r="O1456" t="s">
        <v>1978</v>
      </c>
      <c r="P1456" s="2" t="str">
        <f>HYPERLINK("https://www.facebook.com/805490922968881")</f>
        <v>https://www.facebook.com/805490922968881</v>
      </c>
      <c r="R1456" t="s">
        <v>6067</v>
      </c>
    </row>
    <row r="1457" spans="1:19" ht="14.25" customHeight="1" x14ac:dyDescent="0.3">
      <c r="A1457" t="s">
        <v>629</v>
      </c>
      <c r="B1457" t="s">
        <v>1975</v>
      </c>
      <c r="C1457" t="s">
        <v>95</v>
      </c>
      <c r="D1457" t="s">
        <v>370</v>
      </c>
      <c r="E1457" t="s">
        <v>371</v>
      </c>
      <c r="F1457" t="s">
        <v>6058</v>
      </c>
      <c r="G1457" s="2" t="str">
        <f>HYPERLINK("https://www.facebook.com/1100859350028232/posts/164441840920019")</f>
        <v>https://www.facebook.com/1100859350028232/posts/164441840920019</v>
      </c>
      <c r="H1457" t="s">
        <v>6062</v>
      </c>
      <c r="I1457" t="s">
        <v>1976</v>
      </c>
      <c r="J1457" s="2" t="str">
        <f t="shared" si="36"/>
        <v>https://www.facebook.com/100020626123168</v>
      </c>
      <c r="K1457">
        <v>289</v>
      </c>
      <c r="L1457" t="s">
        <v>6064</v>
      </c>
      <c r="N1457" t="s">
        <v>13</v>
      </c>
      <c r="O1457" t="s">
        <v>1979</v>
      </c>
      <c r="P1457" s="2" t="str">
        <f>HYPERLINK("https://www.facebook.com/1100859350028232")</f>
        <v>https://www.facebook.com/1100859350028232</v>
      </c>
      <c r="R1457" t="s">
        <v>6067</v>
      </c>
    </row>
    <row r="1458" spans="1:19" ht="14.25" customHeight="1" x14ac:dyDescent="0.3">
      <c r="A1458" t="s">
        <v>629</v>
      </c>
      <c r="B1458" t="s">
        <v>1975</v>
      </c>
      <c r="C1458" t="s">
        <v>95</v>
      </c>
      <c r="D1458" t="s">
        <v>370</v>
      </c>
      <c r="E1458" t="s">
        <v>371</v>
      </c>
      <c r="F1458" t="s">
        <v>6058</v>
      </c>
      <c r="G1458" s="2" t="str">
        <f>HYPERLINK("https://www.facebook.com/146178742699152/posts/164441827586687")</f>
        <v>https://www.facebook.com/146178742699152/posts/164441827586687</v>
      </c>
      <c r="H1458" t="s">
        <v>6062</v>
      </c>
      <c r="I1458" t="s">
        <v>1976</v>
      </c>
      <c r="J1458" s="2" t="str">
        <f t="shared" si="36"/>
        <v>https://www.facebook.com/100020626123168</v>
      </c>
      <c r="K1458">
        <v>289</v>
      </c>
      <c r="L1458" t="s">
        <v>6064</v>
      </c>
      <c r="N1458" t="s">
        <v>13</v>
      </c>
      <c r="O1458" t="s">
        <v>1465</v>
      </c>
      <c r="P1458" s="2" t="str">
        <f>HYPERLINK("https://www.facebook.com/146178742699152")</f>
        <v>https://www.facebook.com/146178742699152</v>
      </c>
      <c r="R1458" t="s">
        <v>6067</v>
      </c>
    </row>
    <row r="1459" spans="1:19" ht="14.25" customHeight="1" x14ac:dyDescent="0.3">
      <c r="A1459" t="s">
        <v>629</v>
      </c>
      <c r="B1459" t="s">
        <v>1975</v>
      </c>
      <c r="C1459" t="s">
        <v>95</v>
      </c>
      <c r="D1459" t="s">
        <v>370</v>
      </c>
      <c r="E1459" t="s">
        <v>371</v>
      </c>
      <c r="F1459" t="s">
        <v>6058</v>
      </c>
      <c r="G1459" s="2" t="str">
        <f>HYPERLINK("https://www.facebook.com/403867569980507/posts/164441804253356")</f>
        <v>https://www.facebook.com/403867569980507/posts/164441804253356</v>
      </c>
      <c r="H1459" t="s">
        <v>6062</v>
      </c>
      <c r="I1459" t="s">
        <v>1976</v>
      </c>
      <c r="J1459" s="2" t="str">
        <f t="shared" si="36"/>
        <v>https://www.facebook.com/100020626123168</v>
      </c>
      <c r="K1459">
        <v>289</v>
      </c>
      <c r="L1459" t="s">
        <v>6064</v>
      </c>
      <c r="N1459" t="s">
        <v>13</v>
      </c>
      <c r="O1459" t="s">
        <v>1850</v>
      </c>
      <c r="P1459" s="2" t="str">
        <f>HYPERLINK("https://www.facebook.com/403867569980507")</f>
        <v>https://www.facebook.com/403867569980507</v>
      </c>
      <c r="R1459" t="s">
        <v>6067</v>
      </c>
    </row>
    <row r="1460" spans="1:19" ht="14.25" customHeight="1" x14ac:dyDescent="0.3">
      <c r="A1460" t="s">
        <v>629</v>
      </c>
      <c r="B1460" t="s">
        <v>1975</v>
      </c>
      <c r="C1460" t="s">
        <v>95</v>
      </c>
      <c r="D1460" t="s">
        <v>370</v>
      </c>
      <c r="E1460" t="s">
        <v>371</v>
      </c>
      <c r="F1460" t="s">
        <v>6058</v>
      </c>
      <c r="G1460" s="2" t="str">
        <f>HYPERLINK("https://www.facebook.com/1320347444652343/posts/164441760920027")</f>
        <v>https://www.facebook.com/1320347444652343/posts/164441760920027</v>
      </c>
      <c r="H1460" t="s">
        <v>6062</v>
      </c>
      <c r="I1460" t="s">
        <v>1976</v>
      </c>
      <c r="J1460" s="2" t="str">
        <f t="shared" si="36"/>
        <v>https://www.facebook.com/100020626123168</v>
      </c>
      <c r="K1460">
        <v>289</v>
      </c>
      <c r="L1460" t="s">
        <v>6064</v>
      </c>
      <c r="N1460" t="s">
        <v>13</v>
      </c>
      <c r="O1460" t="s">
        <v>1359</v>
      </c>
      <c r="P1460" s="2" t="str">
        <f>HYPERLINK("https://www.facebook.com/1320347444652343")</f>
        <v>https://www.facebook.com/1320347444652343</v>
      </c>
      <c r="R1460" t="s">
        <v>6067</v>
      </c>
    </row>
    <row r="1461" spans="1:19" ht="14.25" customHeight="1" x14ac:dyDescent="0.3">
      <c r="A1461" t="s">
        <v>2225</v>
      </c>
      <c r="B1461" t="s">
        <v>2596</v>
      </c>
      <c r="C1461" t="s">
        <v>95</v>
      </c>
      <c r="D1461" t="s">
        <v>544</v>
      </c>
      <c r="E1461" t="s">
        <v>545</v>
      </c>
      <c r="F1461" t="s">
        <v>6058</v>
      </c>
      <c r="G1461" s="2" t="str">
        <f>HYPERLINK("https://www.facebook.com/100003586522429/posts/1464020453727491")</f>
        <v>https://www.facebook.com/100003586522429/posts/1464020453727491</v>
      </c>
      <c r="H1461" t="s">
        <v>6062</v>
      </c>
      <c r="I1461" t="s">
        <v>2598</v>
      </c>
      <c r="J1461" s="2" t="str">
        <f>HYPERLINK("https://www.facebook.com/100003586522429")</f>
        <v>https://www.facebook.com/100003586522429</v>
      </c>
      <c r="K1461">
        <v>0</v>
      </c>
      <c r="L1461" t="s">
        <v>6064</v>
      </c>
      <c r="N1461" t="s">
        <v>13</v>
      </c>
      <c r="O1461" t="s">
        <v>2598</v>
      </c>
      <c r="P1461" s="2" t="str">
        <f>HYPERLINK("https://www.facebook.com/100003586522429")</f>
        <v>https://www.facebook.com/100003586522429</v>
      </c>
      <c r="Q1461">
        <v>0</v>
      </c>
      <c r="R1461" t="s">
        <v>6067</v>
      </c>
      <c r="S1461" t="s">
        <v>6073</v>
      </c>
    </row>
    <row r="1462" spans="1:19" ht="14.25" customHeight="1" x14ac:dyDescent="0.3">
      <c r="A1462" t="s">
        <v>2225</v>
      </c>
      <c r="B1462" t="s">
        <v>2596</v>
      </c>
      <c r="C1462" t="s">
        <v>95</v>
      </c>
      <c r="D1462" t="s">
        <v>544</v>
      </c>
      <c r="E1462" t="s">
        <v>545</v>
      </c>
      <c r="F1462" t="s">
        <v>6058</v>
      </c>
      <c r="G1462" s="2" t="str">
        <f>HYPERLINK("https://www.facebook.com/100003586522429/posts/1464020463727490")</f>
        <v>https://www.facebook.com/100003586522429/posts/1464020463727490</v>
      </c>
      <c r="H1462" t="s">
        <v>6062</v>
      </c>
      <c r="I1462" t="s">
        <v>2598</v>
      </c>
      <c r="J1462" s="2" t="str">
        <f>HYPERLINK("https://www.facebook.com/100003586522429")</f>
        <v>https://www.facebook.com/100003586522429</v>
      </c>
      <c r="K1462">
        <v>0</v>
      </c>
      <c r="L1462" t="s">
        <v>6064</v>
      </c>
      <c r="N1462" t="s">
        <v>13</v>
      </c>
      <c r="O1462" t="s">
        <v>2598</v>
      </c>
      <c r="P1462" s="2" t="str">
        <f>HYPERLINK("https://www.facebook.com/100003586522429")</f>
        <v>https://www.facebook.com/100003586522429</v>
      </c>
      <c r="Q1462">
        <v>0</v>
      </c>
      <c r="R1462" t="s">
        <v>6067</v>
      </c>
      <c r="S1462" t="s">
        <v>6073</v>
      </c>
    </row>
    <row r="1463" spans="1:19" ht="14.25" customHeight="1" x14ac:dyDescent="0.3">
      <c r="A1463" t="s">
        <v>629</v>
      </c>
      <c r="B1463" t="s">
        <v>452</v>
      </c>
      <c r="C1463" t="s">
        <v>95</v>
      </c>
      <c r="D1463" t="s">
        <v>370</v>
      </c>
      <c r="E1463" t="s">
        <v>371</v>
      </c>
      <c r="F1463" t="s">
        <v>6058</v>
      </c>
      <c r="G1463" s="2" t="str">
        <f>HYPERLINK("https://www.facebook.com/1221159501315550/posts/222752115127345")</f>
        <v>https://www.facebook.com/1221159501315550/posts/222752115127345</v>
      </c>
      <c r="H1463" t="s">
        <v>6062</v>
      </c>
      <c r="I1463" t="s">
        <v>1875</v>
      </c>
      <c r="J1463" s="2" t="str">
        <f t="shared" ref="J1463:J1469" si="37">HYPERLINK("https://www.facebook.com/100021776752551")</f>
        <v>https://www.facebook.com/100021776752551</v>
      </c>
      <c r="K1463">
        <v>0</v>
      </c>
      <c r="L1463" t="s">
        <v>6064</v>
      </c>
      <c r="N1463" t="s">
        <v>13</v>
      </c>
      <c r="O1463" t="s">
        <v>1876</v>
      </c>
      <c r="P1463" s="2" t="str">
        <f>HYPERLINK("https://www.facebook.com/1221159501315550")</f>
        <v>https://www.facebook.com/1221159501315550</v>
      </c>
      <c r="R1463" t="s">
        <v>6067</v>
      </c>
      <c r="S1463" t="s">
        <v>6073</v>
      </c>
    </row>
    <row r="1464" spans="1:19" ht="14.25" customHeight="1" x14ac:dyDescent="0.3">
      <c r="A1464" t="s">
        <v>629</v>
      </c>
      <c r="B1464" t="s">
        <v>452</v>
      </c>
      <c r="C1464" t="s">
        <v>95</v>
      </c>
      <c r="D1464" t="s">
        <v>370</v>
      </c>
      <c r="E1464" t="s">
        <v>371</v>
      </c>
      <c r="F1464" t="s">
        <v>6058</v>
      </c>
      <c r="G1464" s="2" t="str">
        <f>HYPERLINK("https://www.facebook.com/376753329410645/posts/222752105127346")</f>
        <v>https://www.facebook.com/376753329410645/posts/222752105127346</v>
      </c>
      <c r="H1464" t="s">
        <v>6062</v>
      </c>
      <c r="I1464" t="s">
        <v>1875</v>
      </c>
      <c r="J1464" s="2" t="str">
        <f t="shared" si="37"/>
        <v>https://www.facebook.com/100021776752551</v>
      </c>
      <c r="K1464">
        <v>0</v>
      </c>
      <c r="L1464" t="s">
        <v>6064</v>
      </c>
      <c r="N1464" t="s">
        <v>13</v>
      </c>
      <c r="O1464" t="s">
        <v>1877</v>
      </c>
      <c r="P1464" s="2" t="str">
        <f>HYPERLINK("https://www.facebook.com/376753329410645")</f>
        <v>https://www.facebook.com/376753329410645</v>
      </c>
      <c r="R1464" t="s">
        <v>6067</v>
      </c>
      <c r="S1464" t="s">
        <v>6073</v>
      </c>
    </row>
    <row r="1465" spans="1:19" ht="14.25" customHeight="1" x14ac:dyDescent="0.3">
      <c r="A1465" t="s">
        <v>629</v>
      </c>
      <c r="B1465" t="s">
        <v>452</v>
      </c>
      <c r="C1465" t="s">
        <v>95</v>
      </c>
      <c r="D1465" t="s">
        <v>370</v>
      </c>
      <c r="E1465" t="s">
        <v>371</v>
      </c>
      <c r="F1465" t="s">
        <v>6058</v>
      </c>
      <c r="G1465" s="2" t="str">
        <f>HYPERLINK("https://www.facebook.com/207354269852040/posts/222752028460687")</f>
        <v>https://www.facebook.com/207354269852040/posts/222752028460687</v>
      </c>
      <c r="H1465" t="s">
        <v>6062</v>
      </c>
      <c r="I1465" t="s">
        <v>1875</v>
      </c>
      <c r="J1465" s="2" t="str">
        <f t="shared" si="37"/>
        <v>https://www.facebook.com/100021776752551</v>
      </c>
      <c r="K1465">
        <v>0</v>
      </c>
      <c r="L1465" t="s">
        <v>6064</v>
      </c>
      <c r="N1465" t="s">
        <v>13</v>
      </c>
      <c r="O1465" t="s">
        <v>1878</v>
      </c>
      <c r="P1465" s="2" t="str">
        <f>HYPERLINK("https://www.facebook.com/207354269852040")</f>
        <v>https://www.facebook.com/207354269852040</v>
      </c>
      <c r="R1465" t="s">
        <v>6067</v>
      </c>
      <c r="S1465" t="s">
        <v>6073</v>
      </c>
    </row>
    <row r="1466" spans="1:19" ht="14.25" customHeight="1" x14ac:dyDescent="0.3">
      <c r="A1466" t="s">
        <v>629</v>
      </c>
      <c r="B1466" t="s">
        <v>452</v>
      </c>
      <c r="C1466" t="s">
        <v>95</v>
      </c>
      <c r="D1466" t="s">
        <v>370</v>
      </c>
      <c r="E1466" t="s">
        <v>371</v>
      </c>
      <c r="F1466" t="s">
        <v>6058</v>
      </c>
      <c r="G1466" s="2" t="str">
        <f>HYPERLINK("https://www.facebook.com/807503986021638/posts/222751958460694")</f>
        <v>https://www.facebook.com/807503986021638/posts/222751958460694</v>
      </c>
      <c r="H1466" t="s">
        <v>6062</v>
      </c>
      <c r="I1466" t="s">
        <v>1875</v>
      </c>
      <c r="J1466" s="2" t="str">
        <f t="shared" si="37"/>
        <v>https://www.facebook.com/100021776752551</v>
      </c>
      <c r="K1466">
        <v>0</v>
      </c>
      <c r="L1466" t="s">
        <v>6064</v>
      </c>
      <c r="N1466" t="s">
        <v>13</v>
      </c>
      <c r="O1466" t="s">
        <v>1358</v>
      </c>
      <c r="P1466" s="2" t="str">
        <f>HYPERLINK("https://www.facebook.com/807503986021638")</f>
        <v>https://www.facebook.com/807503986021638</v>
      </c>
      <c r="Q1466">
        <v>424</v>
      </c>
      <c r="R1466" t="s">
        <v>6067</v>
      </c>
      <c r="S1466" t="s">
        <v>6073</v>
      </c>
    </row>
    <row r="1467" spans="1:19" ht="14.25" customHeight="1" x14ac:dyDescent="0.3">
      <c r="A1467" t="s">
        <v>629</v>
      </c>
      <c r="B1467" t="s">
        <v>452</v>
      </c>
      <c r="C1467" t="s">
        <v>95</v>
      </c>
      <c r="D1467" t="s">
        <v>370</v>
      </c>
      <c r="E1467" t="s">
        <v>371</v>
      </c>
      <c r="F1467" t="s">
        <v>6058</v>
      </c>
      <c r="G1467" s="2" t="str">
        <f>HYPERLINK("https://www.facebook.com/807503986021638/posts/1472961802809183")</f>
        <v>https://www.facebook.com/807503986021638/posts/1472961802809183</v>
      </c>
      <c r="H1467" t="s">
        <v>6062</v>
      </c>
      <c r="I1467" t="s">
        <v>1875</v>
      </c>
      <c r="J1467" s="2" t="str">
        <f t="shared" si="37"/>
        <v>https://www.facebook.com/100021776752551</v>
      </c>
      <c r="K1467">
        <v>0</v>
      </c>
      <c r="L1467" t="s">
        <v>6064</v>
      </c>
      <c r="N1467" t="s">
        <v>13</v>
      </c>
      <c r="O1467" t="s">
        <v>1358</v>
      </c>
      <c r="P1467" s="2" t="str">
        <f>HYPERLINK("https://www.facebook.com/807503986021638")</f>
        <v>https://www.facebook.com/807503986021638</v>
      </c>
      <c r="Q1467">
        <v>424</v>
      </c>
      <c r="R1467" t="s">
        <v>6067</v>
      </c>
      <c r="S1467" t="s">
        <v>6073</v>
      </c>
    </row>
    <row r="1468" spans="1:19" ht="14.25" customHeight="1" x14ac:dyDescent="0.3">
      <c r="A1468" t="s">
        <v>629</v>
      </c>
      <c r="B1468" t="s">
        <v>452</v>
      </c>
      <c r="C1468" t="s">
        <v>95</v>
      </c>
      <c r="D1468" t="s">
        <v>370</v>
      </c>
      <c r="E1468" t="s">
        <v>371</v>
      </c>
      <c r="F1468" t="s">
        <v>6058</v>
      </c>
      <c r="G1468" s="2" t="str">
        <f>HYPERLINK("https://www.facebook.com/1320347444652343/posts/222751948460695")</f>
        <v>https://www.facebook.com/1320347444652343/posts/222751948460695</v>
      </c>
      <c r="H1468" t="s">
        <v>6062</v>
      </c>
      <c r="I1468" t="s">
        <v>1875</v>
      </c>
      <c r="J1468" s="2" t="str">
        <f t="shared" si="37"/>
        <v>https://www.facebook.com/100021776752551</v>
      </c>
      <c r="K1468">
        <v>0</v>
      </c>
      <c r="L1468" t="s">
        <v>6064</v>
      </c>
      <c r="N1468" t="s">
        <v>13</v>
      </c>
      <c r="O1468" t="s">
        <v>1359</v>
      </c>
      <c r="P1468" s="2" t="str">
        <f>HYPERLINK("https://www.facebook.com/1320347444652343")</f>
        <v>https://www.facebook.com/1320347444652343</v>
      </c>
      <c r="R1468" t="s">
        <v>6067</v>
      </c>
      <c r="S1468" t="s">
        <v>6073</v>
      </c>
    </row>
    <row r="1469" spans="1:19" ht="14.25" customHeight="1" x14ac:dyDescent="0.3">
      <c r="A1469" t="s">
        <v>629</v>
      </c>
      <c r="B1469" t="s">
        <v>452</v>
      </c>
      <c r="C1469" t="s">
        <v>95</v>
      </c>
      <c r="D1469" t="s">
        <v>1880</v>
      </c>
      <c r="E1469" t="s">
        <v>1881</v>
      </c>
      <c r="F1469" t="s">
        <v>6057</v>
      </c>
      <c r="G1469" s="2" t="str">
        <f>HYPERLINK("https://www.facebook.com/100021776752551/posts/222751911794032")</f>
        <v>https://www.facebook.com/100021776752551/posts/222751911794032</v>
      </c>
      <c r="H1469" t="s">
        <v>6062</v>
      </c>
      <c r="I1469" t="s">
        <v>1875</v>
      </c>
      <c r="J1469" s="2" t="str">
        <f t="shared" si="37"/>
        <v>https://www.facebook.com/100021776752551</v>
      </c>
      <c r="K1469">
        <v>0</v>
      </c>
      <c r="L1469" t="s">
        <v>6064</v>
      </c>
      <c r="N1469" t="s">
        <v>13</v>
      </c>
      <c r="O1469" t="s">
        <v>1875</v>
      </c>
      <c r="P1469" s="2" t="str">
        <f>HYPERLINK("https://www.facebook.com/100021776752551")</f>
        <v>https://www.facebook.com/100021776752551</v>
      </c>
      <c r="Q1469">
        <v>0</v>
      </c>
      <c r="R1469" t="s">
        <v>6067</v>
      </c>
      <c r="S1469" t="s">
        <v>6073</v>
      </c>
    </row>
    <row r="1470" spans="1:19" ht="14.25" customHeight="1" x14ac:dyDescent="0.3">
      <c r="A1470" t="s">
        <v>629</v>
      </c>
      <c r="B1470" t="s">
        <v>1698</v>
      </c>
      <c r="C1470" t="s">
        <v>95</v>
      </c>
      <c r="D1470" t="s">
        <v>370</v>
      </c>
      <c r="E1470" t="s">
        <v>371</v>
      </c>
      <c r="F1470" t="s">
        <v>6058</v>
      </c>
      <c r="G1470" s="2" t="str">
        <f>HYPERLINK("https://www.facebook.com/100023292314179/posts/190676405052102")</f>
        <v>https://www.facebook.com/100023292314179/posts/190676405052102</v>
      </c>
      <c r="H1470" t="s">
        <v>6062</v>
      </c>
      <c r="I1470" t="s">
        <v>1700</v>
      </c>
      <c r="J1470" s="2" t="str">
        <f>HYPERLINK("https://www.facebook.com/100023292314179")</f>
        <v>https://www.facebook.com/100023292314179</v>
      </c>
      <c r="K1470">
        <v>29</v>
      </c>
      <c r="L1470" t="s">
        <v>6064</v>
      </c>
      <c r="N1470" t="s">
        <v>13</v>
      </c>
      <c r="O1470" t="s">
        <v>1700</v>
      </c>
      <c r="P1470" s="2" t="str">
        <f>HYPERLINK("https://www.facebook.com/100023292314179")</f>
        <v>https://www.facebook.com/100023292314179</v>
      </c>
      <c r="Q1470">
        <v>29</v>
      </c>
      <c r="R1470" t="s">
        <v>6067</v>
      </c>
      <c r="S1470" t="s">
        <v>6073</v>
      </c>
    </row>
    <row r="1471" spans="1:19" ht="14.25" customHeight="1" x14ac:dyDescent="0.3">
      <c r="A1471" t="s">
        <v>629</v>
      </c>
      <c r="B1471" t="s">
        <v>1750</v>
      </c>
      <c r="C1471" t="s">
        <v>95</v>
      </c>
      <c r="D1471" t="s">
        <v>370</v>
      </c>
      <c r="E1471" t="s">
        <v>371</v>
      </c>
      <c r="F1471" t="s">
        <v>6058</v>
      </c>
      <c r="G1471" s="2" t="str">
        <f>HYPERLINK("https://www.facebook.com/100023292314179/posts/190673851719024")</f>
        <v>https://www.facebook.com/100023292314179/posts/190673851719024</v>
      </c>
      <c r="H1471" t="s">
        <v>6062</v>
      </c>
      <c r="I1471" t="s">
        <v>1700</v>
      </c>
      <c r="J1471" s="2" t="str">
        <f>HYPERLINK("https://www.facebook.com/100023292314179")</f>
        <v>https://www.facebook.com/100023292314179</v>
      </c>
      <c r="K1471">
        <v>29</v>
      </c>
      <c r="L1471" t="s">
        <v>6064</v>
      </c>
      <c r="N1471" t="s">
        <v>13</v>
      </c>
      <c r="O1471" t="s">
        <v>1700</v>
      </c>
      <c r="P1471" s="2" t="str">
        <f>HYPERLINK("https://www.facebook.com/100023292314179")</f>
        <v>https://www.facebook.com/100023292314179</v>
      </c>
      <c r="Q1471">
        <v>29</v>
      </c>
      <c r="R1471" t="s">
        <v>6067</v>
      </c>
      <c r="S1471" t="s">
        <v>6073</v>
      </c>
    </row>
    <row r="1472" spans="1:19" ht="14.25" customHeight="1" x14ac:dyDescent="0.3">
      <c r="A1472" t="s">
        <v>629</v>
      </c>
      <c r="B1472" t="s">
        <v>1780</v>
      </c>
      <c r="C1472" t="s">
        <v>95</v>
      </c>
      <c r="D1472" t="s">
        <v>370</v>
      </c>
      <c r="E1472" t="s">
        <v>371</v>
      </c>
      <c r="F1472" t="s">
        <v>6058</v>
      </c>
      <c r="G1472" s="2" t="str">
        <f>HYPERLINK("https://www.facebook.com/100023292314179/posts/190671651719244")</f>
        <v>https://www.facebook.com/100023292314179/posts/190671651719244</v>
      </c>
      <c r="H1472" t="s">
        <v>6062</v>
      </c>
      <c r="I1472" t="s">
        <v>1700</v>
      </c>
      <c r="J1472" s="2" t="str">
        <f>HYPERLINK("https://www.facebook.com/100023292314179")</f>
        <v>https://www.facebook.com/100023292314179</v>
      </c>
      <c r="K1472">
        <v>29</v>
      </c>
      <c r="L1472" t="s">
        <v>6064</v>
      </c>
      <c r="N1472" t="s">
        <v>13</v>
      </c>
      <c r="O1472" t="s">
        <v>1700</v>
      </c>
      <c r="P1472" s="2" t="str">
        <f>HYPERLINK("https://www.facebook.com/100023292314179")</f>
        <v>https://www.facebook.com/100023292314179</v>
      </c>
      <c r="Q1472">
        <v>29</v>
      </c>
      <c r="R1472" t="s">
        <v>6067</v>
      </c>
      <c r="S1472" t="s">
        <v>6073</v>
      </c>
    </row>
    <row r="1473" spans="1:19" ht="14.25" customHeight="1" x14ac:dyDescent="0.3">
      <c r="A1473" t="s">
        <v>629</v>
      </c>
      <c r="B1473" t="s">
        <v>415</v>
      </c>
      <c r="C1473" t="s">
        <v>95</v>
      </c>
      <c r="D1473" t="s">
        <v>370</v>
      </c>
      <c r="E1473" t="s">
        <v>371</v>
      </c>
      <c r="F1473" t="s">
        <v>6058</v>
      </c>
      <c r="G1473" s="2" t="str">
        <f>HYPERLINK("https://www.facebook.com/100023292314179/posts/190671465052596")</f>
        <v>https://www.facebook.com/100023292314179/posts/190671465052596</v>
      </c>
      <c r="H1473" t="s">
        <v>6062</v>
      </c>
      <c r="I1473" t="s">
        <v>1700</v>
      </c>
      <c r="J1473" s="2" t="str">
        <f>HYPERLINK("https://www.facebook.com/100023292314179")</f>
        <v>https://www.facebook.com/100023292314179</v>
      </c>
      <c r="K1473">
        <v>29</v>
      </c>
      <c r="L1473" t="s">
        <v>6064</v>
      </c>
      <c r="N1473" t="s">
        <v>13</v>
      </c>
      <c r="O1473" t="s">
        <v>1700</v>
      </c>
      <c r="P1473" s="2" t="str">
        <f>HYPERLINK("https://www.facebook.com/100023292314179")</f>
        <v>https://www.facebook.com/100023292314179</v>
      </c>
      <c r="Q1473">
        <v>29</v>
      </c>
      <c r="R1473" t="s">
        <v>6067</v>
      </c>
      <c r="S1473" t="s">
        <v>6073</v>
      </c>
    </row>
    <row r="1474" spans="1:19" ht="14.25" customHeight="1" x14ac:dyDescent="0.3">
      <c r="A1474" t="s">
        <v>629</v>
      </c>
      <c r="B1474" t="s">
        <v>1783</v>
      </c>
      <c r="C1474" t="s">
        <v>95</v>
      </c>
      <c r="D1474" t="s">
        <v>370</v>
      </c>
      <c r="E1474" t="s">
        <v>371</v>
      </c>
      <c r="F1474" t="s">
        <v>6058</v>
      </c>
      <c r="G1474" s="2" t="str">
        <f>HYPERLINK("https://www.facebook.com/100023292314179/posts/190671325052610")</f>
        <v>https://www.facebook.com/100023292314179/posts/190671325052610</v>
      </c>
      <c r="H1474" t="s">
        <v>6062</v>
      </c>
      <c r="I1474" t="s">
        <v>1700</v>
      </c>
      <c r="J1474" s="2" t="str">
        <f>HYPERLINK("https://www.facebook.com/100023292314179")</f>
        <v>https://www.facebook.com/100023292314179</v>
      </c>
      <c r="K1474">
        <v>29</v>
      </c>
      <c r="L1474" t="s">
        <v>6064</v>
      </c>
      <c r="N1474" t="s">
        <v>13</v>
      </c>
      <c r="O1474" t="s">
        <v>1700</v>
      </c>
      <c r="P1474" s="2" t="str">
        <f>HYPERLINK("https://www.facebook.com/100023292314179")</f>
        <v>https://www.facebook.com/100023292314179</v>
      </c>
      <c r="Q1474">
        <v>29</v>
      </c>
      <c r="R1474" t="s">
        <v>6067</v>
      </c>
      <c r="S1474" t="s">
        <v>6073</v>
      </c>
    </row>
    <row r="1475" spans="1:19" ht="14.25" customHeight="1" x14ac:dyDescent="0.3">
      <c r="A1475" t="s">
        <v>629</v>
      </c>
      <c r="B1475" t="s">
        <v>1862</v>
      </c>
      <c r="C1475" t="s">
        <v>95</v>
      </c>
      <c r="D1475" t="s">
        <v>370</v>
      </c>
      <c r="E1475" t="s">
        <v>371</v>
      </c>
      <c r="F1475" t="s">
        <v>6058</v>
      </c>
      <c r="G1475" s="2" t="str">
        <f>HYPERLINK("https://www.facebook.com/100024454247814/posts/156381115187029")</f>
        <v>https://www.facebook.com/100024454247814/posts/156381115187029</v>
      </c>
      <c r="H1475" t="s">
        <v>6062</v>
      </c>
      <c r="I1475" t="s">
        <v>1863</v>
      </c>
      <c r="J1475" s="2" t="str">
        <f>HYPERLINK("https://www.facebook.com/100024454247814")</f>
        <v>https://www.facebook.com/100024454247814</v>
      </c>
      <c r="K1475">
        <v>289</v>
      </c>
      <c r="L1475" t="s">
        <v>6064</v>
      </c>
      <c r="N1475" t="s">
        <v>13</v>
      </c>
      <c r="O1475" t="s">
        <v>1863</v>
      </c>
      <c r="P1475" s="2" t="str">
        <f>HYPERLINK("https://www.facebook.com/100024454247814")</f>
        <v>https://www.facebook.com/100024454247814</v>
      </c>
      <c r="Q1475">
        <v>289</v>
      </c>
      <c r="R1475" t="s">
        <v>6067</v>
      </c>
    </row>
    <row r="1476" spans="1:19" ht="14.25" customHeight="1" x14ac:dyDescent="0.3">
      <c r="A1476" t="s">
        <v>629</v>
      </c>
      <c r="B1476" t="s">
        <v>441</v>
      </c>
      <c r="C1476" t="s">
        <v>95</v>
      </c>
      <c r="D1476" t="s">
        <v>370</v>
      </c>
      <c r="E1476" t="s">
        <v>371</v>
      </c>
      <c r="F1476" t="s">
        <v>6058</v>
      </c>
      <c r="G1476" s="2" t="str">
        <f>HYPERLINK("https://www.facebook.com/100024454247814/posts/156380901853717")</f>
        <v>https://www.facebook.com/100024454247814/posts/156380901853717</v>
      </c>
      <c r="H1476" t="s">
        <v>6062</v>
      </c>
      <c r="I1476" t="s">
        <v>1863</v>
      </c>
      <c r="J1476" s="2" t="str">
        <f>HYPERLINK("https://www.facebook.com/100024454247814")</f>
        <v>https://www.facebook.com/100024454247814</v>
      </c>
      <c r="K1476">
        <v>289</v>
      </c>
      <c r="L1476" t="s">
        <v>6064</v>
      </c>
      <c r="N1476" t="s">
        <v>13</v>
      </c>
      <c r="O1476" t="s">
        <v>1863</v>
      </c>
      <c r="P1476" s="2" t="str">
        <f>HYPERLINK("https://www.facebook.com/100024454247814")</f>
        <v>https://www.facebook.com/100024454247814</v>
      </c>
      <c r="Q1476">
        <v>289</v>
      </c>
      <c r="R1476" t="s">
        <v>6067</v>
      </c>
    </row>
    <row r="1477" spans="1:19" ht="14.25" customHeight="1" x14ac:dyDescent="0.3">
      <c r="A1477" t="s">
        <v>2225</v>
      </c>
      <c r="B1477" t="s">
        <v>2691</v>
      </c>
      <c r="C1477" t="s">
        <v>95</v>
      </c>
      <c r="D1477" t="s">
        <v>544</v>
      </c>
      <c r="E1477" t="s">
        <v>545</v>
      </c>
      <c r="F1477" t="s">
        <v>6058</v>
      </c>
      <c r="G1477" s="2" t="str">
        <f>HYPERLINK("https://www.facebook.com/100011100348578/posts/568836076829732")</f>
        <v>https://www.facebook.com/100011100348578/posts/568836076829732</v>
      </c>
      <c r="H1477" t="s">
        <v>6062</v>
      </c>
      <c r="I1477" t="s">
        <v>2692</v>
      </c>
      <c r="J1477" s="2" t="str">
        <f>HYPERLINK("https://www.facebook.com/100011100348578")</f>
        <v>https://www.facebook.com/100011100348578</v>
      </c>
      <c r="K1477">
        <v>191</v>
      </c>
      <c r="L1477" t="s">
        <v>6064</v>
      </c>
      <c r="N1477" t="s">
        <v>13</v>
      </c>
      <c r="O1477" t="s">
        <v>2692</v>
      </c>
      <c r="P1477" s="2" t="str">
        <f>HYPERLINK("https://www.facebook.com/100011100348578")</f>
        <v>https://www.facebook.com/100011100348578</v>
      </c>
      <c r="Q1477">
        <v>191</v>
      </c>
      <c r="R1477" t="s">
        <v>6067</v>
      </c>
      <c r="S1477" t="s">
        <v>6091</v>
      </c>
    </row>
    <row r="1478" spans="1:19" ht="14.25" customHeight="1" x14ac:dyDescent="0.3">
      <c r="A1478" t="s">
        <v>2225</v>
      </c>
      <c r="B1478" t="s">
        <v>2659</v>
      </c>
      <c r="C1478" t="s">
        <v>95</v>
      </c>
      <c r="D1478" t="s">
        <v>544</v>
      </c>
      <c r="E1478" t="s">
        <v>545</v>
      </c>
      <c r="F1478" t="s">
        <v>6058</v>
      </c>
      <c r="G1478" s="2" t="str">
        <f>HYPERLINK("https://www.facebook.com/100002284819553/posts/1665853586834119")</f>
        <v>https://www.facebook.com/100002284819553/posts/1665853586834119</v>
      </c>
      <c r="H1478" t="s">
        <v>6062</v>
      </c>
      <c r="I1478" t="s">
        <v>2660</v>
      </c>
      <c r="J1478" s="2" t="str">
        <f>HYPERLINK("https://www.facebook.com/100002284819553")</f>
        <v>https://www.facebook.com/100002284819553</v>
      </c>
      <c r="K1478">
        <v>284</v>
      </c>
      <c r="L1478" t="s">
        <v>6064</v>
      </c>
      <c r="N1478" t="s">
        <v>13</v>
      </c>
      <c r="O1478" t="s">
        <v>2660</v>
      </c>
      <c r="P1478" s="2" t="str">
        <f>HYPERLINK("https://www.facebook.com/100002284819553")</f>
        <v>https://www.facebook.com/100002284819553</v>
      </c>
      <c r="Q1478">
        <v>284</v>
      </c>
      <c r="R1478" t="s">
        <v>6067</v>
      </c>
    </row>
    <row r="1479" spans="1:19" ht="14.25" customHeight="1" x14ac:dyDescent="0.3">
      <c r="A1479" t="s">
        <v>2225</v>
      </c>
      <c r="B1479" t="s">
        <v>2413</v>
      </c>
      <c r="C1479" t="s">
        <v>95</v>
      </c>
      <c r="D1479" t="s">
        <v>853</v>
      </c>
      <c r="E1479" t="s">
        <v>2417</v>
      </c>
      <c r="F1479" t="s">
        <v>6059</v>
      </c>
      <c r="G1479" s="2" t="str">
        <f>HYPERLINK("https://www.facebook.com/100008934274771/posts/1810262525948206?comment_id=1810296285944830")</f>
        <v>https://www.facebook.com/100008934274771/posts/1810262525948206?comment_id=1810296285944830</v>
      </c>
      <c r="H1479" t="s">
        <v>6062</v>
      </c>
      <c r="I1479" t="s">
        <v>2418</v>
      </c>
      <c r="J1479" s="2" t="str">
        <f>HYPERLINK("https://www.facebook.com/100004820800687")</f>
        <v>https://www.facebook.com/100004820800687</v>
      </c>
      <c r="K1479">
        <v>225</v>
      </c>
      <c r="L1479" t="s">
        <v>6064</v>
      </c>
      <c r="N1479" t="s">
        <v>13</v>
      </c>
      <c r="O1479" t="s">
        <v>856</v>
      </c>
      <c r="P1479" s="2" t="str">
        <f>HYPERLINK("https://www.facebook.com/100008934274771")</f>
        <v>https://www.facebook.com/100008934274771</v>
      </c>
      <c r="Q1479">
        <v>10395</v>
      </c>
      <c r="R1479" t="s">
        <v>6067</v>
      </c>
      <c r="S1479" t="s">
        <v>6073</v>
      </c>
    </row>
    <row r="1480" spans="1:19" ht="14.25" customHeight="1" x14ac:dyDescent="0.3">
      <c r="A1480" t="s">
        <v>2225</v>
      </c>
      <c r="B1480" t="s">
        <v>2750</v>
      </c>
      <c r="C1480" t="s">
        <v>95</v>
      </c>
      <c r="D1480" t="s">
        <v>853</v>
      </c>
      <c r="E1480" t="s">
        <v>2755</v>
      </c>
      <c r="F1480" t="s">
        <v>6059</v>
      </c>
      <c r="G1480" s="2" t="str">
        <f>HYPERLINK("https://www.facebook.com/100008934274771/posts/1810262525948206?comment_id=1810272965947162")</f>
        <v>https://www.facebook.com/100008934274771/posts/1810262525948206?comment_id=1810272965947162</v>
      </c>
      <c r="H1480" t="s">
        <v>6062</v>
      </c>
      <c r="I1480" t="s">
        <v>2418</v>
      </c>
      <c r="J1480" s="2" t="str">
        <f>HYPERLINK("https://www.facebook.com/100004820800687")</f>
        <v>https://www.facebook.com/100004820800687</v>
      </c>
      <c r="K1480">
        <v>225</v>
      </c>
      <c r="L1480" t="s">
        <v>6064</v>
      </c>
      <c r="N1480" t="s">
        <v>13</v>
      </c>
      <c r="O1480" t="s">
        <v>856</v>
      </c>
      <c r="P1480" s="2" t="str">
        <f>HYPERLINK("https://www.facebook.com/100008934274771")</f>
        <v>https://www.facebook.com/100008934274771</v>
      </c>
      <c r="Q1480">
        <v>10395</v>
      </c>
      <c r="R1480" t="s">
        <v>6067</v>
      </c>
      <c r="S1480" t="s">
        <v>6073</v>
      </c>
    </row>
    <row r="1481" spans="1:19" ht="14.25" customHeight="1" x14ac:dyDescent="0.3">
      <c r="A1481" t="s">
        <v>4439</v>
      </c>
      <c r="B1481" t="s">
        <v>1203</v>
      </c>
      <c r="C1481" t="s">
        <v>3538</v>
      </c>
      <c r="D1481" t="s">
        <v>4641</v>
      </c>
      <c r="E1481" t="s">
        <v>4642</v>
      </c>
      <c r="F1481" t="s">
        <v>6056</v>
      </c>
      <c r="G1481" s="2" t="str">
        <f>HYPERLINK("https://www.facebook.com/100003815820998/posts/1224254194378430")</f>
        <v>https://www.facebook.com/100003815820998/posts/1224254194378430</v>
      </c>
      <c r="H1481" t="s">
        <v>6062</v>
      </c>
      <c r="I1481" t="s">
        <v>4643</v>
      </c>
      <c r="J1481" s="2" t="str">
        <f>HYPERLINK("https://www.facebook.com/100003815820998")</f>
        <v>https://www.facebook.com/100003815820998</v>
      </c>
      <c r="K1481">
        <v>1008</v>
      </c>
      <c r="L1481" t="s">
        <v>6063</v>
      </c>
      <c r="N1481" t="s">
        <v>13</v>
      </c>
      <c r="O1481" t="s">
        <v>4643</v>
      </c>
      <c r="P1481" s="2" t="str">
        <f>HYPERLINK("https://www.facebook.com/100003815820998")</f>
        <v>https://www.facebook.com/100003815820998</v>
      </c>
      <c r="Q1481">
        <v>1008</v>
      </c>
      <c r="R1481" t="s">
        <v>6067</v>
      </c>
      <c r="S1481" t="s">
        <v>6072</v>
      </c>
    </row>
    <row r="1482" spans="1:19" ht="14.25" customHeight="1" x14ac:dyDescent="0.3">
      <c r="A1482" t="s">
        <v>629</v>
      </c>
      <c r="B1482" t="s">
        <v>1995</v>
      </c>
      <c r="C1482" t="s">
        <v>95</v>
      </c>
      <c r="D1482" t="s">
        <v>370</v>
      </c>
      <c r="E1482" t="s">
        <v>371</v>
      </c>
      <c r="F1482" t="s">
        <v>6058</v>
      </c>
      <c r="G1482" s="2" t="str">
        <f>HYPERLINK("https://www.facebook.com/100011161989266/posts/564602270588501")</f>
        <v>https://www.facebook.com/100011161989266/posts/564602270588501</v>
      </c>
      <c r="H1482" t="s">
        <v>6062</v>
      </c>
      <c r="I1482" t="s">
        <v>1997</v>
      </c>
      <c r="J1482" s="2" t="str">
        <f>HYPERLINK("https://www.facebook.com/100011161989266")</f>
        <v>https://www.facebook.com/100011161989266</v>
      </c>
      <c r="K1482">
        <v>4291</v>
      </c>
      <c r="L1482" t="s">
        <v>6063</v>
      </c>
      <c r="N1482" t="s">
        <v>13</v>
      </c>
      <c r="O1482" t="s">
        <v>1997</v>
      </c>
      <c r="P1482" s="2" t="str">
        <f>HYPERLINK("https://www.facebook.com/100011161989266")</f>
        <v>https://www.facebook.com/100011161989266</v>
      </c>
      <c r="Q1482">
        <v>4291</v>
      </c>
      <c r="R1482" t="s">
        <v>6067</v>
      </c>
      <c r="S1482" t="s">
        <v>6073</v>
      </c>
    </row>
    <row r="1483" spans="1:19" ht="14.25" customHeight="1" x14ac:dyDescent="0.3">
      <c r="A1483" t="s">
        <v>2225</v>
      </c>
      <c r="B1483" t="s">
        <v>2798</v>
      </c>
      <c r="C1483" t="s">
        <v>95</v>
      </c>
      <c r="D1483" t="s">
        <v>853</v>
      </c>
      <c r="E1483" t="s">
        <v>2800</v>
      </c>
      <c r="F1483" t="s">
        <v>6059</v>
      </c>
      <c r="G1483" s="2" t="str">
        <f>HYPERLINK("https://www.facebook.com/100008934274771/posts/1810262525948206?comment_id=1810268809280911")</f>
        <v>https://www.facebook.com/100008934274771/posts/1810262525948206?comment_id=1810268809280911</v>
      </c>
      <c r="H1483" t="s">
        <v>6062</v>
      </c>
      <c r="I1483" t="s">
        <v>2801</v>
      </c>
      <c r="J1483" s="2" t="str">
        <f>HYPERLINK("https://www.facebook.com/100007652591896")</f>
        <v>https://www.facebook.com/100007652591896</v>
      </c>
      <c r="K1483">
        <v>43</v>
      </c>
      <c r="L1483" t="s">
        <v>6063</v>
      </c>
      <c r="N1483" t="s">
        <v>13</v>
      </c>
      <c r="O1483" t="s">
        <v>856</v>
      </c>
      <c r="P1483" s="2" t="str">
        <f>HYPERLINK("https://www.facebook.com/100008934274771")</f>
        <v>https://www.facebook.com/100008934274771</v>
      </c>
      <c r="Q1483">
        <v>10395</v>
      </c>
      <c r="R1483" t="s">
        <v>6067</v>
      </c>
      <c r="S1483" t="s">
        <v>6072</v>
      </c>
    </row>
    <row r="1484" spans="1:19" ht="14.25" customHeight="1" x14ac:dyDescent="0.3">
      <c r="A1484" t="s">
        <v>5409</v>
      </c>
      <c r="B1484" t="s">
        <v>787</v>
      </c>
      <c r="C1484" t="s">
        <v>3538</v>
      </c>
      <c r="D1484" t="s">
        <v>3780</v>
      </c>
      <c r="E1484" t="s">
        <v>3781</v>
      </c>
      <c r="F1484" t="s">
        <v>6058</v>
      </c>
      <c r="G1484" s="2" t="str">
        <f>HYPERLINK("https://www.facebook.com/100017165854638/posts/219243341991193")</f>
        <v>https://www.facebook.com/100017165854638/posts/219243341991193</v>
      </c>
      <c r="H1484" t="s">
        <v>6062</v>
      </c>
      <c r="I1484" t="s">
        <v>5501</v>
      </c>
      <c r="J1484" s="2" t="str">
        <f>HYPERLINK("https://www.facebook.com/100017165854638")</f>
        <v>https://www.facebook.com/100017165854638</v>
      </c>
      <c r="K1484">
        <v>285</v>
      </c>
      <c r="L1484" t="s">
        <v>6063</v>
      </c>
      <c r="N1484" t="s">
        <v>13</v>
      </c>
      <c r="O1484" t="s">
        <v>5501</v>
      </c>
      <c r="P1484" s="2" t="str">
        <f>HYPERLINK("https://www.facebook.com/100017165854638")</f>
        <v>https://www.facebook.com/100017165854638</v>
      </c>
      <c r="Q1484">
        <v>285</v>
      </c>
      <c r="R1484" t="s">
        <v>6067</v>
      </c>
      <c r="S1484" t="s">
        <v>6073</v>
      </c>
    </row>
    <row r="1485" spans="1:19" ht="14.25" customHeight="1" x14ac:dyDescent="0.3">
      <c r="A1485" t="s">
        <v>2225</v>
      </c>
      <c r="B1485" t="s">
        <v>2771</v>
      </c>
      <c r="C1485" t="s">
        <v>95</v>
      </c>
      <c r="D1485" t="s">
        <v>544</v>
      </c>
      <c r="E1485" t="s">
        <v>545</v>
      </c>
      <c r="F1485" t="s">
        <v>6058</v>
      </c>
      <c r="G1485" s="2" t="str">
        <f>HYPERLINK("https://www.facebook.com/100005715639030/posts/840113782855802")</f>
        <v>https://www.facebook.com/100005715639030/posts/840113782855802</v>
      </c>
      <c r="H1485" t="s">
        <v>6062</v>
      </c>
      <c r="I1485" t="s">
        <v>2775</v>
      </c>
      <c r="J1485" s="2" t="str">
        <f>HYPERLINK("https://www.facebook.com/100005715639030")</f>
        <v>https://www.facebook.com/100005715639030</v>
      </c>
      <c r="K1485">
        <v>1812</v>
      </c>
      <c r="L1485" t="s">
        <v>6063</v>
      </c>
      <c r="N1485" t="s">
        <v>13</v>
      </c>
      <c r="O1485" t="s">
        <v>2775</v>
      </c>
      <c r="P1485" s="2" t="str">
        <f>HYPERLINK("https://www.facebook.com/100005715639030")</f>
        <v>https://www.facebook.com/100005715639030</v>
      </c>
      <c r="Q1485">
        <v>1812</v>
      </c>
      <c r="R1485" t="s">
        <v>6067</v>
      </c>
    </row>
    <row r="1486" spans="1:19" ht="14.25" customHeight="1" x14ac:dyDescent="0.3">
      <c r="A1486" t="s">
        <v>629</v>
      </c>
      <c r="B1486" t="s">
        <v>664</v>
      </c>
      <c r="C1486" t="s">
        <v>95</v>
      </c>
      <c r="D1486" t="s">
        <v>667</v>
      </c>
      <c r="E1486" t="s">
        <v>668</v>
      </c>
      <c r="F1486" t="s">
        <v>6058</v>
      </c>
      <c r="G1486" s="2" t="str">
        <f>HYPERLINK("https://www.facebook.com/100007588008957/posts/2003950676534513")</f>
        <v>https://www.facebook.com/100007588008957/posts/2003950676534513</v>
      </c>
      <c r="H1486" t="s">
        <v>6062</v>
      </c>
      <c r="I1486" t="s">
        <v>669</v>
      </c>
      <c r="J1486" s="2" t="str">
        <f>HYPERLINK("https://www.facebook.com/100007588008957")</f>
        <v>https://www.facebook.com/100007588008957</v>
      </c>
      <c r="K1486">
        <v>205</v>
      </c>
      <c r="L1486" t="s">
        <v>6063</v>
      </c>
      <c r="N1486" t="s">
        <v>13</v>
      </c>
      <c r="O1486" t="s">
        <v>669</v>
      </c>
      <c r="P1486" s="2" t="str">
        <f>HYPERLINK("https://www.facebook.com/100007588008957")</f>
        <v>https://www.facebook.com/100007588008957</v>
      </c>
      <c r="Q1486">
        <v>205</v>
      </c>
      <c r="R1486" t="s">
        <v>6067</v>
      </c>
      <c r="S1486" t="s">
        <v>6073</v>
      </c>
    </row>
    <row r="1487" spans="1:19" ht="14.25" customHeight="1" x14ac:dyDescent="0.3">
      <c r="A1487" t="s">
        <v>629</v>
      </c>
      <c r="B1487" t="s">
        <v>1567</v>
      </c>
      <c r="C1487" t="s">
        <v>95</v>
      </c>
      <c r="D1487" t="s">
        <v>370</v>
      </c>
      <c r="E1487" t="s">
        <v>371</v>
      </c>
      <c r="F1487" t="s">
        <v>6058</v>
      </c>
      <c r="G1487" s="2" t="str">
        <f>HYPERLINK("https://www.facebook.com/100009344990483/posts/2014123422242471")</f>
        <v>https://www.facebook.com/100009344990483/posts/2014123422242471</v>
      </c>
      <c r="H1487" t="s">
        <v>6062</v>
      </c>
      <c r="I1487" t="s">
        <v>1570</v>
      </c>
      <c r="J1487" s="2" t="str">
        <f>HYPERLINK("https://www.facebook.com/100009344990483")</f>
        <v>https://www.facebook.com/100009344990483</v>
      </c>
      <c r="K1487">
        <v>1004</v>
      </c>
      <c r="L1487" t="s">
        <v>6063</v>
      </c>
      <c r="N1487" t="s">
        <v>13</v>
      </c>
      <c r="O1487" t="s">
        <v>1570</v>
      </c>
      <c r="P1487" s="2" t="str">
        <f>HYPERLINK("https://www.facebook.com/100009344990483")</f>
        <v>https://www.facebook.com/100009344990483</v>
      </c>
      <c r="Q1487">
        <v>1004</v>
      </c>
      <c r="R1487" t="s">
        <v>6067</v>
      </c>
      <c r="S1487" t="s">
        <v>6073</v>
      </c>
    </row>
    <row r="1488" spans="1:19" ht="14.25" customHeight="1" x14ac:dyDescent="0.3">
      <c r="A1488" t="s">
        <v>5409</v>
      </c>
      <c r="B1488" t="s">
        <v>3906</v>
      </c>
      <c r="C1488" t="s">
        <v>3538</v>
      </c>
      <c r="D1488" t="s">
        <v>5578</v>
      </c>
      <c r="E1488" t="s">
        <v>5579</v>
      </c>
      <c r="F1488" t="s">
        <v>6059</v>
      </c>
      <c r="G1488" s="2" t="str">
        <f>HYPERLINK("https://www.facebook.com/762053551/posts/10156349027128552?comment_id=10156353637778552")</f>
        <v>https://www.facebook.com/762053551/posts/10156349027128552?comment_id=10156353637778552</v>
      </c>
      <c r="H1488" t="s">
        <v>6062</v>
      </c>
      <c r="I1488" t="s">
        <v>5580</v>
      </c>
      <c r="J1488" s="2" t="str">
        <f>HYPERLINK("https://www.facebook.com/100000236567849")</f>
        <v>https://www.facebook.com/100000236567849</v>
      </c>
      <c r="K1488">
        <v>0</v>
      </c>
      <c r="L1488" t="s">
        <v>6063</v>
      </c>
      <c r="N1488" t="s">
        <v>13</v>
      </c>
      <c r="O1488" t="s">
        <v>14</v>
      </c>
      <c r="P1488" s="2" t="str">
        <f>HYPERLINK("https://www.facebook.com/762053551")</f>
        <v>https://www.facebook.com/762053551</v>
      </c>
      <c r="Q1488">
        <v>102347</v>
      </c>
      <c r="R1488" t="s">
        <v>6067</v>
      </c>
      <c r="S1488" t="s">
        <v>6073</v>
      </c>
    </row>
    <row r="1489" spans="1:19" ht="14.25" customHeight="1" x14ac:dyDescent="0.3">
      <c r="A1489" t="s">
        <v>2225</v>
      </c>
      <c r="B1489" t="s">
        <v>728</v>
      </c>
      <c r="C1489" t="s">
        <v>95</v>
      </c>
      <c r="D1489" t="s">
        <v>853</v>
      </c>
      <c r="E1489" t="s">
        <v>2460</v>
      </c>
      <c r="F1489" t="s">
        <v>6059</v>
      </c>
      <c r="G1489" s="2" t="str">
        <f>HYPERLINK("https://www.facebook.com/100008934274771/posts/1810262525948206?comment_id=1810293832611742")</f>
        <v>https://www.facebook.com/100008934274771/posts/1810262525948206?comment_id=1810293832611742</v>
      </c>
      <c r="H1489" t="s">
        <v>6062</v>
      </c>
      <c r="I1489" t="s">
        <v>2308</v>
      </c>
      <c r="J1489" s="2" t="str">
        <f t="shared" ref="J1489:J1502" si="38">HYPERLINK("https://www.facebook.com/100001953214806")</f>
        <v>https://www.facebook.com/100001953214806</v>
      </c>
      <c r="K1489">
        <v>489</v>
      </c>
      <c r="L1489" t="s">
        <v>6063</v>
      </c>
      <c r="N1489" t="s">
        <v>13</v>
      </c>
      <c r="O1489" t="s">
        <v>856</v>
      </c>
      <c r="P1489" s="2" t="str">
        <f t="shared" ref="P1489:P1502" si="39">HYPERLINK("https://www.facebook.com/100008934274771")</f>
        <v>https://www.facebook.com/100008934274771</v>
      </c>
      <c r="Q1489">
        <v>10395</v>
      </c>
      <c r="R1489" t="s">
        <v>6067</v>
      </c>
      <c r="S1489" t="s">
        <v>6073</v>
      </c>
    </row>
    <row r="1490" spans="1:19" ht="14.25" customHeight="1" x14ac:dyDescent="0.3">
      <c r="A1490" t="s">
        <v>2225</v>
      </c>
      <c r="B1490" t="s">
        <v>2494</v>
      </c>
      <c r="C1490" t="s">
        <v>95</v>
      </c>
      <c r="D1490" t="s">
        <v>853</v>
      </c>
      <c r="E1490" t="s">
        <v>2460</v>
      </c>
      <c r="F1490" t="s">
        <v>6059</v>
      </c>
      <c r="G1490" s="2" t="str">
        <f>HYPERLINK("https://www.facebook.com/100008934274771/posts/1810262525948206?comment_id=1810291599278632")</f>
        <v>https://www.facebook.com/100008934274771/posts/1810262525948206?comment_id=1810291599278632</v>
      </c>
      <c r="H1490" t="s">
        <v>6062</v>
      </c>
      <c r="I1490" t="s">
        <v>2308</v>
      </c>
      <c r="J1490" s="2" t="str">
        <f t="shared" si="38"/>
        <v>https://www.facebook.com/100001953214806</v>
      </c>
      <c r="K1490">
        <v>489</v>
      </c>
      <c r="L1490" t="s">
        <v>6063</v>
      </c>
      <c r="N1490" t="s">
        <v>13</v>
      </c>
      <c r="O1490" t="s">
        <v>856</v>
      </c>
      <c r="P1490" s="2" t="str">
        <f t="shared" si="39"/>
        <v>https://www.facebook.com/100008934274771</v>
      </c>
      <c r="Q1490">
        <v>10395</v>
      </c>
      <c r="R1490" t="s">
        <v>6067</v>
      </c>
      <c r="S1490" t="s">
        <v>6073</v>
      </c>
    </row>
    <row r="1491" spans="1:19" ht="14.25" customHeight="1" x14ac:dyDescent="0.3">
      <c r="A1491" t="s">
        <v>2225</v>
      </c>
      <c r="B1491" t="s">
        <v>2516</v>
      </c>
      <c r="C1491" t="s">
        <v>95</v>
      </c>
      <c r="D1491" t="s">
        <v>853</v>
      </c>
      <c r="E1491" t="s">
        <v>2520</v>
      </c>
      <c r="F1491" t="s">
        <v>6059</v>
      </c>
      <c r="G1491" s="2" t="str">
        <f>HYPERLINK("https://www.facebook.com/100008934274771/posts/1810262525948206?comment_id=1810291335945325")</f>
        <v>https://www.facebook.com/100008934274771/posts/1810262525948206?comment_id=1810291335945325</v>
      </c>
      <c r="H1491" t="s">
        <v>6062</v>
      </c>
      <c r="I1491" t="s">
        <v>2308</v>
      </c>
      <c r="J1491" s="2" t="str">
        <f t="shared" si="38"/>
        <v>https://www.facebook.com/100001953214806</v>
      </c>
      <c r="K1491">
        <v>489</v>
      </c>
      <c r="L1491" t="s">
        <v>6063</v>
      </c>
      <c r="N1491" t="s">
        <v>13</v>
      </c>
      <c r="O1491" t="s">
        <v>856</v>
      </c>
      <c r="P1491" s="2" t="str">
        <f t="shared" si="39"/>
        <v>https://www.facebook.com/100008934274771</v>
      </c>
      <c r="Q1491">
        <v>10395</v>
      </c>
      <c r="R1491" t="s">
        <v>6067</v>
      </c>
      <c r="S1491" t="s">
        <v>6073</v>
      </c>
    </row>
    <row r="1492" spans="1:19" ht="14.25" customHeight="1" x14ac:dyDescent="0.3">
      <c r="A1492" t="s">
        <v>2225</v>
      </c>
      <c r="B1492" t="s">
        <v>730</v>
      </c>
      <c r="C1492" t="s">
        <v>95</v>
      </c>
      <c r="D1492" t="s">
        <v>853</v>
      </c>
      <c r="E1492" t="s">
        <v>2467</v>
      </c>
      <c r="F1492" t="s">
        <v>6059</v>
      </c>
      <c r="G1492" s="2" t="str">
        <f>HYPERLINK("https://www.facebook.com/100008934274771/posts/1810262525948206?comment_id=1810293299278462")</f>
        <v>https://www.facebook.com/100008934274771/posts/1810262525948206?comment_id=1810293299278462</v>
      </c>
      <c r="H1492" t="s">
        <v>6062</v>
      </c>
      <c r="I1492" t="s">
        <v>2308</v>
      </c>
      <c r="J1492" s="2" t="str">
        <f t="shared" si="38"/>
        <v>https://www.facebook.com/100001953214806</v>
      </c>
      <c r="K1492">
        <v>489</v>
      </c>
      <c r="L1492" t="s">
        <v>6063</v>
      </c>
      <c r="N1492" t="s">
        <v>13</v>
      </c>
      <c r="O1492" t="s">
        <v>856</v>
      </c>
      <c r="P1492" s="2" t="str">
        <f t="shared" si="39"/>
        <v>https://www.facebook.com/100008934274771</v>
      </c>
      <c r="Q1492">
        <v>10395</v>
      </c>
      <c r="R1492" t="s">
        <v>6067</v>
      </c>
      <c r="S1492" t="s">
        <v>6073</v>
      </c>
    </row>
    <row r="1493" spans="1:19" ht="14.25" customHeight="1" x14ac:dyDescent="0.3">
      <c r="A1493" t="s">
        <v>2225</v>
      </c>
      <c r="B1493" t="s">
        <v>2564</v>
      </c>
      <c r="C1493" t="s">
        <v>95</v>
      </c>
      <c r="D1493" t="s">
        <v>853</v>
      </c>
      <c r="E1493" t="s">
        <v>2570</v>
      </c>
      <c r="F1493" t="s">
        <v>6059</v>
      </c>
      <c r="G1493" s="2" t="str">
        <f>HYPERLINK("https://www.facebook.com/100008934274771/posts/1810262525948206?comment_id=1810288892612236")</f>
        <v>https://www.facebook.com/100008934274771/posts/1810262525948206?comment_id=1810288892612236</v>
      </c>
      <c r="H1493" t="s">
        <v>6062</v>
      </c>
      <c r="I1493" t="s">
        <v>2308</v>
      </c>
      <c r="J1493" s="2" t="str">
        <f t="shared" si="38"/>
        <v>https://www.facebook.com/100001953214806</v>
      </c>
      <c r="K1493">
        <v>489</v>
      </c>
      <c r="L1493" t="s">
        <v>6063</v>
      </c>
      <c r="N1493" t="s">
        <v>13</v>
      </c>
      <c r="O1493" t="s">
        <v>856</v>
      </c>
      <c r="P1493" s="2" t="str">
        <f t="shared" si="39"/>
        <v>https://www.facebook.com/100008934274771</v>
      </c>
      <c r="Q1493">
        <v>10395</v>
      </c>
      <c r="R1493" t="s">
        <v>6067</v>
      </c>
      <c r="S1493" t="s">
        <v>6073</v>
      </c>
    </row>
    <row r="1494" spans="1:19" ht="14.25" customHeight="1" x14ac:dyDescent="0.3">
      <c r="A1494" t="s">
        <v>2225</v>
      </c>
      <c r="B1494" t="s">
        <v>733</v>
      </c>
      <c r="C1494" t="s">
        <v>95</v>
      </c>
      <c r="D1494" t="s">
        <v>853</v>
      </c>
      <c r="E1494" t="s">
        <v>2535</v>
      </c>
      <c r="F1494" t="s">
        <v>6059</v>
      </c>
      <c r="G1494" s="2" t="str">
        <f>HYPERLINK("https://www.facebook.com/100008934274771/posts/1810262525948206?comment_id=1810290679278724")</f>
        <v>https://www.facebook.com/100008934274771/posts/1810262525948206?comment_id=1810290679278724</v>
      </c>
      <c r="H1494" t="s">
        <v>6062</v>
      </c>
      <c r="I1494" t="s">
        <v>2308</v>
      </c>
      <c r="J1494" s="2" t="str">
        <f t="shared" si="38"/>
        <v>https://www.facebook.com/100001953214806</v>
      </c>
      <c r="K1494">
        <v>489</v>
      </c>
      <c r="L1494" t="s">
        <v>6063</v>
      </c>
      <c r="N1494" t="s">
        <v>13</v>
      </c>
      <c r="O1494" t="s">
        <v>856</v>
      </c>
      <c r="P1494" s="2" t="str">
        <f t="shared" si="39"/>
        <v>https://www.facebook.com/100008934274771</v>
      </c>
      <c r="Q1494">
        <v>10395</v>
      </c>
      <c r="R1494" t="s">
        <v>6067</v>
      </c>
      <c r="S1494" t="s">
        <v>6073</v>
      </c>
    </row>
    <row r="1495" spans="1:19" ht="14.25" customHeight="1" x14ac:dyDescent="0.3">
      <c r="A1495" t="s">
        <v>2225</v>
      </c>
      <c r="B1495" t="s">
        <v>2547</v>
      </c>
      <c r="C1495" t="s">
        <v>95</v>
      </c>
      <c r="D1495" t="s">
        <v>853</v>
      </c>
      <c r="E1495" t="s">
        <v>2554</v>
      </c>
      <c r="F1495" t="s">
        <v>6059</v>
      </c>
      <c r="G1495" s="2" t="str">
        <f>HYPERLINK("https://www.facebook.com/100008934274771/posts/1810262525948206?comment_id=1810289785945480")</f>
        <v>https://www.facebook.com/100008934274771/posts/1810262525948206?comment_id=1810289785945480</v>
      </c>
      <c r="H1495" t="s">
        <v>6062</v>
      </c>
      <c r="I1495" t="s">
        <v>2308</v>
      </c>
      <c r="J1495" s="2" t="str">
        <f t="shared" si="38"/>
        <v>https://www.facebook.com/100001953214806</v>
      </c>
      <c r="K1495">
        <v>489</v>
      </c>
      <c r="L1495" t="s">
        <v>6063</v>
      </c>
      <c r="N1495" t="s">
        <v>13</v>
      </c>
      <c r="O1495" t="s">
        <v>856</v>
      </c>
      <c r="P1495" s="2" t="str">
        <f t="shared" si="39"/>
        <v>https://www.facebook.com/100008934274771</v>
      </c>
      <c r="Q1495">
        <v>10395</v>
      </c>
      <c r="R1495" t="s">
        <v>6067</v>
      </c>
      <c r="S1495" t="s">
        <v>6073</v>
      </c>
    </row>
    <row r="1496" spans="1:19" ht="14.25" customHeight="1" x14ac:dyDescent="0.3">
      <c r="A1496" t="s">
        <v>2225</v>
      </c>
      <c r="B1496" t="s">
        <v>2306</v>
      </c>
      <c r="C1496" t="s">
        <v>95</v>
      </c>
      <c r="D1496" t="s">
        <v>853</v>
      </c>
      <c r="E1496" t="s">
        <v>2307</v>
      </c>
      <c r="F1496" t="s">
        <v>6059</v>
      </c>
      <c r="G1496" s="2" t="str">
        <f>HYPERLINK("https://www.facebook.com/100008934274771/posts/1810262525948206?comment_id=1810307695943689")</f>
        <v>https://www.facebook.com/100008934274771/posts/1810262525948206?comment_id=1810307695943689</v>
      </c>
      <c r="H1496" t="s">
        <v>6062</v>
      </c>
      <c r="I1496" t="s">
        <v>2308</v>
      </c>
      <c r="J1496" s="2" t="str">
        <f t="shared" si="38"/>
        <v>https://www.facebook.com/100001953214806</v>
      </c>
      <c r="K1496">
        <v>489</v>
      </c>
      <c r="L1496" t="s">
        <v>6063</v>
      </c>
      <c r="N1496" t="s">
        <v>13</v>
      </c>
      <c r="O1496" t="s">
        <v>856</v>
      </c>
      <c r="P1496" s="2" t="str">
        <f t="shared" si="39"/>
        <v>https://www.facebook.com/100008934274771</v>
      </c>
      <c r="Q1496">
        <v>10395</v>
      </c>
      <c r="R1496" t="s">
        <v>6067</v>
      </c>
      <c r="S1496" t="s">
        <v>6073</v>
      </c>
    </row>
    <row r="1497" spans="1:19" ht="14.25" customHeight="1" x14ac:dyDescent="0.3">
      <c r="A1497" t="s">
        <v>2225</v>
      </c>
      <c r="B1497" t="s">
        <v>2433</v>
      </c>
      <c r="C1497" t="s">
        <v>95</v>
      </c>
      <c r="D1497" t="s">
        <v>853</v>
      </c>
      <c r="E1497" t="s">
        <v>2441</v>
      </c>
      <c r="F1497" t="s">
        <v>6059</v>
      </c>
      <c r="G1497" s="2" t="str">
        <f>HYPERLINK("https://www.facebook.com/100008934274771/posts/1810262525948206?comment_id=1810294842611641")</f>
        <v>https://www.facebook.com/100008934274771/posts/1810262525948206?comment_id=1810294842611641</v>
      </c>
      <c r="H1497" t="s">
        <v>6062</v>
      </c>
      <c r="I1497" t="s">
        <v>2308</v>
      </c>
      <c r="J1497" s="2" t="str">
        <f t="shared" si="38"/>
        <v>https://www.facebook.com/100001953214806</v>
      </c>
      <c r="K1497">
        <v>489</v>
      </c>
      <c r="L1497" t="s">
        <v>6063</v>
      </c>
      <c r="N1497" t="s">
        <v>13</v>
      </c>
      <c r="O1497" t="s">
        <v>856</v>
      </c>
      <c r="P1497" s="2" t="str">
        <f t="shared" si="39"/>
        <v>https://www.facebook.com/100008934274771</v>
      </c>
      <c r="Q1497">
        <v>10395</v>
      </c>
      <c r="R1497" t="s">
        <v>6067</v>
      </c>
      <c r="S1497" t="s">
        <v>6073</v>
      </c>
    </row>
    <row r="1498" spans="1:19" ht="14.25" customHeight="1" x14ac:dyDescent="0.3">
      <c r="A1498" t="s">
        <v>2225</v>
      </c>
      <c r="B1498" t="s">
        <v>2471</v>
      </c>
      <c r="C1498" t="s">
        <v>95</v>
      </c>
      <c r="D1498" t="s">
        <v>853</v>
      </c>
      <c r="E1498" t="s">
        <v>2475</v>
      </c>
      <c r="F1498" t="s">
        <v>6059</v>
      </c>
      <c r="G1498" s="2" t="str">
        <f>HYPERLINK("https://www.facebook.com/100008934274771/posts/1810262525948206?comment_id=1810293052611820")</f>
        <v>https://www.facebook.com/100008934274771/posts/1810262525948206?comment_id=1810293052611820</v>
      </c>
      <c r="H1498" t="s">
        <v>6062</v>
      </c>
      <c r="I1498" t="s">
        <v>2308</v>
      </c>
      <c r="J1498" s="2" t="str">
        <f t="shared" si="38"/>
        <v>https://www.facebook.com/100001953214806</v>
      </c>
      <c r="K1498">
        <v>489</v>
      </c>
      <c r="L1498" t="s">
        <v>6063</v>
      </c>
      <c r="N1498" t="s">
        <v>13</v>
      </c>
      <c r="O1498" t="s">
        <v>856</v>
      </c>
      <c r="P1498" s="2" t="str">
        <f t="shared" si="39"/>
        <v>https://www.facebook.com/100008934274771</v>
      </c>
      <c r="Q1498">
        <v>10395</v>
      </c>
      <c r="R1498" t="s">
        <v>6067</v>
      </c>
      <c r="S1498" t="s">
        <v>6073</v>
      </c>
    </row>
    <row r="1499" spans="1:19" ht="14.25" customHeight="1" x14ac:dyDescent="0.3">
      <c r="A1499" t="s">
        <v>2225</v>
      </c>
      <c r="B1499" t="s">
        <v>2422</v>
      </c>
      <c r="C1499" t="s">
        <v>95</v>
      </c>
      <c r="D1499" t="s">
        <v>853</v>
      </c>
      <c r="E1499" t="s">
        <v>2423</v>
      </c>
      <c r="F1499" t="s">
        <v>6059</v>
      </c>
      <c r="G1499" s="2" t="str">
        <f>HYPERLINK("https://www.facebook.com/100008934274771/posts/1810262525948206?comment_id=1810296009278191")</f>
        <v>https://www.facebook.com/100008934274771/posts/1810262525948206?comment_id=1810296009278191</v>
      </c>
      <c r="H1499" t="s">
        <v>6062</v>
      </c>
      <c r="I1499" t="s">
        <v>2308</v>
      </c>
      <c r="J1499" s="2" t="str">
        <f t="shared" si="38"/>
        <v>https://www.facebook.com/100001953214806</v>
      </c>
      <c r="K1499">
        <v>489</v>
      </c>
      <c r="L1499" t="s">
        <v>6063</v>
      </c>
      <c r="N1499" t="s">
        <v>13</v>
      </c>
      <c r="O1499" t="s">
        <v>856</v>
      </c>
      <c r="P1499" s="2" t="str">
        <f t="shared" si="39"/>
        <v>https://www.facebook.com/100008934274771</v>
      </c>
      <c r="Q1499">
        <v>10395</v>
      </c>
      <c r="R1499" t="s">
        <v>6067</v>
      </c>
      <c r="S1499" t="s">
        <v>6073</v>
      </c>
    </row>
    <row r="1500" spans="1:19" ht="14.25" customHeight="1" x14ac:dyDescent="0.3">
      <c r="A1500" t="s">
        <v>2225</v>
      </c>
      <c r="B1500" t="s">
        <v>2494</v>
      </c>
      <c r="C1500" t="s">
        <v>95</v>
      </c>
      <c r="D1500" t="s">
        <v>853</v>
      </c>
      <c r="E1500" t="s">
        <v>2509</v>
      </c>
      <c r="F1500" t="s">
        <v>6059</v>
      </c>
      <c r="G1500" s="2" t="str">
        <f>HYPERLINK("https://www.facebook.com/100008934274771/posts/1810262525948206?comment_id=1810291795945279")</f>
        <v>https://www.facebook.com/100008934274771/posts/1810262525948206?comment_id=1810291795945279</v>
      </c>
      <c r="H1500" t="s">
        <v>6062</v>
      </c>
      <c r="I1500" t="s">
        <v>2308</v>
      </c>
      <c r="J1500" s="2" t="str">
        <f t="shared" si="38"/>
        <v>https://www.facebook.com/100001953214806</v>
      </c>
      <c r="K1500">
        <v>489</v>
      </c>
      <c r="L1500" t="s">
        <v>6063</v>
      </c>
      <c r="N1500" t="s">
        <v>13</v>
      </c>
      <c r="O1500" t="s">
        <v>856</v>
      </c>
      <c r="P1500" s="2" t="str">
        <f t="shared" si="39"/>
        <v>https://www.facebook.com/100008934274771</v>
      </c>
      <c r="Q1500">
        <v>10395</v>
      </c>
      <c r="R1500" t="s">
        <v>6067</v>
      </c>
      <c r="S1500" t="s">
        <v>6073</v>
      </c>
    </row>
    <row r="1501" spans="1:19" ht="14.25" customHeight="1" x14ac:dyDescent="0.3">
      <c r="A1501" t="s">
        <v>2225</v>
      </c>
      <c r="B1501" t="s">
        <v>733</v>
      </c>
      <c r="C1501" t="s">
        <v>95</v>
      </c>
      <c r="D1501" t="s">
        <v>853</v>
      </c>
      <c r="E1501" t="s">
        <v>2526</v>
      </c>
      <c r="F1501" t="s">
        <v>6059</v>
      </c>
      <c r="G1501" s="2" t="str">
        <f>HYPERLINK("https://www.facebook.com/100008934274771/posts/1810262525948206?comment_id=1810291029278689")</f>
        <v>https://www.facebook.com/100008934274771/posts/1810262525948206?comment_id=1810291029278689</v>
      </c>
      <c r="H1501" t="s">
        <v>6062</v>
      </c>
      <c r="I1501" t="s">
        <v>2308</v>
      </c>
      <c r="J1501" s="2" t="str">
        <f t="shared" si="38"/>
        <v>https://www.facebook.com/100001953214806</v>
      </c>
      <c r="K1501">
        <v>489</v>
      </c>
      <c r="L1501" t="s">
        <v>6063</v>
      </c>
      <c r="N1501" t="s">
        <v>13</v>
      </c>
      <c r="O1501" t="s">
        <v>856</v>
      </c>
      <c r="P1501" s="2" t="str">
        <f t="shared" si="39"/>
        <v>https://www.facebook.com/100008934274771</v>
      </c>
      <c r="Q1501">
        <v>10395</v>
      </c>
      <c r="R1501" t="s">
        <v>6067</v>
      </c>
      <c r="S1501" t="s">
        <v>6073</v>
      </c>
    </row>
    <row r="1502" spans="1:19" ht="14.25" customHeight="1" x14ac:dyDescent="0.3">
      <c r="A1502" t="s">
        <v>2225</v>
      </c>
      <c r="B1502" t="s">
        <v>2516</v>
      </c>
      <c r="C1502" t="s">
        <v>95</v>
      </c>
      <c r="D1502" t="s">
        <v>853</v>
      </c>
      <c r="E1502" t="s">
        <v>2517</v>
      </c>
      <c r="F1502" t="s">
        <v>6059</v>
      </c>
      <c r="G1502" s="2" t="str">
        <f>HYPERLINK("https://www.facebook.com/100008934274771/posts/1810262525948206?comment_id=1810291552611970")</f>
        <v>https://www.facebook.com/100008934274771/posts/1810262525948206?comment_id=1810291552611970</v>
      </c>
      <c r="H1502" t="s">
        <v>6062</v>
      </c>
      <c r="I1502" t="s">
        <v>2308</v>
      </c>
      <c r="J1502" s="2" t="str">
        <f t="shared" si="38"/>
        <v>https://www.facebook.com/100001953214806</v>
      </c>
      <c r="K1502">
        <v>489</v>
      </c>
      <c r="L1502" t="s">
        <v>6063</v>
      </c>
      <c r="N1502" t="s">
        <v>13</v>
      </c>
      <c r="O1502" t="s">
        <v>856</v>
      </c>
      <c r="P1502" s="2" t="str">
        <f t="shared" si="39"/>
        <v>https://www.facebook.com/100008934274771</v>
      </c>
      <c r="Q1502">
        <v>10395</v>
      </c>
      <c r="R1502" t="s">
        <v>6067</v>
      </c>
      <c r="S1502" t="s">
        <v>6073</v>
      </c>
    </row>
    <row r="1503" spans="1:19" ht="14.25" customHeight="1" x14ac:dyDescent="0.3">
      <c r="A1503" t="s">
        <v>2225</v>
      </c>
      <c r="B1503" t="s">
        <v>750</v>
      </c>
      <c r="C1503" t="s">
        <v>95</v>
      </c>
      <c r="D1503" t="s">
        <v>544</v>
      </c>
      <c r="E1503" t="s">
        <v>545</v>
      </c>
      <c r="F1503" t="s">
        <v>6058</v>
      </c>
      <c r="G1503" s="2" t="str">
        <f>HYPERLINK("https://www.facebook.com/100009454461576/posts/2070194526639009")</f>
        <v>https://www.facebook.com/100009454461576/posts/2070194526639009</v>
      </c>
      <c r="H1503" t="s">
        <v>6062</v>
      </c>
      <c r="I1503" t="s">
        <v>2708</v>
      </c>
      <c r="J1503" s="2" t="str">
        <f>HYPERLINK("https://www.facebook.com/100009454461576")</f>
        <v>https://www.facebook.com/100009454461576</v>
      </c>
      <c r="K1503">
        <v>1725</v>
      </c>
      <c r="L1503" t="s">
        <v>6063</v>
      </c>
      <c r="N1503" t="s">
        <v>13</v>
      </c>
      <c r="O1503" t="s">
        <v>2708</v>
      </c>
      <c r="P1503" s="2" t="str">
        <f>HYPERLINK("https://www.facebook.com/100009454461576")</f>
        <v>https://www.facebook.com/100009454461576</v>
      </c>
      <c r="Q1503">
        <v>1725</v>
      </c>
      <c r="R1503" t="s">
        <v>6067</v>
      </c>
    </row>
    <row r="1504" spans="1:19" ht="14.25" customHeight="1" x14ac:dyDescent="0.3">
      <c r="A1504" t="s">
        <v>2225</v>
      </c>
      <c r="B1504" t="s">
        <v>2628</v>
      </c>
      <c r="C1504" t="s">
        <v>95</v>
      </c>
      <c r="D1504" t="s">
        <v>2636</v>
      </c>
      <c r="E1504" t="s">
        <v>2637</v>
      </c>
      <c r="F1504" t="s">
        <v>6058</v>
      </c>
      <c r="G1504" s="2" t="str">
        <f>HYPERLINK("https://www.facebook.com/100013609487439/posts/411157126014600")</f>
        <v>https://www.facebook.com/100013609487439/posts/411157126014600</v>
      </c>
      <c r="H1504" t="s">
        <v>6062</v>
      </c>
      <c r="I1504" t="s">
        <v>2638</v>
      </c>
      <c r="J1504" s="2" t="str">
        <f>HYPERLINK("https://www.facebook.com/100013609487439")</f>
        <v>https://www.facebook.com/100013609487439</v>
      </c>
      <c r="K1504">
        <v>12</v>
      </c>
      <c r="L1504" t="s">
        <v>6063</v>
      </c>
      <c r="N1504" t="s">
        <v>13</v>
      </c>
      <c r="O1504" t="s">
        <v>2638</v>
      </c>
      <c r="P1504" s="2" t="str">
        <f>HYPERLINK("https://www.facebook.com/100013609487439")</f>
        <v>https://www.facebook.com/100013609487439</v>
      </c>
      <c r="Q1504">
        <v>12</v>
      </c>
      <c r="R1504" t="s">
        <v>6067</v>
      </c>
      <c r="S1504" t="s">
        <v>6073</v>
      </c>
    </row>
    <row r="1505" spans="1:19" ht="14.25" customHeight="1" x14ac:dyDescent="0.3">
      <c r="A1505" t="s">
        <v>2225</v>
      </c>
      <c r="B1505" t="s">
        <v>1014</v>
      </c>
      <c r="C1505" t="s">
        <v>95</v>
      </c>
      <c r="D1505" t="s">
        <v>717</v>
      </c>
      <c r="E1505" t="s">
        <v>718</v>
      </c>
      <c r="F1505" t="s">
        <v>6058</v>
      </c>
      <c r="G1505" s="2" t="str">
        <f>HYPERLINK("https://www.facebook.com/100017592632481/posts/207877483142005")</f>
        <v>https://www.facebook.com/100017592632481/posts/207877483142005</v>
      </c>
      <c r="H1505" t="s">
        <v>6062</v>
      </c>
      <c r="I1505" t="s">
        <v>3097</v>
      </c>
      <c r="J1505" s="2" t="str">
        <f>HYPERLINK("https://www.facebook.com/100017592632481")</f>
        <v>https://www.facebook.com/100017592632481</v>
      </c>
      <c r="K1505">
        <v>0</v>
      </c>
      <c r="L1505" t="s">
        <v>6064</v>
      </c>
      <c r="N1505" t="s">
        <v>13</v>
      </c>
      <c r="O1505" t="s">
        <v>3097</v>
      </c>
      <c r="P1505" s="2" t="str">
        <f>HYPERLINK("https://www.facebook.com/100017592632481")</f>
        <v>https://www.facebook.com/100017592632481</v>
      </c>
      <c r="Q1505">
        <v>0</v>
      </c>
      <c r="R1505" t="s">
        <v>6067</v>
      </c>
      <c r="S1505" t="s">
        <v>6073</v>
      </c>
    </row>
    <row r="1506" spans="1:19" ht="14.25" customHeight="1" x14ac:dyDescent="0.3">
      <c r="A1506" t="s">
        <v>1</v>
      </c>
      <c r="B1506" t="s">
        <v>435</v>
      </c>
      <c r="C1506" t="s">
        <v>95</v>
      </c>
      <c r="D1506" t="s">
        <v>10</v>
      </c>
      <c r="E1506" t="s">
        <v>436</v>
      </c>
      <c r="F1506" t="s">
        <v>6059</v>
      </c>
      <c r="G1506" s="2" t="str">
        <f>HYPERLINK("https://www.facebook.com/762053551/posts/10156366210158552?comment_id=10156368178013552")</f>
        <v>https://www.facebook.com/762053551/posts/10156366210158552?comment_id=10156368178013552</v>
      </c>
      <c r="H1506" t="s">
        <v>6062</v>
      </c>
      <c r="I1506" t="s">
        <v>437</v>
      </c>
      <c r="J1506" s="2" t="str">
        <f>HYPERLINK("https://www.facebook.com/100012098022676")</f>
        <v>https://www.facebook.com/100012098022676</v>
      </c>
      <c r="K1506">
        <v>1152</v>
      </c>
      <c r="L1506" t="s">
        <v>6063</v>
      </c>
      <c r="N1506" t="s">
        <v>13</v>
      </c>
      <c r="O1506" t="s">
        <v>14</v>
      </c>
      <c r="P1506" s="2" t="str">
        <f>HYPERLINK("https://www.facebook.com/762053551")</f>
        <v>https://www.facebook.com/762053551</v>
      </c>
      <c r="Q1506">
        <v>102347</v>
      </c>
      <c r="R1506" t="s">
        <v>6067</v>
      </c>
      <c r="S1506" t="s">
        <v>6073</v>
      </c>
    </row>
    <row r="1507" spans="1:19" ht="14.25" customHeight="1" x14ac:dyDescent="0.3">
      <c r="A1507" t="s">
        <v>2225</v>
      </c>
      <c r="B1507" t="s">
        <v>1292</v>
      </c>
      <c r="C1507" t="s">
        <v>95</v>
      </c>
      <c r="D1507" t="s">
        <v>3213</v>
      </c>
      <c r="E1507" t="s">
        <v>3214</v>
      </c>
      <c r="F1507" t="s">
        <v>6056</v>
      </c>
      <c r="G1507" s="2" t="str">
        <f>HYPERLINK("https://www.facebook.com/100024314958570/posts/159056214914876")</f>
        <v>https://www.facebook.com/100024314958570/posts/159056214914876</v>
      </c>
      <c r="H1507" t="s">
        <v>6062</v>
      </c>
      <c r="I1507" t="s">
        <v>3215</v>
      </c>
      <c r="J1507" s="2" t="str">
        <f>HYPERLINK("https://www.facebook.com/100024314958570")</f>
        <v>https://www.facebook.com/100024314958570</v>
      </c>
      <c r="K1507">
        <v>2250</v>
      </c>
      <c r="L1507" t="s">
        <v>6063</v>
      </c>
      <c r="N1507" t="s">
        <v>13</v>
      </c>
      <c r="O1507" t="s">
        <v>3215</v>
      </c>
      <c r="P1507" s="2" t="str">
        <f>HYPERLINK("https://www.facebook.com/100024314958570")</f>
        <v>https://www.facebook.com/100024314958570</v>
      </c>
      <c r="Q1507">
        <v>2250</v>
      </c>
      <c r="R1507" t="s">
        <v>6067</v>
      </c>
      <c r="S1507" t="s">
        <v>6073</v>
      </c>
    </row>
    <row r="1508" spans="1:19" ht="14.25" customHeight="1" x14ac:dyDescent="0.3">
      <c r="A1508" t="s">
        <v>629</v>
      </c>
      <c r="B1508" t="s">
        <v>2034</v>
      </c>
      <c r="C1508" t="s">
        <v>95</v>
      </c>
      <c r="D1508" t="s">
        <v>2035</v>
      </c>
      <c r="E1508" t="s">
        <v>2036</v>
      </c>
      <c r="F1508" t="s">
        <v>6059</v>
      </c>
      <c r="G1508" s="2" t="str">
        <f>HYPERLINK("https://www.facebook.com/100009550539155/posts/1983965378598461?comment_id=1984147181913614")</f>
        <v>https://www.facebook.com/100009550539155/posts/1983965378598461?comment_id=1984147181913614</v>
      </c>
      <c r="H1508" t="s">
        <v>6062</v>
      </c>
      <c r="I1508" t="s">
        <v>2037</v>
      </c>
      <c r="J1508" s="2" t="str">
        <f>HYPERLINK("https://www.facebook.com/100002240762226")</f>
        <v>https://www.facebook.com/100002240762226</v>
      </c>
      <c r="K1508">
        <v>428</v>
      </c>
      <c r="L1508" t="s">
        <v>6063</v>
      </c>
      <c r="N1508" t="s">
        <v>13</v>
      </c>
      <c r="O1508" t="s">
        <v>2038</v>
      </c>
      <c r="P1508" s="2" t="str">
        <f>HYPERLINK("https://www.facebook.com/100009550539155")</f>
        <v>https://www.facebook.com/100009550539155</v>
      </c>
      <c r="Q1508">
        <v>0</v>
      </c>
      <c r="R1508" t="s">
        <v>6067</v>
      </c>
      <c r="S1508" t="s">
        <v>6073</v>
      </c>
    </row>
    <row r="1509" spans="1:19" ht="14.25" customHeight="1" x14ac:dyDescent="0.3">
      <c r="A1509" t="s">
        <v>629</v>
      </c>
      <c r="B1509" t="s">
        <v>1507</v>
      </c>
      <c r="C1509" t="s">
        <v>95</v>
      </c>
      <c r="D1509" t="s">
        <v>370</v>
      </c>
      <c r="E1509" t="s">
        <v>371</v>
      </c>
      <c r="F1509" t="s">
        <v>6058</v>
      </c>
      <c r="G1509" s="2" t="str">
        <f>HYPERLINK("https://www.facebook.com/100008089358700/posts/2068258610120431")</f>
        <v>https://www.facebook.com/100008089358700/posts/2068258610120431</v>
      </c>
      <c r="H1509" t="s">
        <v>6062</v>
      </c>
      <c r="I1509" t="s">
        <v>1508</v>
      </c>
      <c r="J1509" s="2" t="str">
        <f>HYPERLINK("https://www.facebook.com/100008089358700")</f>
        <v>https://www.facebook.com/100008089358700</v>
      </c>
      <c r="K1509">
        <v>1431</v>
      </c>
      <c r="L1509" t="s">
        <v>6063</v>
      </c>
      <c r="N1509" t="s">
        <v>13</v>
      </c>
      <c r="O1509" t="s">
        <v>1508</v>
      </c>
      <c r="P1509" s="2" t="str">
        <f>HYPERLINK("https://www.facebook.com/100008089358700")</f>
        <v>https://www.facebook.com/100008089358700</v>
      </c>
      <c r="Q1509">
        <v>1431</v>
      </c>
      <c r="R1509" t="s">
        <v>6067</v>
      </c>
      <c r="S1509" t="s">
        <v>6073</v>
      </c>
    </row>
    <row r="1510" spans="1:19" ht="14.25" customHeight="1" x14ac:dyDescent="0.3">
      <c r="A1510" t="s">
        <v>629</v>
      </c>
      <c r="B1510" t="s">
        <v>1507</v>
      </c>
      <c r="C1510" t="s">
        <v>95</v>
      </c>
      <c r="D1510" t="s">
        <v>370</v>
      </c>
      <c r="E1510" t="s">
        <v>371</v>
      </c>
      <c r="F1510" t="s">
        <v>6058</v>
      </c>
      <c r="G1510" s="2" t="str">
        <f>HYPERLINK("https://www.facebook.com/100008089358700/posts/2068258480120444")</f>
        <v>https://www.facebook.com/100008089358700/posts/2068258480120444</v>
      </c>
      <c r="H1510" t="s">
        <v>6062</v>
      </c>
      <c r="I1510" t="s">
        <v>1508</v>
      </c>
      <c r="J1510" s="2" t="str">
        <f>HYPERLINK("https://www.facebook.com/100008089358700")</f>
        <v>https://www.facebook.com/100008089358700</v>
      </c>
      <c r="K1510">
        <v>1431</v>
      </c>
      <c r="L1510" t="s">
        <v>6063</v>
      </c>
      <c r="N1510" t="s">
        <v>13</v>
      </c>
      <c r="O1510" t="s">
        <v>1508</v>
      </c>
      <c r="P1510" s="2" t="str">
        <f>HYPERLINK("https://www.facebook.com/100008089358700")</f>
        <v>https://www.facebook.com/100008089358700</v>
      </c>
      <c r="Q1510">
        <v>1431</v>
      </c>
      <c r="R1510" t="s">
        <v>6067</v>
      </c>
      <c r="S1510" t="s">
        <v>6073</v>
      </c>
    </row>
    <row r="1511" spans="1:19" ht="14.25" customHeight="1" x14ac:dyDescent="0.3">
      <c r="A1511" t="s">
        <v>629</v>
      </c>
      <c r="B1511" t="s">
        <v>1599</v>
      </c>
      <c r="C1511" t="s">
        <v>95</v>
      </c>
      <c r="D1511" t="s">
        <v>370</v>
      </c>
      <c r="E1511" t="s">
        <v>371</v>
      </c>
      <c r="F1511" t="s">
        <v>6058</v>
      </c>
      <c r="G1511" s="2" t="str">
        <f>HYPERLINK("https://www.facebook.com/100001980831808/posts/1653170598092285")</f>
        <v>https://www.facebook.com/100001980831808/posts/1653170598092285</v>
      </c>
      <c r="H1511" t="s">
        <v>6062</v>
      </c>
      <c r="I1511" t="s">
        <v>1600</v>
      </c>
      <c r="J1511" s="2" t="str">
        <f>HYPERLINK("https://www.facebook.com/100001980831808")</f>
        <v>https://www.facebook.com/100001980831808</v>
      </c>
      <c r="K1511">
        <v>93</v>
      </c>
      <c r="L1511" t="s">
        <v>6063</v>
      </c>
      <c r="N1511" t="s">
        <v>13</v>
      </c>
      <c r="O1511" t="s">
        <v>1600</v>
      </c>
      <c r="P1511" s="2" t="str">
        <f>HYPERLINK("https://www.facebook.com/100001980831808")</f>
        <v>https://www.facebook.com/100001980831808</v>
      </c>
      <c r="Q1511">
        <v>93</v>
      </c>
      <c r="R1511" t="s">
        <v>6067</v>
      </c>
    </row>
    <row r="1512" spans="1:19" ht="14.25" customHeight="1" x14ac:dyDescent="0.3">
      <c r="A1512" t="s">
        <v>2225</v>
      </c>
      <c r="B1512" t="s">
        <v>2389</v>
      </c>
      <c r="C1512" t="s">
        <v>95</v>
      </c>
      <c r="D1512" t="s">
        <v>544</v>
      </c>
      <c r="E1512" t="s">
        <v>545</v>
      </c>
      <c r="F1512" t="s">
        <v>6058</v>
      </c>
      <c r="G1512" s="2" t="str">
        <f>HYPERLINK("https://www.facebook.com/1056529224450668/posts/803376756526639")</f>
        <v>https://www.facebook.com/1056529224450668/posts/803376756526639</v>
      </c>
      <c r="H1512" t="s">
        <v>6062</v>
      </c>
      <c r="I1512" t="s">
        <v>2375</v>
      </c>
      <c r="J1512" s="2" t="str">
        <f t="shared" ref="J1512:J1518" si="40">HYPERLINK("https://www.facebook.com/100005629665626")</f>
        <v>https://www.facebook.com/100005629665626</v>
      </c>
      <c r="K1512">
        <v>1179</v>
      </c>
      <c r="L1512" t="s">
        <v>6064</v>
      </c>
      <c r="N1512" t="s">
        <v>13</v>
      </c>
      <c r="O1512" t="s">
        <v>2391</v>
      </c>
      <c r="P1512" s="2" t="str">
        <f>HYPERLINK("https://www.facebook.com/1056529224450668")</f>
        <v>https://www.facebook.com/1056529224450668</v>
      </c>
      <c r="R1512" t="s">
        <v>6067</v>
      </c>
      <c r="S1512" t="s">
        <v>6073</v>
      </c>
    </row>
    <row r="1513" spans="1:19" ht="14.25" customHeight="1" x14ac:dyDescent="0.3">
      <c r="A1513" t="s">
        <v>2225</v>
      </c>
      <c r="B1513" t="s">
        <v>2392</v>
      </c>
      <c r="C1513" t="s">
        <v>95</v>
      </c>
      <c r="D1513" t="s">
        <v>544</v>
      </c>
      <c r="E1513" t="s">
        <v>545</v>
      </c>
      <c r="F1513" t="s">
        <v>6058</v>
      </c>
      <c r="G1513" s="2" t="str">
        <f>HYPERLINK("https://www.facebook.com/1426506607641194/posts/1877643842527466")</f>
        <v>https://www.facebook.com/1426506607641194/posts/1877643842527466</v>
      </c>
      <c r="H1513" t="s">
        <v>6062</v>
      </c>
      <c r="I1513" t="s">
        <v>2375</v>
      </c>
      <c r="J1513" s="2" t="str">
        <f t="shared" si="40"/>
        <v>https://www.facebook.com/100005629665626</v>
      </c>
      <c r="K1513">
        <v>1179</v>
      </c>
      <c r="L1513" t="s">
        <v>6064</v>
      </c>
      <c r="N1513" t="s">
        <v>13</v>
      </c>
      <c r="O1513" t="s">
        <v>2394</v>
      </c>
      <c r="P1513" s="2" t="str">
        <f>HYPERLINK("https://www.facebook.com/1426506607641194")</f>
        <v>https://www.facebook.com/1426506607641194</v>
      </c>
      <c r="R1513" t="s">
        <v>6067</v>
      </c>
      <c r="S1513" t="s">
        <v>6073</v>
      </c>
    </row>
    <row r="1514" spans="1:19" ht="14.25" customHeight="1" x14ac:dyDescent="0.3">
      <c r="A1514" t="s">
        <v>2225</v>
      </c>
      <c r="B1514" t="s">
        <v>2392</v>
      </c>
      <c r="C1514" t="s">
        <v>95</v>
      </c>
      <c r="D1514" t="s">
        <v>544</v>
      </c>
      <c r="E1514" t="s">
        <v>545</v>
      </c>
      <c r="F1514" t="s">
        <v>6058</v>
      </c>
      <c r="G1514" s="2" t="str">
        <f>HYPERLINK("https://www.facebook.com/1426506607641194/posts/803376713193310")</f>
        <v>https://www.facebook.com/1426506607641194/posts/803376713193310</v>
      </c>
      <c r="H1514" t="s">
        <v>6062</v>
      </c>
      <c r="I1514" t="s">
        <v>2375</v>
      </c>
      <c r="J1514" s="2" t="str">
        <f t="shared" si="40"/>
        <v>https://www.facebook.com/100005629665626</v>
      </c>
      <c r="K1514">
        <v>1179</v>
      </c>
      <c r="L1514" t="s">
        <v>6064</v>
      </c>
      <c r="N1514" t="s">
        <v>13</v>
      </c>
      <c r="O1514" t="s">
        <v>2394</v>
      </c>
      <c r="P1514" s="2" t="str">
        <f>HYPERLINK("https://www.facebook.com/1426506607641194")</f>
        <v>https://www.facebook.com/1426506607641194</v>
      </c>
      <c r="R1514" t="s">
        <v>6067</v>
      </c>
      <c r="S1514" t="s">
        <v>6073</v>
      </c>
    </row>
    <row r="1515" spans="1:19" ht="14.25" customHeight="1" x14ac:dyDescent="0.3">
      <c r="A1515" t="s">
        <v>2225</v>
      </c>
      <c r="B1515" t="s">
        <v>2392</v>
      </c>
      <c r="C1515" t="s">
        <v>95</v>
      </c>
      <c r="D1515" t="s">
        <v>544</v>
      </c>
      <c r="E1515" t="s">
        <v>545</v>
      </c>
      <c r="F1515" t="s">
        <v>6058</v>
      </c>
      <c r="G1515" s="2" t="str">
        <f>HYPERLINK("https://www.facebook.com/1585752891674889/posts/2034400520143455")</f>
        <v>https://www.facebook.com/1585752891674889/posts/2034400520143455</v>
      </c>
      <c r="H1515" t="s">
        <v>6062</v>
      </c>
      <c r="I1515" t="s">
        <v>2375</v>
      </c>
      <c r="J1515" s="2" t="str">
        <f t="shared" si="40"/>
        <v>https://www.facebook.com/100005629665626</v>
      </c>
      <c r="K1515">
        <v>1179</v>
      </c>
      <c r="L1515" t="s">
        <v>6064</v>
      </c>
      <c r="N1515" t="s">
        <v>13</v>
      </c>
      <c r="O1515" t="s">
        <v>2395</v>
      </c>
      <c r="P1515" s="2" t="str">
        <f>HYPERLINK("https://www.facebook.com/1585752891674889")</f>
        <v>https://www.facebook.com/1585752891674889</v>
      </c>
      <c r="R1515" t="s">
        <v>6067</v>
      </c>
      <c r="S1515" t="s">
        <v>6073</v>
      </c>
    </row>
    <row r="1516" spans="1:19" ht="14.25" customHeight="1" x14ac:dyDescent="0.3">
      <c r="A1516" t="s">
        <v>2225</v>
      </c>
      <c r="B1516" t="s">
        <v>2392</v>
      </c>
      <c r="C1516" t="s">
        <v>95</v>
      </c>
      <c r="D1516" t="s">
        <v>544</v>
      </c>
      <c r="E1516" t="s">
        <v>545</v>
      </c>
      <c r="F1516" t="s">
        <v>6058</v>
      </c>
      <c r="G1516" s="2" t="str">
        <f>HYPERLINK("https://www.facebook.com/1585752891674889/posts/803376686526646")</f>
        <v>https://www.facebook.com/1585752891674889/posts/803376686526646</v>
      </c>
      <c r="H1516" t="s">
        <v>6062</v>
      </c>
      <c r="I1516" t="s">
        <v>2375</v>
      </c>
      <c r="J1516" s="2" t="str">
        <f t="shared" si="40"/>
        <v>https://www.facebook.com/100005629665626</v>
      </c>
      <c r="K1516">
        <v>1179</v>
      </c>
      <c r="L1516" t="s">
        <v>6064</v>
      </c>
      <c r="N1516" t="s">
        <v>13</v>
      </c>
      <c r="O1516" t="s">
        <v>2395</v>
      </c>
      <c r="P1516" s="2" t="str">
        <f>HYPERLINK("https://www.facebook.com/1585752891674889")</f>
        <v>https://www.facebook.com/1585752891674889</v>
      </c>
      <c r="R1516" t="s">
        <v>6067</v>
      </c>
      <c r="S1516" t="s">
        <v>6073</v>
      </c>
    </row>
    <row r="1517" spans="1:19" ht="14.25" customHeight="1" x14ac:dyDescent="0.3">
      <c r="A1517" t="s">
        <v>2225</v>
      </c>
      <c r="B1517" t="s">
        <v>2392</v>
      </c>
      <c r="C1517" t="s">
        <v>95</v>
      </c>
      <c r="D1517" t="s">
        <v>853</v>
      </c>
      <c r="E1517" t="s">
        <v>2399</v>
      </c>
      <c r="F1517" t="s">
        <v>6059</v>
      </c>
      <c r="G1517" s="2" t="str">
        <f>HYPERLINK("https://www.facebook.com/100008934274771/posts/1810262525948206?comment_id=1810297582611367")</f>
        <v>https://www.facebook.com/100008934274771/posts/1810262525948206?comment_id=1810297582611367</v>
      </c>
      <c r="H1517" t="s">
        <v>6062</v>
      </c>
      <c r="I1517" t="s">
        <v>2375</v>
      </c>
      <c r="J1517" s="2" t="str">
        <f t="shared" si="40"/>
        <v>https://www.facebook.com/100005629665626</v>
      </c>
      <c r="K1517">
        <v>1179</v>
      </c>
      <c r="L1517" t="s">
        <v>6064</v>
      </c>
      <c r="N1517" t="s">
        <v>13</v>
      </c>
      <c r="O1517" t="s">
        <v>856</v>
      </c>
      <c r="P1517" s="2" t="str">
        <f>HYPERLINK("https://www.facebook.com/100008934274771")</f>
        <v>https://www.facebook.com/100008934274771</v>
      </c>
      <c r="Q1517">
        <v>10395</v>
      </c>
      <c r="R1517" t="s">
        <v>6067</v>
      </c>
      <c r="S1517" t="s">
        <v>6073</v>
      </c>
    </row>
    <row r="1518" spans="1:19" ht="14.25" customHeight="1" x14ac:dyDescent="0.3">
      <c r="A1518" t="s">
        <v>2225</v>
      </c>
      <c r="B1518" t="s">
        <v>2372</v>
      </c>
      <c r="C1518" t="s">
        <v>95</v>
      </c>
      <c r="D1518" t="s">
        <v>853</v>
      </c>
      <c r="E1518" t="s">
        <v>2374</v>
      </c>
      <c r="F1518" t="s">
        <v>6059</v>
      </c>
      <c r="G1518" s="2" t="str">
        <f>HYPERLINK("https://www.facebook.com/100008934274771/posts/1810262525948206?comment_id=1810299139277878")</f>
        <v>https://www.facebook.com/100008934274771/posts/1810262525948206?comment_id=1810299139277878</v>
      </c>
      <c r="H1518" t="s">
        <v>6062</v>
      </c>
      <c r="I1518" t="s">
        <v>2375</v>
      </c>
      <c r="J1518" s="2" t="str">
        <f t="shared" si="40"/>
        <v>https://www.facebook.com/100005629665626</v>
      </c>
      <c r="K1518">
        <v>1179</v>
      </c>
      <c r="L1518" t="s">
        <v>6064</v>
      </c>
      <c r="N1518" t="s">
        <v>13</v>
      </c>
      <c r="O1518" t="s">
        <v>856</v>
      </c>
      <c r="P1518" s="2" t="str">
        <f>HYPERLINK("https://www.facebook.com/100008934274771")</f>
        <v>https://www.facebook.com/100008934274771</v>
      </c>
      <c r="Q1518">
        <v>10395</v>
      </c>
      <c r="R1518" t="s">
        <v>6067</v>
      </c>
      <c r="S1518" t="s">
        <v>6073</v>
      </c>
    </row>
    <row r="1519" spans="1:19" ht="14.25" customHeight="1" x14ac:dyDescent="0.3">
      <c r="A1519" t="s">
        <v>5409</v>
      </c>
      <c r="B1519" t="s">
        <v>133</v>
      </c>
      <c r="C1519" t="s">
        <v>3538</v>
      </c>
      <c r="D1519" t="s">
        <v>5768</v>
      </c>
      <c r="E1519" t="s">
        <v>5769</v>
      </c>
      <c r="F1519" t="s">
        <v>6059</v>
      </c>
      <c r="G1519" s="2" t="str">
        <f>HYPERLINK("https://www.facebook.com/100001510441469/posts/1728041087256223?comment_id=1741895652537433")</f>
        <v>https://www.facebook.com/100001510441469/posts/1728041087256223?comment_id=1741895652537433</v>
      </c>
      <c r="H1519" t="s">
        <v>6062</v>
      </c>
      <c r="I1519" t="s">
        <v>5770</v>
      </c>
      <c r="J1519" s="2" t="str">
        <f>HYPERLINK("https://www.facebook.com/100001510441469")</f>
        <v>https://www.facebook.com/100001510441469</v>
      </c>
      <c r="K1519">
        <v>109</v>
      </c>
      <c r="L1519" t="s">
        <v>6063</v>
      </c>
      <c r="N1519" t="s">
        <v>13</v>
      </c>
      <c r="O1519" t="s">
        <v>5770</v>
      </c>
      <c r="P1519" s="2" t="str">
        <f>HYPERLINK("https://www.facebook.com/100001510441469")</f>
        <v>https://www.facebook.com/100001510441469</v>
      </c>
      <c r="Q1519">
        <v>109</v>
      </c>
      <c r="R1519" t="s">
        <v>6067</v>
      </c>
    </row>
    <row r="1520" spans="1:19" ht="14.25" customHeight="1" x14ac:dyDescent="0.3">
      <c r="A1520" t="s">
        <v>2225</v>
      </c>
      <c r="B1520" t="s">
        <v>793</v>
      </c>
      <c r="C1520" t="s">
        <v>95</v>
      </c>
      <c r="D1520" t="s">
        <v>1056</v>
      </c>
      <c r="E1520" t="s">
        <v>1057</v>
      </c>
      <c r="F1520" t="s">
        <v>6058</v>
      </c>
      <c r="G1520" s="2" t="str">
        <f>HYPERLINK("https://www.facebook.com/1441035692853031/posts/1875020682787861")</f>
        <v>https://www.facebook.com/1441035692853031/posts/1875020682787861</v>
      </c>
      <c r="H1520" t="s">
        <v>6062</v>
      </c>
      <c r="I1520" t="s">
        <v>2920</v>
      </c>
      <c r="J1520" s="2" t="str">
        <f>HYPERLINK("https://www.facebook.com/1441035692853031")</f>
        <v>https://www.facebook.com/1441035692853031</v>
      </c>
      <c r="K1520">
        <v>8452</v>
      </c>
      <c r="L1520" t="s">
        <v>6065</v>
      </c>
      <c r="N1520" t="s">
        <v>13</v>
      </c>
      <c r="O1520" t="s">
        <v>2920</v>
      </c>
      <c r="P1520" s="2" t="str">
        <f>HYPERLINK("https://www.facebook.com/1441035692853031")</f>
        <v>https://www.facebook.com/1441035692853031</v>
      </c>
      <c r="Q1520">
        <v>8452</v>
      </c>
      <c r="R1520" t="s">
        <v>6067</v>
      </c>
    </row>
    <row r="1521" spans="1:19" ht="14.25" customHeight="1" x14ac:dyDescent="0.3">
      <c r="A1521" t="s">
        <v>3527</v>
      </c>
      <c r="B1521" t="s">
        <v>3149</v>
      </c>
      <c r="C1521" t="s">
        <v>95</v>
      </c>
      <c r="D1521" t="s">
        <v>522</v>
      </c>
      <c r="E1521" t="s">
        <v>3994</v>
      </c>
      <c r="F1521" t="s">
        <v>6058</v>
      </c>
      <c r="G1521" s="2" t="str">
        <f>HYPERLINK("https://www.facebook.com/100007024084998/posts/2098144303763019")</f>
        <v>https://www.facebook.com/100007024084998/posts/2098144303763019</v>
      </c>
      <c r="H1521" t="s">
        <v>6062</v>
      </c>
      <c r="I1521" t="s">
        <v>4063</v>
      </c>
      <c r="J1521" s="2" t="str">
        <f>HYPERLINK("https://www.facebook.com/100007024084998")</f>
        <v>https://www.facebook.com/100007024084998</v>
      </c>
      <c r="K1521">
        <v>2</v>
      </c>
      <c r="L1521" t="s">
        <v>6063</v>
      </c>
      <c r="N1521" t="s">
        <v>13</v>
      </c>
      <c r="O1521" t="s">
        <v>4063</v>
      </c>
      <c r="P1521" s="2" t="str">
        <f>HYPERLINK("https://www.facebook.com/100007024084998")</f>
        <v>https://www.facebook.com/100007024084998</v>
      </c>
      <c r="Q1521">
        <v>2</v>
      </c>
      <c r="R1521" t="s">
        <v>6067</v>
      </c>
      <c r="S1521" t="s">
        <v>6073</v>
      </c>
    </row>
    <row r="1522" spans="1:19" ht="14.25" customHeight="1" x14ac:dyDescent="0.3">
      <c r="A1522" t="s">
        <v>3527</v>
      </c>
      <c r="B1522" t="s">
        <v>1070</v>
      </c>
      <c r="C1522" t="s">
        <v>95</v>
      </c>
      <c r="D1522" t="s">
        <v>522</v>
      </c>
      <c r="E1522" t="s">
        <v>3994</v>
      </c>
      <c r="F1522" t="s">
        <v>6058</v>
      </c>
      <c r="G1522" s="2" t="str">
        <f>HYPERLINK("https://www.facebook.com/125689264174640/posts/1630694973674054")</f>
        <v>https://www.facebook.com/125689264174640/posts/1630694973674054</v>
      </c>
      <c r="H1522" t="s">
        <v>6062</v>
      </c>
      <c r="I1522" t="s">
        <v>4063</v>
      </c>
      <c r="J1522" s="2" t="str">
        <f>HYPERLINK("https://www.facebook.com/100007024084998")</f>
        <v>https://www.facebook.com/100007024084998</v>
      </c>
      <c r="K1522">
        <v>2</v>
      </c>
      <c r="L1522" t="s">
        <v>6063</v>
      </c>
      <c r="N1522" t="s">
        <v>13</v>
      </c>
      <c r="O1522" t="s">
        <v>4064</v>
      </c>
      <c r="P1522" s="2" t="str">
        <f>HYPERLINK("https://www.facebook.com/125689264174640")</f>
        <v>https://www.facebook.com/125689264174640</v>
      </c>
      <c r="Q1522">
        <v>2625</v>
      </c>
      <c r="R1522" t="s">
        <v>6067</v>
      </c>
      <c r="S1522" t="s">
        <v>6073</v>
      </c>
    </row>
    <row r="1523" spans="1:19" ht="14.25" customHeight="1" x14ac:dyDescent="0.3">
      <c r="A1523" t="s">
        <v>629</v>
      </c>
      <c r="B1523" t="s">
        <v>2147</v>
      </c>
      <c r="C1523" t="s">
        <v>95</v>
      </c>
      <c r="D1523" t="s">
        <v>544</v>
      </c>
      <c r="E1523" t="s">
        <v>545</v>
      </c>
      <c r="F1523" t="s">
        <v>6058</v>
      </c>
      <c r="G1523" s="2" t="str">
        <f>HYPERLINK("https://www.facebook.com/132836907402111/posts/228660464541414")</f>
        <v>https://www.facebook.com/132836907402111/posts/228660464541414</v>
      </c>
      <c r="H1523" t="s">
        <v>6062</v>
      </c>
      <c r="I1523" t="s">
        <v>2152</v>
      </c>
      <c r="J1523" s="2" t="str">
        <f>HYPERLINK("https://www.facebook.com/100021923855574")</f>
        <v>https://www.facebook.com/100021923855574</v>
      </c>
      <c r="K1523">
        <v>153</v>
      </c>
      <c r="L1523" t="s">
        <v>6063</v>
      </c>
      <c r="N1523" t="s">
        <v>13</v>
      </c>
      <c r="O1523" t="s">
        <v>2153</v>
      </c>
      <c r="P1523" s="2" t="str">
        <f>HYPERLINK("https://www.facebook.com/132836907402111")</f>
        <v>https://www.facebook.com/132836907402111</v>
      </c>
      <c r="R1523" t="s">
        <v>6067</v>
      </c>
    </row>
    <row r="1524" spans="1:19" ht="14.25" customHeight="1" x14ac:dyDescent="0.3">
      <c r="A1524" t="s">
        <v>2225</v>
      </c>
      <c r="B1524" t="s">
        <v>759</v>
      </c>
      <c r="C1524" t="s">
        <v>95</v>
      </c>
      <c r="D1524" t="s">
        <v>853</v>
      </c>
      <c r="E1524" t="s">
        <v>2737</v>
      </c>
      <c r="F1524" t="s">
        <v>6059</v>
      </c>
      <c r="G1524" s="2" t="str">
        <f>HYPERLINK("https://www.facebook.com/100008934274771/posts/1810262525948206?comment_id=1810273912613734")</f>
        <v>https://www.facebook.com/100008934274771/posts/1810262525948206?comment_id=1810273912613734</v>
      </c>
      <c r="H1524" t="s">
        <v>6062</v>
      </c>
      <c r="I1524" t="s">
        <v>2738</v>
      </c>
      <c r="J1524" s="2" t="str">
        <f>HYPERLINK("https://www.facebook.com/100015285247619")</f>
        <v>https://www.facebook.com/100015285247619</v>
      </c>
      <c r="K1524">
        <v>168</v>
      </c>
      <c r="L1524" t="s">
        <v>6063</v>
      </c>
      <c r="N1524" t="s">
        <v>13</v>
      </c>
      <c r="O1524" t="s">
        <v>856</v>
      </c>
      <c r="P1524" s="2" t="str">
        <f t="shared" ref="P1524:P1532" si="41">HYPERLINK("https://www.facebook.com/100008934274771")</f>
        <v>https://www.facebook.com/100008934274771</v>
      </c>
      <c r="Q1524">
        <v>10395</v>
      </c>
      <c r="R1524" t="s">
        <v>6067</v>
      </c>
      <c r="S1524" t="s">
        <v>6073</v>
      </c>
    </row>
    <row r="1525" spans="1:19" ht="14.25" customHeight="1" x14ac:dyDescent="0.3">
      <c r="A1525" t="s">
        <v>2225</v>
      </c>
      <c r="B1525" t="s">
        <v>2803</v>
      </c>
      <c r="C1525" t="s">
        <v>95</v>
      </c>
      <c r="D1525" t="s">
        <v>853</v>
      </c>
      <c r="E1525" t="s">
        <v>2811</v>
      </c>
      <c r="F1525" t="s">
        <v>6059</v>
      </c>
      <c r="G1525" s="2" t="str">
        <f>HYPERLINK("https://www.facebook.com/100008934274771/posts/1810262525948206?comment_id=1810268325947626")</f>
        <v>https://www.facebook.com/100008934274771/posts/1810262525948206?comment_id=1810268325947626</v>
      </c>
      <c r="H1525" t="s">
        <v>6062</v>
      </c>
      <c r="I1525" t="s">
        <v>2738</v>
      </c>
      <c r="J1525" s="2" t="str">
        <f>HYPERLINK("https://www.facebook.com/100015285247619")</f>
        <v>https://www.facebook.com/100015285247619</v>
      </c>
      <c r="K1525">
        <v>168</v>
      </c>
      <c r="L1525" t="s">
        <v>6063</v>
      </c>
      <c r="N1525" t="s">
        <v>13</v>
      </c>
      <c r="O1525" t="s">
        <v>856</v>
      </c>
      <c r="P1525" s="2" t="str">
        <f t="shared" si="41"/>
        <v>https://www.facebook.com/100008934274771</v>
      </c>
      <c r="Q1525">
        <v>10395</v>
      </c>
      <c r="R1525" t="s">
        <v>6067</v>
      </c>
      <c r="S1525" t="s">
        <v>6073</v>
      </c>
    </row>
    <row r="1526" spans="1:19" ht="14.25" customHeight="1" x14ac:dyDescent="0.3">
      <c r="A1526" t="s">
        <v>2225</v>
      </c>
      <c r="B1526" t="s">
        <v>762</v>
      </c>
      <c r="C1526" t="s">
        <v>95</v>
      </c>
      <c r="D1526" t="s">
        <v>853</v>
      </c>
      <c r="E1526" t="s">
        <v>2819</v>
      </c>
      <c r="F1526" t="s">
        <v>6059</v>
      </c>
      <c r="G1526" s="2" t="str">
        <f>HYPERLINK("https://www.facebook.com/100008934274771/posts/1810262525948206?comment_id=1810267935947665")</f>
        <v>https://www.facebook.com/100008934274771/posts/1810262525948206?comment_id=1810267935947665</v>
      </c>
      <c r="H1526" t="s">
        <v>6062</v>
      </c>
      <c r="I1526" t="s">
        <v>2738</v>
      </c>
      <c r="J1526" s="2" t="str">
        <f>HYPERLINK("https://www.facebook.com/100015285247619")</f>
        <v>https://www.facebook.com/100015285247619</v>
      </c>
      <c r="K1526">
        <v>168</v>
      </c>
      <c r="L1526" t="s">
        <v>6063</v>
      </c>
      <c r="N1526" t="s">
        <v>13</v>
      </c>
      <c r="O1526" t="s">
        <v>856</v>
      </c>
      <c r="P1526" s="2" t="str">
        <f t="shared" si="41"/>
        <v>https://www.facebook.com/100008934274771</v>
      </c>
      <c r="Q1526">
        <v>10395</v>
      </c>
      <c r="R1526" t="s">
        <v>6067</v>
      </c>
      <c r="S1526" t="s">
        <v>6073</v>
      </c>
    </row>
    <row r="1527" spans="1:19" ht="14.25" customHeight="1" x14ac:dyDescent="0.3">
      <c r="A1527" t="s">
        <v>5409</v>
      </c>
      <c r="B1527" t="s">
        <v>5687</v>
      </c>
      <c r="C1527" t="s">
        <v>3538</v>
      </c>
      <c r="D1527" t="s">
        <v>5688</v>
      </c>
      <c r="E1527" t="s">
        <v>5689</v>
      </c>
      <c r="F1527" t="s">
        <v>6056</v>
      </c>
      <c r="G1527" s="2" t="str">
        <f>HYPERLINK("https://www.facebook.com/100008934274771/posts/1808350746139384")</f>
        <v>https://www.facebook.com/100008934274771/posts/1808350746139384</v>
      </c>
      <c r="H1527" t="s">
        <v>6062</v>
      </c>
      <c r="I1527" t="s">
        <v>856</v>
      </c>
      <c r="J1527" s="2" t="str">
        <f t="shared" ref="J1527:J1532" si="42">HYPERLINK("https://www.facebook.com/100008934274771")</f>
        <v>https://www.facebook.com/100008934274771</v>
      </c>
      <c r="K1527">
        <v>10395</v>
      </c>
      <c r="L1527" t="s">
        <v>6063</v>
      </c>
      <c r="N1527" t="s">
        <v>13</v>
      </c>
      <c r="O1527" t="s">
        <v>856</v>
      </c>
      <c r="P1527" s="2" t="str">
        <f t="shared" si="41"/>
        <v>https://www.facebook.com/100008934274771</v>
      </c>
      <c r="Q1527">
        <v>10395</v>
      </c>
      <c r="R1527" t="s">
        <v>6067</v>
      </c>
      <c r="S1527" t="s">
        <v>6073</v>
      </c>
    </row>
    <row r="1528" spans="1:19" ht="14.25" customHeight="1" x14ac:dyDescent="0.3">
      <c r="A1528" t="s">
        <v>4439</v>
      </c>
      <c r="B1528" t="s">
        <v>756</v>
      </c>
      <c r="C1528" t="s">
        <v>3538</v>
      </c>
      <c r="D1528" t="s">
        <v>4510</v>
      </c>
      <c r="E1528" t="s">
        <v>4511</v>
      </c>
      <c r="F1528" t="s">
        <v>6056</v>
      </c>
      <c r="G1528" s="2" t="str">
        <f>HYPERLINK("https://www.facebook.com/100008934274771/posts/1809409202700205")</f>
        <v>https://www.facebook.com/100008934274771/posts/1809409202700205</v>
      </c>
      <c r="H1528" t="s">
        <v>6062</v>
      </c>
      <c r="I1528" t="s">
        <v>856</v>
      </c>
      <c r="J1528" s="2" t="str">
        <f t="shared" si="42"/>
        <v>https://www.facebook.com/100008934274771</v>
      </c>
      <c r="K1528">
        <v>10395</v>
      </c>
      <c r="L1528" t="s">
        <v>6063</v>
      </c>
      <c r="N1528" t="s">
        <v>13</v>
      </c>
      <c r="O1528" t="s">
        <v>856</v>
      </c>
      <c r="P1528" s="2" t="str">
        <f t="shared" si="41"/>
        <v>https://www.facebook.com/100008934274771</v>
      </c>
      <c r="Q1528">
        <v>10395</v>
      </c>
      <c r="R1528" t="s">
        <v>6067</v>
      </c>
      <c r="S1528" t="s">
        <v>6073</v>
      </c>
    </row>
    <row r="1529" spans="1:19" ht="14.25" customHeight="1" x14ac:dyDescent="0.3">
      <c r="A1529" t="s">
        <v>3527</v>
      </c>
      <c r="B1529" t="s">
        <v>3532</v>
      </c>
      <c r="C1529" t="s">
        <v>95</v>
      </c>
      <c r="D1529" t="s">
        <v>3534</v>
      </c>
      <c r="E1529" t="s">
        <v>3535</v>
      </c>
      <c r="F1529" t="s">
        <v>6056</v>
      </c>
      <c r="G1529" s="2" t="str">
        <f>HYPERLINK("https://www.facebook.com/100008934274771/posts/1809863629321429")</f>
        <v>https://www.facebook.com/100008934274771/posts/1809863629321429</v>
      </c>
      <c r="H1529" t="s">
        <v>6062</v>
      </c>
      <c r="I1529" t="s">
        <v>856</v>
      </c>
      <c r="J1529" s="2" t="str">
        <f t="shared" si="42"/>
        <v>https://www.facebook.com/100008934274771</v>
      </c>
      <c r="K1529">
        <v>10395</v>
      </c>
      <c r="L1529" t="s">
        <v>6063</v>
      </c>
      <c r="N1529" t="s">
        <v>13</v>
      </c>
      <c r="O1529" t="s">
        <v>856</v>
      </c>
      <c r="P1529" s="2" t="str">
        <f t="shared" si="41"/>
        <v>https://www.facebook.com/100008934274771</v>
      </c>
      <c r="Q1529">
        <v>10395</v>
      </c>
      <c r="R1529" t="s">
        <v>6067</v>
      </c>
      <c r="S1529" t="s">
        <v>6073</v>
      </c>
    </row>
    <row r="1530" spans="1:19" ht="14.25" customHeight="1" x14ac:dyDescent="0.3">
      <c r="A1530" t="s">
        <v>2225</v>
      </c>
      <c r="B1530" t="s">
        <v>350</v>
      </c>
      <c r="C1530" t="s">
        <v>95</v>
      </c>
      <c r="D1530" t="s">
        <v>3206</v>
      </c>
      <c r="E1530" t="s">
        <v>3398</v>
      </c>
      <c r="F1530" t="s">
        <v>6056</v>
      </c>
      <c r="G1530" s="2" t="str">
        <f>HYPERLINK("https://www.facebook.com/100008934274771/posts/1810029789304813")</f>
        <v>https://www.facebook.com/100008934274771/posts/1810029789304813</v>
      </c>
      <c r="H1530" t="s">
        <v>6062</v>
      </c>
      <c r="I1530" t="s">
        <v>856</v>
      </c>
      <c r="J1530" s="2" t="str">
        <f t="shared" si="42"/>
        <v>https://www.facebook.com/100008934274771</v>
      </c>
      <c r="K1530">
        <v>10395</v>
      </c>
      <c r="L1530" t="s">
        <v>6063</v>
      </c>
      <c r="N1530" t="s">
        <v>13</v>
      </c>
      <c r="O1530" t="s">
        <v>856</v>
      </c>
      <c r="P1530" s="2" t="str">
        <f t="shared" si="41"/>
        <v>https://www.facebook.com/100008934274771</v>
      </c>
      <c r="Q1530">
        <v>10395</v>
      </c>
      <c r="R1530" t="s">
        <v>6067</v>
      </c>
      <c r="S1530" t="s">
        <v>6073</v>
      </c>
    </row>
    <row r="1531" spans="1:19" ht="14.25" customHeight="1" x14ac:dyDescent="0.3">
      <c r="A1531" t="s">
        <v>2225</v>
      </c>
      <c r="B1531" t="s">
        <v>770</v>
      </c>
      <c r="C1531" t="s">
        <v>95</v>
      </c>
      <c r="D1531" t="s">
        <v>853</v>
      </c>
      <c r="E1531" t="s">
        <v>2903</v>
      </c>
      <c r="F1531" t="s">
        <v>6056</v>
      </c>
      <c r="G1531" s="2" t="str">
        <f>HYPERLINK("https://www.facebook.com/100008934274771/posts/1810262525948206")</f>
        <v>https://www.facebook.com/100008934274771/posts/1810262525948206</v>
      </c>
      <c r="H1531" t="s">
        <v>6062</v>
      </c>
      <c r="I1531" t="s">
        <v>856</v>
      </c>
      <c r="J1531" s="2" t="str">
        <f t="shared" si="42"/>
        <v>https://www.facebook.com/100008934274771</v>
      </c>
      <c r="K1531">
        <v>10395</v>
      </c>
      <c r="L1531" t="s">
        <v>6063</v>
      </c>
      <c r="N1531" t="s">
        <v>13</v>
      </c>
      <c r="O1531" t="s">
        <v>856</v>
      </c>
      <c r="P1531" s="2" t="str">
        <f t="shared" si="41"/>
        <v>https://www.facebook.com/100008934274771</v>
      </c>
      <c r="Q1531">
        <v>10395</v>
      </c>
      <c r="R1531" t="s">
        <v>6067</v>
      </c>
      <c r="S1531" t="s">
        <v>6073</v>
      </c>
    </row>
    <row r="1532" spans="1:19" ht="14.25" customHeight="1" x14ac:dyDescent="0.3">
      <c r="A1532" t="s">
        <v>629</v>
      </c>
      <c r="B1532" t="s">
        <v>2027</v>
      </c>
      <c r="C1532" t="s">
        <v>95</v>
      </c>
      <c r="D1532" t="s">
        <v>2028</v>
      </c>
      <c r="E1532" t="s">
        <v>2029</v>
      </c>
      <c r="F1532" t="s">
        <v>6056</v>
      </c>
      <c r="G1532" s="2" t="str">
        <f>HYPERLINK("https://www.facebook.com/100008934274771/posts/1810497115924747")</f>
        <v>https://www.facebook.com/100008934274771/posts/1810497115924747</v>
      </c>
      <c r="H1532" t="s">
        <v>6062</v>
      </c>
      <c r="I1532" t="s">
        <v>856</v>
      </c>
      <c r="J1532" s="2" t="str">
        <f t="shared" si="42"/>
        <v>https://www.facebook.com/100008934274771</v>
      </c>
      <c r="K1532">
        <v>10395</v>
      </c>
      <c r="L1532" t="s">
        <v>6063</v>
      </c>
      <c r="N1532" t="s">
        <v>13</v>
      </c>
      <c r="O1532" t="s">
        <v>856</v>
      </c>
      <c r="P1532" s="2" t="str">
        <f t="shared" si="41"/>
        <v>https://www.facebook.com/100008934274771</v>
      </c>
      <c r="Q1532">
        <v>10395</v>
      </c>
      <c r="R1532" t="s">
        <v>6067</v>
      </c>
      <c r="S1532" t="s">
        <v>6073</v>
      </c>
    </row>
    <row r="1533" spans="1:19" ht="14.25" customHeight="1" x14ac:dyDescent="0.3">
      <c r="A1533" t="s">
        <v>629</v>
      </c>
      <c r="B1533" t="s">
        <v>1031</v>
      </c>
      <c r="C1533" t="s">
        <v>95</v>
      </c>
      <c r="D1533" t="s">
        <v>10</v>
      </c>
      <c r="E1533" t="s">
        <v>1034</v>
      </c>
      <c r="F1533" t="s">
        <v>6059</v>
      </c>
      <c r="G1533" s="2" t="str">
        <f>HYPERLINK("https://www.facebook.com/762053551/posts/10156366210158552?comment_id=10156366374518552")</f>
        <v>https://www.facebook.com/762053551/posts/10156366210158552?comment_id=10156366374518552</v>
      </c>
      <c r="H1533" t="s">
        <v>6062</v>
      </c>
      <c r="I1533" t="s">
        <v>14</v>
      </c>
      <c r="J1533" s="2" t="str">
        <f t="shared" ref="J1533:J1540" si="43">HYPERLINK("https://www.facebook.com/762053551")</f>
        <v>https://www.facebook.com/762053551</v>
      </c>
      <c r="K1533">
        <v>102347</v>
      </c>
      <c r="L1533" t="s">
        <v>6063</v>
      </c>
      <c r="N1533" t="s">
        <v>13</v>
      </c>
      <c r="O1533" t="s">
        <v>14</v>
      </c>
      <c r="P1533" s="2" t="str">
        <f t="shared" ref="P1533:P1540" si="44">HYPERLINK("https://www.facebook.com/762053551")</f>
        <v>https://www.facebook.com/762053551</v>
      </c>
      <c r="Q1533">
        <v>102347</v>
      </c>
      <c r="R1533" t="s">
        <v>6067</v>
      </c>
      <c r="S1533" t="s">
        <v>6073</v>
      </c>
    </row>
    <row r="1534" spans="1:19" ht="14.25" customHeight="1" x14ac:dyDescent="0.3">
      <c r="A1534" t="s">
        <v>629</v>
      </c>
      <c r="B1534" t="s">
        <v>1264</v>
      </c>
      <c r="C1534" t="s">
        <v>95</v>
      </c>
      <c r="D1534" t="s">
        <v>10</v>
      </c>
      <c r="E1534" t="s">
        <v>1265</v>
      </c>
      <c r="F1534" t="s">
        <v>6059</v>
      </c>
      <c r="G1534" s="2" t="str">
        <f>HYPERLINK("https://www.facebook.com/762053551/posts/10156366210158552?comment_id=10156366228673552")</f>
        <v>https://www.facebook.com/762053551/posts/10156366210158552?comment_id=10156366228673552</v>
      </c>
      <c r="H1534" t="s">
        <v>6062</v>
      </c>
      <c r="I1534" t="s">
        <v>14</v>
      </c>
      <c r="J1534" s="2" t="str">
        <f t="shared" si="43"/>
        <v>https://www.facebook.com/762053551</v>
      </c>
      <c r="K1534">
        <v>102347</v>
      </c>
      <c r="L1534" t="s">
        <v>6063</v>
      </c>
      <c r="N1534" t="s">
        <v>13</v>
      </c>
      <c r="O1534" t="s">
        <v>14</v>
      </c>
      <c r="P1534" s="2" t="str">
        <f t="shared" si="44"/>
        <v>https://www.facebook.com/762053551</v>
      </c>
      <c r="Q1534">
        <v>102347</v>
      </c>
      <c r="R1534" t="s">
        <v>6067</v>
      </c>
      <c r="S1534" t="s">
        <v>6073</v>
      </c>
    </row>
    <row r="1535" spans="1:19" ht="14.25" customHeight="1" x14ac:dyDescent="0.3">
      <c r="A1535" t="s">
        <v>629</v>
      </c>
      <c r="B1535" t="s">
        <v>1031</v>
      </c>
      <c r="C1535" t="s">
        <v>95</v>
      </c>
      <c r="D1535" t="s">
        <v>10</v>
      </c>
      <c r="E1535" t="s">
        <v>1035</v>
      </c>
      <c r="F1535" t="s">
        <v>6059</v>
      </c>
      <c r="G1535" s="2" t="str">
        <f>HYPERLINK("https://www.facebook.com/762053551/posts/10156366210158552?comment_id=10156366374068552")</f>
        <v>https://www.facebook.com/762053551/posts/10156366210158552?comment_id=10156366374068552</v>
      </c>
      <c r="H1535" t="s">
        <v>6062</v>
      </c>
      <c r="I1535" t="s">
        <v>14</v>
      </c>
      <c r="J1535" s="2" t="str">
        <f t="shared" si="43"/>
        <v>https://www.facebook.com/762053551</v>
      </c>
      <c r="K1535">
        <v>102347</v>
      </c>
      <c r="L1535" t="s">
        <v>6063</v>
      </c>
      <c r="N1535" t="s">
        <v>13</v>
      </c>
      <c r="O1535" t="s">
        <v>14</v>
      </c>
      <c r="P1535" s="2" t="str">
        <f t="shared" si="44"/>
        <v>https://www.facebook.com/762053551</v>
      </c>
      <c r="Q1535">
        <v>102347</v>
      </c>
      <c r="R1535" t="s">
        <v>6067</v>
      </c>
      <c r="S1535" t="s">
        <v>6073</v>
      </c>
    </row>
    <row r="1536" spans="1:19" ht="14.25" customHeight="1" x14ac:dyDescent="0.3">
      <c r="A1536" t="s">
        <v>1</v>
      </c>
      <c r="B1536" t="s">
        <v>150</v>
      </c>
      <c r="C1536" t="s">
        <v>95</v>
      </c>
      <c r="D1536" t="s">
        <v>45</v>
      </c>
      <c r="E1536" t="s">
        <v>154</v>
      </c>
      <c r="F1536" t="s">
        <v>6056</v>
      </c>
      <c r="G1536" s="2" t="str">
        <f>HYPERLINK("https://www.facebook.com/762053551/posts/10156368409663552")</f>
        <v>https://www.facebook.com/762053551/posts/10156368409663552</v>
      </c>
      <c r="H1536" t="s">
        <v>6062</v>
      </c>
      <c r="I1536" t="s">
        <v>14</v>
      </c>
      <c r="J1536" s="2" t="str">
        <f t="shared" si="43"/>
        <v>https://www.facebook.com/762053551</v>
      </c>
      <c r="K1536">
        <v>102347</v>
      </c>
      <c r="L1536" t="s">
        <v>6063</v>
      </c>
      <c r="N1536" t="s">
        <v>13</v>
      </c>
      <c r="O1536" t="s">
        <v>14</v>
      </c>
      <c r="P1536" s="2" t="str">
        <f t="shared" si="44"/>
        <v>https://www.facebook.com/762053551</v>
      </c>
      <c r="Q1536">
        <v>102347</v>
      </c>
      <c r="R1536" t="s">
        <v>6067</v>
      </c>
      <c r="S1536" t="s">
        <v>6073</v>
      </c>
    </row>
    <row r="1537" spans="1:19" ht="14.25" customHeight="1" x14ac:dyDescent="0.3">
      <c r="A1537" t="s">
        <v>629</v>
      </c>
      <c r="B1537" t="s">
        <v>1172</v>
      </c>
      <c r="C1537" t="s">
        <v>95</v>
      </c>
      <c r="D1537" t="s">
        <v>10</v>
      </c>
      <c r="E1537" t="s">
        <v>1173</v>
      </c>
      <c r="F1537" t="s">
        <v>6059</v>
      </c>
      <c r="G1537" s="2" t="str">
        <f>HYPERLINK("https://www.facebook.com/762053551/posts/10156366210158552?comment_id=10156366267743552")</f>
        <v>https://www.facebook.com/762053551/posts/10156366210158552?comment_id=10156366267743552</v>
      </c>
      <c r="H1537" t="s">
        <v>6062</v>
      </c>
      <c r="I1537" t="s">
        <v>14</v>
      </c>
      <c r="J1537" s="2" t="str">
        <f t="shared" si="43"/>
        <v>https://www.facebook.com/762053551</v>
      </c>
      <c r="K1537">
        <v>102347</v>
      </c>
      <c r="L1537" t="s">
        <v>6063</v>
      </c>
      <c r="N1537" t="s">
        <v>13</v>
      </c>
      <c r="O1537" t="s">
        <v>14</v>
      </c>
      <c r="P1537" s="2" t="str">
        <f t="shared" si="44"/>
        <v>https://www.facebook.com/762053551</v>
      </c>
      <c r="Q1537">
        <v>102347</v>
      </c>
      <c r="R1537" t="s">
        <v>6067</v>
      </c>
      <c r="S1537" t="s">
        <v>6073</v>
      </c>
    </row>
    <row r="1538" spans="1:19" ht="14.25" customHeight="1" x14ac:dyDescent="0.3">
      <c r="A1538" t="s">
        <v>5409</v>
      </c>
      <c r="B1538" t="s">
        <v>430</v>
      </c>
      <c r="C1538" t="s">
        <v>3538</v>
      </c>
      <c r="D1538" t="s">
        <v>5871</v>
      </c>
      <c r="E1538" t="s">
        <v>5891</v>
      </c>
      <c r="F1538" t="s">
        <v>6056</v>
      </c>
      <c r="G1538" s="2" t="str">
        <f>HYPERLINK("https://www.facebook.com/762053551/posts/10156352623943552")</f>
        <v>https://www.facebook.com/762053551/posts/10156352623943552</v>
      </c>
      <c r="H1538" t="s">
        <v>6062</v>
      </c>
      <c r="I1538" t="s">
        <v>14</v>
      </c>
      <c r="J1538" s="2" t="str">
        <f t="shared" si="43"/>
        <v>https://www.facebook.com/762053551</v>
      </c>
      <c r="K1538">
        <v>102347</v>
      </c>
      <c r="L1538" t="s">
        <v>6063</v>
      </c>
      <c r="N1538" t="s">
        <v>13</v>
      </c>
      <c r="O1538" t="s">
        <v>14</v>
      </c>
      <c r="P1538" s="2" t="str">
        <f t="shared" si="44"/>
        <v>https://www.facebook.com/762053551</v>
      </c>
      <c r="Q1538">
        <v>102347</v>
      </c>
      <c r="R1538" t="s">
        <v>6067</v>
      </c>
      <c r="S1538" t="s">
        <v>6073</v>
      </c>
    </row>
    <row r="1539" spans="1:19" ht="14.25" customHeight="1" x14ac:dyDescent="0.3">
      <c r="A1539" t="s">
        <v>629</v>
      </c>
      <c r="B1539" t="s">
        <v>709</v>
      </c>
      <c r="C1539" t="s">
        <v>95</v>
      </c>
      <c r="D1539" t="s">
        <v>10</v>
      </c>
      <c r="E1539" t="s">
        <v>710</v>
      </c>
      <c r="F1539" t="s">
        <v>6059</v>
      </c>
      <c r="G1539" s="2" t="str">
        <f>HYPERLINK("https://www.facebook.com/762053551/posts/10156366210158552?comment_id=10156367108188552")</f>
        <v>https://www.facebook.com/762053551/posts/10156366210158552?comment_id=10156367108188552</v>
      </c>
      <c r="H1539" t="s">
        <v>6062</v>
      </c>
      <c r="I1539" t="s">
        <v>14</v>
      </c>
      <c r="J1539" s="2" t="str">
        <f t="shared" si="43"/>
        <v>https://www.facebook.com/762053551</v>
      </c>
      <c r="K1539">
        <v>102347</v>
      </c>
      <c r="L1539" t="s">
        <v>6063</v>
      </c>
      <c r="N1539" t="s">
        <v>13</v>
      </c>
      <c r="O1539" t="s">
        <v>14</v>
      </c>
      <c r="P1539" s="2" t="str">
        <f t="shared" si="44"/>
        <v>https://www.facebook.com/762053551</v>
      </c>
      <c r="Q1539">
        <v>102347</v>
      </c>
      <c r="R1539" t="s">
        <v>6067</v>
      </c>
      <c r="S1539" t="s">
        <v>6073</v>
      </c>
    </row>
    <row r="1540" spans="1:19" ht="14.25" customHeight="1" x14ac:dyDescent="0.3">
      <c r="A1540" t="s">
        <v>629</v>
      </c>
      <c r="B1540" t="s">
        <v>1172</v>
      </c>
      <c r="C1540" t="s">
        <v>95</v>
      </c>
      <c r="D1540" t="s">
        <v>10</v>
      </c>
      <c r="E1540" t="s">
        <v>1180</v>
      </c>
      <c r="F1540" t="s">
        <v>6059</v>
      </c>
      <c r="G1540" s="2" t="str">
        <f>HYPERLINK("https://www.facebook.com/762053551/posts/10156366210158552?comment_id=10156366266418552")</f>
        <v>https://www.facebook.com/762053551/posts/10156366210158552?comment_id=10156366266418552</v>
      </c>
      <c r="H1540" t="s">
        <v>6062</v>
      </c>
      <c r="I1540" t="s">
        <v>14</v>
      </c>
      <c r="J1540" s="2" t="str">
        <f t="shared" si="43"/>
        <v>https://www.facebook.com/762053551</v>
      </c>
      <c r="K1540">
        <v>102347</v>
      </c>
      <c r="L1540" t="s">
        <v>6063</v>
      </c>
      <c r="N1540" t="s">
        <v>13</v>
      </c>
      <c r="O1540" t="s">
        <v>14</v>
      </c>
      <c r="P1540" s="2" t="str">
        <f t="shared" si="44"/>
        <v>https://www.facebook.com/762053551</v>
      </c>
      <c r="Q1540">
        <v>102347</v>
      </c>
      <c r="R1540" t="s">
        <v>6067</v>
      </c>
      <c r="S1540" t="s">
        <v>6073</v>
      </c>
    </row>
    <row r="1541" spans="1:19" ht="14.25" customHeight="1" x14ac:dyDescent="0.3">
      <c r="A1541" t="s">
        <v>4439</v>
      </c>
      <c r="B1541" t="s">
        <v>2275</v>
      </c>
      <c r="C1541" t="s">
        <v>3538</v>
      </c>
      <c r="D1541" t="s">
        <v>4446</v>
      </c>
      <c r="E1541" t="s">
        <v>4447</v>
      </c>
      <c r="F1541" t="s">
        <v>6057</v>
      </c>
      <c r="G1541" s="2" t="str">
        <f>HYPERLINK("https://www.facebook.com/100001181797871/posts/1596566883726023")</f>
        <v>https://www.facebook.com/100001181797871/posts/1596566883726023</v>
      </c>
      <c r="H1541" t="s">
        <v>6062</v>
      </c>
      <c r="I1541" t="s">
        <v>4448</v>
      </c>
      <c r="J1541" s="2" t="str">
        <f>HYPERLINK("https://www.facebook.com/100001181797871")</f>
        <v>https://www.facebook.com/100001181797871</v>
      </c>
      <c r="K1541">
        <v>5165</v>
      </c>
      <c r="L1541" t="s">
        <v>6063</v>
      </c>
      <c r="N1541" t="s">
        <v>13</v>
      </c>
      <c r="O1541" t="s">
        <v>4448</v>
      </c>
      <c r="P1541" s="2" t="str">
        <f>HYPERLINK("https://www.facebook.com/100001181797871")</f>
        <v>https://www.facebook.com/100001181797871</v>
      </c>
      <c r="Q1541">
        <v>5165</v>
      </c>
      <c r="R1541" t="s">
        <v>6067</v>
      </c>
      <c r="S1541" t="s">
        <v>6073</v>
      </c>
    </row>
    <row r="1542" spans="1:19" ht="14.25" customHeight="1" x14ac:dyDescent="0.3">
      <c r="A1542" t="s">
        <v>2225</v>
      </c>
      <c r="B1542" t="s">
        <v>133</v>
      </c>
      <c r="C1542" t="s">
        <v>95</v>
      </c>
      <c r="D1542" t="s">
        <v>3297</v>
      </c>
      <c r="E1542" t="s">
        <v>3298</v>
      </c>
      <c r="F1542" t="s">
        <v>6059</v>
      </c>
      <c r="G1542" s="2" t="str">
        <f>HYPERLINK("https://www.facebook.com/100001481897488/posts/1708032712589442?comment_id=1725650907494289")</f>
        <v>https://www.facebook.com/100001481897488/posts/1708032712589442?comment_id=1725650907494289</v>
      </c>
      <c r="H1542" t="s">
        <v>6062</v>
      </c>
      <c r="I1542" t="s">
        <v>3299</v>
      </c>
      <c r="J1542" s="2" t="str">
        <f>HYPERLINK("https://www.facebook.com/100001761226122")</f>
        <v>https://www.facebook.com/100001761226122</v>
      </c>
      <c r="K1542">
        <v>336</v>
      </c>
      <c r="L1542" t="s">
        <v>6063</v>
      </c>
      <c r="N1542" t="s">
        <v>13</v>
      </c>
      <c r="O1542" t="s">
        <v>3300</v>
      </c>
      <c r="P1542" s="2" t="str">
        <f>HYPERLINK("https://www.facebook.com/100001481897488")</f>
        <v>https://www.facebook.com/100001481897488</v>
      </c>
      <c r="Q1542">
        <v>1014</v>
      </c>
      <c r="R1542" t="s">
        <v>6067</v>
      </c>
      <c r="S1542" t="s">
        <v>6073</v>
      </c>
    </row>
    <row r="1543" spans="1:19" ht="14.25" customHeight="1" x14ac:dyDescent="0.3">
      <c r="A1543" t="s">
        <v>5409</v>
      </c>
      <c r="B1543" t="s">
        <v>2890</v>
      </c>
      <c r="C1543" t="s">
        <v>3538</v>
      </c>
      <c r="D1543" t="s">
        <v>5490</v>
      </c>
      <c r="E1543" t="s">
        <v>5500</v>
      </c>
      <c r="F1543" t="s">
        <v>6059</v>
      </c>
      <c r="G1543" s="2" t="str">
        <f>HYPERLINK("https://www.facebook.com/100000845756358/posts/1716575511713957?comment_id=1716611891710319")</f>
        <v>https://www.facebook.com/100000845756358/posts/1716575511713957?comment_id=1716611891710319</v>
      </c>
      <c r="H1543" t="s">
        <v>6062</v>
      </c>
      <c r="I1543" t="s">
        <v>5492</v>
      </c>
      <c r="J1543" s="2" t="str">
        <f>HYPERLINK("https://www.facebook.com/100003539675966")</f>
        <v>https://www.facebook.com/100003539675966</v>
      </c>
      <c r="K1543">
        <v>914</v>
      </c>
      <c r="L1543" t="s">
        <v>6063</v>
      </c>
      <c r="N1543" t="s">
        <v>13</v>
      </c>
      <c r="O1543" t="s">
        <v>5493</v>
      </c>
      <c r="P1543" s="2" t="str">
        <f>HYPERLINK("https://www.facebook.com/100000845756358")</f>
        <v>https://www.facebook.com/100000845756358</v>
      </c>
      <c r="Q1543">
        <v>101</v>
      </c>
      <c r="R1543" t="s">
        <v>6067</v>
      </c>
      <c r="S1543" t="s">
        <v>6073</v>
      </c>
    </row>
    <row r="1544" spans="1:19" ht="14.25" customHeight="1" x14ac:dyDescent="0.3">
      <c r="A1544" t="s">
        <v>5409</v>
      </c>
      <c r="B1544" t="s">
        <v>764</v>
      </c>
      <c r="C1544" t="s">
        <v>3538</v>
      </c>
      <c r="D1544" t="s">
        <v>5490</v>
      </c>
      <c r="E1544" t="s">
        <v>5491</v>
      </c>
      <c r="F1544" t="s">
        <v>6059</v>
      </c>
      <c r="G1544" s="2" t="str">
        <f>HYPERLINK("https://www.facebook.com/100000845756358/posts/1716575511713957?comment_id=1716613691710139")</f>
        <v>https://www.facebook.com/100000845756358/posts/1716575511713957?comment_id=1716613691710139</v>
      </c>
      <c r="H1544" t="s">
        <v>6062</v>
      </c>
      <c r="I1544" t="s">
        <v>5492</v>
      </c>
      <c r="J1544" s="2" t="str">
        <f>HYPERLINK("https://www.facebook.com/100003539675966")</f>
        <v>https://www.facebook.com/100003539675966</v>
      </c>
      <c r="K1544">
        <v>914</v>
      </c>
      <c r="L1544" t="s">
        <v>6063</v>
      </c>
      <c r="N1544" t="s">
        <v>13</v>
      </c>
      <c r="O1544" t="s">
        <v>5493</v>
      </c>
      <c r="P1544" s="2" t="str">
        <f>HYPERLINK("https://www.facebook.com/100000845756358")</f>
        <v>https://www.facebook.com/100000845756358</v>
      </c>
      <c r="Q1544">
        <v>101</v>
      </c>
      <c r="R1544" t="s">
        <v>6067</v>
      </c>
      <c r="S1544" t="s">
        <v>6073</v>
      </c>
    </row>
    <row r="1545" spans="1:19" ht="14.25" customHeight="1" x14ac:dyDescent="0.3">
      <c r="A1545" t="s">
        <v>1</v>
      </c>
      <c r="B1545" t="s">
        <v>527</v>
      </c>
      <c r="C1545" t="s">
        <v>95</v>
      </c>
      <c r="D1545" t="s">
        <v>96</v>
      </c>
      <c r="E1545" t="s">
        <v>528</v>
      </c>
      <c r="F1545" t="s">
        <v>6059</v>
      </c>
      <c r="G1545" s="2" t="str">
        <f>HYPERLINK("https://www.facebook.com/1214035469/posts/10211551199794969?comment_id=10211560303942567")</f>
        <v>https://www.facebook.com/1214035469/posts/10211551199794969?comment_id=10211560303942567</v>
      </c>
      <c r="H1545" t="s">
        <v>6062</v>
      </c>
      <c r="I1545" t="s">
        <v>99</v>
      </c>
      <c r="J1545" s="2" t="str">
        <f>HYPERLINK("https://www.facebook.com/1214035469")</f>
        <v>https://www.facebook.com/1214035469</v>
      </c>
      <c r="K1545">
        <v>351</v>
      </c>
      <c r="L1545" t="s">
        <v>6063</v>
      </c>
      <c r="N1545" t="s">
        <v>13</v>
      </c>
      <c r="O1545" t="s">
        <v>99</v>
      </c>
      <c r="P1545" s="2" t="str">
        <f>HYPERLINK("https://www.facebook.com/1214035469")</f>
        <v>https://www.facebook.com/1214035469</v>
      </c>
      <c r="Q1545">
        <v>351</v>
      </c>
      <c r="R1545" t="s">
        <v>6067</v>
      </c>
    </row>
    <row r="1546" spans="1:19" ht="14.25" customHeight="1" x14ac:dyDescent="0.3">
      <c r="A1546" t="s">
        <v>2225</v>
      </c>
      <c r="B1546" t="s">
        <v>2406</v>
      </c>
      <c r="C1546" t="s">
        <v>95</v>
      </c>
      <c r="D1546" t="s">
        <v>96</v>
      </c>
      <c r="E1546" t="s">
        <v>2407</v>
      </c>
      <c r="F1546" t="s">
        <v>6059</v>
      </c>
      <c r="G1546" s="2" t="str">
        <f>HYPERLINK("https://www.facebook.com/1214035469/posts/10211551199794969?comment_id=10211551279356958")</f>
        <v>https://www.facebook.com/1214035469/posts/10211551199794969?comment_id=10211551279356958</v>
      </c>
      <c r="H1546" t="s">
        <v>6062</v>
      </c>
      <c r="I1546" t="s">
        <v>99</v>
      </c>
      <c r="J1546" s="2" t="str">
        <f>HYPERLINK("https://www.facebook.com/1214035469")</f>
        <v>https://www.facebook.com/1214035469</v>
      </c>
      <c r="K1546">
        <v>351</v>
      </c>
      <c r="L1546" t="s">
        <v>6063</v>
      </c>
      <c r="N1546" t="s">
        <v>13</v>
      </c>
      <c r="O1546" t="s">
        <v>99</v>
      </c>
      <c r="P1546" s="2" t="str">
        <f>HYPERLINK("https://www.facebook.com/1214035469")</f>
        <v>https://www.facebook.com/1214035469</v>
      </c>
      <c r="Q1546">
        <v>351</v>
      </c>
      <c r="R1546" t="s">
        <v>6067</v>
      </c>
    </row>
    <row r="1547" spans="1:19" ht="14.25" customHeight="1" x14ac:dyDescent="0.3">
      <c r="A1547" t="s">
        <v>2225</v>
      </c>
      <c r="B1547" t="s">
        <v>2564</v>
      </c>
      <c r="C1547" t="s">
        <v>95</v>
      </c>
      <c r="D1547" t="s">
        <v>96</v>
      </c>
      <c r="E1547" t="s">
        <v>2569</v>
      </c>
      <c r="F1547" t="s">
        <v>6056</v>
      </c>
      <c r="G1547" s="2" t="str">
        <f>HYPERLINK("https://www.facebook.com/1214035469/posts/10211551199794969")</f>
        <v>https://www.facebook.com/1214035469/posts/10211551199794969</v>
      </c>
      <c r="H1547" t="s">
        <v>6062</v>
      </c>
      <c r="I1547" t="s">
        <v>99</v>
      </c>
      <c r="J1547" s="2" t="str">
        <f>HYPERLINK("https://www.facebook.com/1214035469")</f>
        <v>https://www.facebook.com/1214035469</v>
      </c>
      <c r="K1547">
        <v>351</v>
      </c>
      <c r="L1547" t="s">
        <v>6063</v>
      </c>
      <c r="N1547" t="s">
        <v>13</v>
      </c>
      <c r="O1547" t="s">
        <v>99</v>
      </c>
      <c r="P1547" s="2" t="str">
        <f>HYPERLINK("https://www.facebook.com/1214035469")</f>
        <v>https://www.facebook.com/1214035469</v>
      </c>
      <c r="Q1547">
        <v>351</v>
      </c>
      <c r="R1547" t="s">
        <v>6067</v>
      </c>
    </row>
    <row r="1548" spans="1:19" ht="14.25" customHeight="1" x14ac:dyDescent="0.3">
      <c r="A1548" t="s">
        <v>2225</v>
      </c>
      <c r="B1548" t="s">
        <v>3047</v>
      </c>
      <c r="C1548" t="s">
        <v>95</v>
      </c>
      <c r="D1548" t="s">
        <v>3048</v>
      </c>
      <c r="E1548" t="s">
        <v>3049</v>
      </c>
      <c r="F1548" t="s">
        <v>6056</v>
      </c>
      <c r="G1548" s="2" t="str">
        <f>HYPERLINK("https://www.facebook.com/1214035469/posts/10211550035645866")</f>
        <v>https://www.facebook.com/1214035469/posts/10211550035645866</v>
      </c>
      <c r="H1548" t="s">
        <v>6062</v>
      </c>
      <c r="I1548" t="s">
        <v>99</v>
      </c>
      <c r="J1548" s="2" t="str">
        <f>HYPERLINK("https://www.facebook.com/1214035469")</f>
        <v>https://www.facebook.com/1214035469</v>
      </c>
      <c r="K1548">
        <v>351</v>
      </c>
      <c r="L1548" t="s">
        <v>6063</v>
      </c>
      <c r="N1548" t="s">
        <v>13</v>
      </c>
      <c r="O1548" t="s">
        <v>99</v>
      </c>
      <c r="P1548" s="2" t="str">
        <f>HYPERLINK("https://www.facebook.com/1214035469")</f>
        <v>https://www.facebook.com/1214035469</v>
      </c>
      <c r="Q1548">
        <v>351</v>
      </c>
      <c r="R1548" t="s">
        <v>6067</v>
      </c>
    </row>
    <row r="1549" spans="1:19" ht="14.25" customHeight="1" x14ac:dyDescent="0.3">
      <c r="A1549" t="s">
        <v>2225</v>
      </c>
      <c r="B1549" t="s">
        <v>1232</v>
      </c>
      <c r="C1549" t="s">
        <v>95</v>
      </c>
      <c r="D1549" t="s">
        <v>3183</v>
      </c>
      <c r="E1549" t="s">
        <v>3184</v>
      </c>
      <c r="F1549" t="s">
        <v>6056</v>
      </c>
      <c r="G1549" s="2" t="str">
        <f>HYPERLINK("https://www.facebook.com/100021594720452/posts/227987044597785")</f>
        <v>https://www.facebook.com/100021594720452/posts/227987044597785</v>
      </c>
      <c r="H1549" t="s">
        <v>6062</v>
      </c>
      <c r="I1549" t="s">
        <v>3185</v>
      </c>
      <c r="J1549" s="2" t="str">
        <f>HYPERLINK("https://www.facebook.com/100021594720452")</f>
        <v>https://www.facebook.com/100021594720452</v>
      </c>
      <c r="K1549">
        <v>356</v>
      </c>
      <c r="L1549" t="s">
        <v>6063</v>
      </c>
      <c r="N1549" t="s">
        <v>13</v>
      </c>
      <c r="O1549" t="s">
        <v>3185</v>
      </c>
      <c r="P1549" s="2" t="str">
        <f>HYPERLINK("https://www.facebook.com/100021594720452")</f>
        <v>https://www.facebook.com/100021594720452</v>
      </c>
      <c r="Q1549">
        <v>356</v>
      </c>
      <c r="R1549" t="s">
        <v>6067</v>
      </c>
    </row>
    <row r="1550" spans="1:19" ht="14.25" customHeight="1" x14ac:dyDescent="0.3">
      <c r="A1550" t="s">
        <v>2225</v>
      </c>
      <c r="B1550" t="s">
        <v>2448</v>
      </c>
      <c r="C1550" t="s">
        <v>95</v>
      </c>
      <c r="D1550" t="s">
        <v>544</v>
      </c>
      <c r="E1550" t="s">
        <v>545</v>
      </c>
      <c r="F1550" t="s">
        <v>6058</v>
      </c>
      <c r="G1550" s="2" t="str">
        <f>HYPERLINK("https://www.facebook.com/100007116850389/posts/2032762896970919")</f>
        <v>https://www.facebook.com/100007116850389/posts/2032762896970919</v>
      </c>
      <c r="H1550" t="s">
        <v>6062</v>
      </c>
      <c r="I1550" t="s">
        <v>2452</v>
      </c>
      <c r="J1550" s="2" t="str">
        <f>HYPERLINK("https://www.facebook.com/100007116850389")</f>
        <v>https://www.facebook.com/100007116850389</v>
      </c>
      <c r="K1550">
        <v>270</v>
      </c>
      <c r="L1550" t="s">
        <v>6063</v>
      </c>
      <c r="N1550" t="s">
        <v>13</v>
      </c>
      <c r="O1550" t="s">
        <v>2452</v>
      </c>
      <c r="P1550" s="2" t="str">
        <f>HYPERLINK("https://www.facebook.com/100007116850389")</f>
        <v>https://www.facebook.com/100007116850389</v>
      </c>
      <c r="Q1550">
        <v>270</v>
      </c>
      <c r="R1550" t="s">
        <v>6067</v>
      </c>
    </row>
    <row r="1551" spans="1:19" ht="14.25" customHeight="1" x14ac:dyDescent="0.3">
      <c r="A1551" t="s">
        <v>2225</v>
      </c>
      <c r="B1551" t="s">
        <v>2803</v>
      </c>
      <c r="C1551" t="s">
        <v>95</v>
      </c>
      <c r="D1551" t="s">
        <v>853</v>
      </c>
      <c r="E1551" t="s">
        <v>2816</v>
      </c>
      <c r="F1551" t="s">
        <v>6059</v>
      </c>
      <c r="G1551" s="2" t="str">
        <f>HYPERLINK("https://www.facebook.com/100008934274771/posts/1810262525948206?comment_id=1810268182614307")</f>
        <v>https://www.facebook.com/100008934274771/posts/1810262525948206?comment_id=1810268182614307</v>
      </c>
      <c r="H1551" t="s">
        <v>6062</v>
      </c>
      <c r="I1551" t="s">
        <v>2788</v>
      </c>
      <c r="J1551" s="2" t="str">
        <f>HYPERLINK("https://www.facebook.com/100008757603136")</f>
        <v>https://www.facebook.com/100008757603136</v>
      </c>
      <c r="K1551">
        <v>55</v>
      </c>
      <c r="L1551" t="s">
        <v>6063</v>
      </c>
      <c r="N1551" t="s">
        <v>13</v>
      </c>
      <c r="O1551" t="s">
        <v>856</v>
      </c>
      <c r="P1551" s="2" t="str">
        <f>HYPERLINK("https://www.facebook.com/100008934274771")</f>
        <v>https://www.facebook.com/100008934274771</v>
      </c>
      <c r="Q1551">
        <v>10395</v>
      </c>
      <c r="R1551" t="s">
        <v>6067</v>
      </c>
      <c r="S1551" t="s">
        <v>6073</v>
      </c>
    </row>
    <row r="1552" spans="1:19" ht="14.25" customHeight="1" x14ac:dyDescent="0.3">
      <c r="A1552" t="s">
        <v>5409</v>
      </c>
      <c r="B1552" t="s">
        <v>5679</v>
      </c>
      <c r="C1552" t="s">
        <v>3538</v>
      </c>
      <c r="D1552" t="s">
        <v>5682</v>
      </c>
      <c r="E1552" t="s">
        <v>5683</v>
      </c>
      <c r="F1552" t="s">
        <v>6057</v>
      </c>
      <c r="G1552" s="2" t="str">
        <f>HYPERLINK("https://www.facebook.com/100001241773959/posts/1874263055958402")</f>
        <v>https://www.facebook.com/100001241773959/posts/1874263055958402</v>
      </c>
      <c r="H1552" t="s">
        <v>6062</v>
      </c>
      <c r="I1552" t="s">
        <v>5684</v>
      </c>
      <c r="J1552" s="2" t="str">
        <f>HYPERLINK("https://www.facebook.com/100001241773959")</f>
        <v>https://www.facebook.com/100001241773959</v>
      </c>
      <c r="K1552">
        <v>0</v>
      </c>
      <c r="L1552" t="s">
        <v>6063</v>
      </c>
      <c r="N1552" t="s">
        <v>13</v>
      </c>
      <c r="O1552" t="s">
        <v>5684</v>
      </c>
      <c r="P1552" s="2" t="str">
        <f>HYPERLINK("https://www.facebook.com/100001241773959")</f>
        <v>https://www.facebook.com/100001241773959</v>
      </c>
      <c r="Q1552">
        <v>0</v>
      </c>
      <c r="R1552" t="s">
        <v>6067</v>
      </c>
      <c r="S1552" t="s">
        <v>6073</v>
      </c>
    </row>
    <row r="1553" spans="1:19" ht="14.25" customHeight="1" x14ac:dyDescent="0.3">
      <c r="A1553" t="s">
        <v>5409</v>
      </c>
      <c r="B1553" t="s">
        <v>1690</v>
      </c>
      <c r="C1553" t="s">
        <v>3538</v>
      </c>
      <c r="D1553" t="s">
        <v>5868</v>
      </c>
      <c r="E1553" t="s">
        <v>5869</v>
      </c>
      <c r="F1553" t="s">
        <v>6056</v>
      </c>
      <c r="G1553" s="2" t="str">
        <f>HYPERLINK("https://www.facebook.com/1436708213247409/posts/2000028206915404")</f>
        <v>https://www.facebook.com/1436708213247409/posts/2000028206915404</v>
      </c>
      <c r="H1553" t="s">
        <v>6062</v>
      </c>
      <c r="I1553" t="s">
        <v>5870</v>
      </c>
      <c r="J1553" s="2" t="str">
        <f>HYPERLINK("https://www.facebook.com/1436708213247409")</f>
        <v>https://www.facebook.com/1436708213247409</v>
      </c>
      <c r="K1553">
        <v>1508</v>
      </c>
      <c r="L1553" t="s">
        <v>6065</v>
      </c>
      <c r="N1553" t="s">
        <v>13</v>
      </c>
      <c r="O1553" t="s">
        <v>5870</v>
      </c>
      <c r="P1553" s="2" t="str">
        <f>HYPERLINK("https://www.facebook.com/1436708213247409")</f>
        <v>https://www.facebook.com/1436708213247409</v>
      </c>
      <c r="Q1553">
        <v>1508</v>
      </c>
      <c r="R1553" t="s">
        <v>6067</v>
      </c>
      <c r="S1553" t="s">
        <v>6073</v>
      </c>
    </row>
    <row r="1554" spans="1:19" ht="14.25" customHeight="1" x14ac:dyDescent="0.3">
      <c r="A1554" t="s">
        <v>3527</v>
      </c>
      <c r="B1554" t="s">
        <v>3259</v>
      </c>
      <c r="C1554" t="s">
        <v>95</v>
      </c>
      <c r="D1554" t="s">
        <v>4209</v>
      </c>
      <c r="E1554" t="s">
        <v>4210</v>
      </c>
      <c r="F1554" t="s">
        <v>6059</v>
      </c>
      <c r="G1554" s="2" t="str">
        <f>HYPERLINK("https://www.facebook.com/100011264172168/posts/541098386275629?comment_id=541116556273812")</f>
        <v>https://www.facebook.com/100011264172168/posts/541098386275629?comment_id=541116556273812</v>
      </c>
      <c r="H1554" t="s">
        <v>6062</v>
      </c>
      <c r="I1554" t="s">
        <v>4211</v>
      </c>
      <c r="J1554" s="2" t="str">
        <f>HYPERLINK("https://www.facebook.com/100000375852193")</f>
        <v>https://www.facebook.com/100000375852193</v>
      </c>
      <c r="K1554">
        <v>43</v>
      </c>
      <c r="L1554" t="s">
        <v>6063</v>
      </c>
      <c r="N1554" t="s">
        <v>13</v>
      </c>
      <c r="O1554" t="s">
        <v>4212</v>
      </c>
      <c r="P1554" s="2" t="str">
        <f>HYPERLINK("https://www.facebook.com/100011264172168")</f>
        <v>https://www.facebook.com/100011264172168</v>
      </c>
      <c r="Q1554">
        <v>403</v>
      </c>
      <c r="R1554" t="s">
        <v>6067</v>
      </c>
      <c r="S1554" t="s">
        <v>6073</v>
      </c>
    </row>
    <row r="1555" spans="1:19" ht="14.25" customHeight="1" x14ac:dyDescent="0.3">
      <c r="A1555" t="s">
        <v>1</v>
      </c>
      <c r="B1555" t="s">
        <v>129</v>
      </c>
      <c r="C1555" t="s">
        <v>95</v>
      </c>
      <c r="D1555" t="s">
        <v>45</v>
      </c>
      <c r="E1555" t="s">
        <v>46</v>
      </c>
      <c r="F1555" t="s">
        <v>6058</v>
      </c>
      <c r="G1555" s="2" t="str">
        <f>HYPERLINK("https://www.facebook.com/100001302450486/posts/1679193558800710")</f>
        <v>https://www.facebook.com/100001302450486/posts/1679193558800710</v>
      </c>
      <c r="H1555" t="s">
        <v>6062</v>
      </c>
      <c r="I1555" t="s">
        <v>130</v>
      </c>
      <c r="J1555" s="2" t="str">
        <f>HYPERLINK("https://www.facebook.com/100001302450486")</f>
        <v>https://www.facebook.com/100001302450486</v>
      </c>
      <c r="K1555">
        <v>136</v>
      </c>
      <c r="L1555" t="s">
        <v>6063</v>
      </c>
      <c r="N1555" t="s">
        <v>13</v>
      </c>
      <c r="O1555" t="s">
        <v>130</v>
      </c>
      <c r="P1555" s="2" t="str">
        <f>HYPERLINK("https://www.facebook.com/100001302450486")</f>
        <v>https://www.facebook.com/100001302450486</v>
      </c>
      <c r="Q1555">
        <v>136</v>
      </c>
      <c r="R1555" t="s">
        <v>6067</v>
      </c>
      <c r="S1555" t="s">
        <v>6073</v>
      </c>
    </row>
    <row r="1556" spans="1:19" ht="14.25" customHeight="1" x14ac:dyDescent="0.3">
      <c r="A1556" t="s">
        <v>2225</v>
      </c>
      <c r="B1556" t="s">
        <v>767</v>
      </c>
      <c r="C1556" t="s">
        <v>95</v>
      </c>
      <c r="D1556" t="s">
        <v>2321</v>
      </c>
      <c r="E1556" t="s">
        <v>2876</v>
      </c>
      <c r="F1556" t="s">
        <v>6056</v>
      </c>
      <c r="G1556" s="2" t="str">
        <f>HYPERLINK("https://www.facebook.com/100000503571649/posts/2153649011328530")</f>
        <v>https://www.facebook.com/100000503571649/posts/2153649011328530</v>
      </c>
      <c r="H1556" t="s">
        <v>6062</v>
      </c>
      <c r="I1556" t="s">
        <v>2877</v>
      </c>
      <c r="J1556" s="2" t="str">
        <f>HYPERLINK("https://www.facebook.com/100000503571649")</f>
        <v>https://www.facebook.com/100000503571649</v>
      </c>
      <c r="K1556">
        <v>975</v>
      </c>
      <c r="L1556" t="s">
        <v>6064</v>
      </c>
      <c r="N1556" t="s">
        <v>13</v>
      </c>
      <c r="O1556" t="s">
        <v>2877</v>
      </c>
      <c r="P1556" s="2" t="str">
        <f>HYPERLINK("https://www.facebook.com/100000503571649")</f>
        <v>https://www.facebook.com/100000503571649</v>
      </c>
      <c r="Q1556">
        <v>975</v>
      </c>
      <c r="R1556" t="s">
        <v>6067</v>
      </c>
      <c r="S1556" t="s">
        <v>6073</v>
      </c>
    </row>
    <row r="1557" spans="1:19" ht="14.25" customHeight="1" x14ac:dyDescent="0.3">
      <c r="A1557" t="s">
        <v>2225</v>
      </c>
      <c r="B1557" t="s">
        <v>767</v>
      </c>
      <c r="C1557" t="s">
        <v>95</v>
      </c>
      <c r="D1557" t="s">
        <v>2321</v>
      </c>
      <c r="E1557" t="s">
        <v>2876</v>
      </c>
      <c r="F1557" t="s">
        <v>6056</v>
      </c>
      <c r="G1557" s="2" t="str">
        <f>HYPERLINK("https://www.facebook.com/100000503571649/posts/2153648827995215")</f>
        <v>https://www.facebook.com/100000503571649/posts/2153648827995215</v>
      </c>
      <c r="H1557" t="s">
        <v>6062</v>
      </c>
      <c r="I1557" t="s">
        <v>2877</v>
      </c>
      <c r="J1557" s="2" t="str">
        <f>HYPERLINK("https://www.facebook.com/100000503571649")</f>
        <v>https://www.facebook.com/100000503571649</v>
      </c>
      <c r="K1557">
        <v>975</v>
      </c>
      <c r="L1557" t="s">
        <v>6064</v>
      </c>
      <c r="N1557" t="s">
        <v>13</v>
      </c>
      <c r="O1557" t="s">
        <v>2877</v>
      </c>
      <c r="P1557" s="2" t="str">
        <f>HYPERLINK("https://www.facebook.com/100000503571649")</f>
        <v>https://www.facebook.com/100000503571649</v>
      </c>
      <c r="Q1557">
        <v>975</v>
      </c>
      <c r="R1557" t="s">
        <v>6067</v>
      </c>
      <c r="S1557" t="s">
        <v>6073</v>
      </c>
    </row>
    <row r="1558" spans="1:19" ht="14.25" customHeight="1" x14ac:dyDescent="0.3">
      <c r="A1558" t="s">
        <v>2225</v>
      </c>
      <c r="B1558" t="s">
        <v>2292</v>
      </c>
      <c r="C1558" t="s">
        <v>95</v>
      </c>
      <c r="D1558" t="s">
        <v>2293</v>
      </c>
      <c r="E1558" t="s">
        <v>2294</v>
      </c>
      <c r="F1558" t="s">
        <v>6059</v>
      </c>
      <c r="G1558" s="2" t="str">
        <f>HYPERLINK("https://www.facebook.com/762053551/posts/10156249297958552?comment_id=10156364709073552")</f>
        <v>https://www.facebook.com/762053551/posts/10156249297958552?comment_id=10156364709073552</v>
      </c>
      <c r="H1558" t="s">
        <v>6062</v>
      </c>
      <c r="I1558" t="s">
        <v>2295</v>
      </c>
      <c r="J1558" s="2" t="str">
        <f>HYPERLINK("https://www.facebook.com/100020721841267")</f>
        <v>https://www.facebook.com/100020721841267</v>
      </c>
      <c r="K1558">
        <v>0</v>
      </c>
      <c r="L1558" t="s">
        <v>6064</v>
      </c>
      <c r="N1558" t="s">
        <v>13</v>
      </c>
      <c r="O1558" t="s">
        <v>14</v>
      </c>
      <c r="P1558" s="2" t="str">
        <f>HYPERLINK("https://www.facebook.com/762053551")</f>
        <v>https://www.facebook.com/762053551</v>
      </c>
      <c r="Q1558">
        <v>102347</v>
      </c>
      <c r="R1558" t="s">
        <v>6067</v>
      </c>
      <c r="S1558" t="s">
        <v>6073</v>
      </c>
    </row>
    <row r="1559" spans="1:19" ht="14.25" customHeight="1" x14ac:dyDescent="0.3">
      <c r="A1559" t="s">
        <v>4439</v>
      </c>
      <c r="B1559" t="s">
        <v>3343</v>
      </c>
      <c r="C1559" t="s">
        <v>3538</v>
      </c>
      <c r="D1559" t="s">
        <v>508</v>
      </c>
      <c r="E1559" t="s">
        <v>509</v>
      </c>
      <c r="F1559" t="s">
        <v>6058</v>
      </c>
      <c r="G1559" s="2" t="str">
        <f>HYPERLINK("https://www.facebook.com/100001261056693/posts/1829810933737591")</f>
        <v>https://www.facebook.com/100001261056693/posts/1829810933737591</v>
      </c>
      <c r="H1559" t="s">
        <v>6062</v>
      </c>
      <c r="I1559" t="s">
        <v>4752</v>
      </c>
      <c r="J1559" s="2" t="str">
        <f>HYPERLINK("https://www.facebook.com/100001261056693")</f>
        <v>https://www.facebook.com/100001261056693</v>
      </c>
      <c r="K1559">
        <v>0</v>
      </c>
      <c r="L1559" t="s">
        <v>6064</v>
      </c>
      <c r="N1559" t="s">
        <v>13</v>
      </c>
      <c r="O1559" t="s">
        <v>4752</v>
      </c>
      <c r="P1559" s="2" t="str">
        <f>HYPERLINK("https://www.facebook.com/100001261056693")</f>
        <v>https://www.facebook.com/100001261056693</v>
      </c>
      <c r="Q1559">
        <v>0</v>
      </c>
      <c r="R1559" t="s">
        <v>6067</v>
      </c>
      <c r="S1559" t="s">
        <v>6073</v>
      </c>
    </row>
    <row r="1560" spans="1:19" ht="14.25" customHeight="1" x14ac:dyDescent="0.3">
      <c r="A1560" t="s">
        <v>5409</v>
      </c>
      <c r="B1560" t="s">
        <v>3779</v>
      </c>
      <c r="C1560" t="s">
        <v>3538</v>
      </c>
      <c r="D1560" t="s">
        <v>4468</v>
      </c>
      <c r="E1560" t="s">
        <v>5520</v>
      </c>
      <c r="F1560" t="s">
        <v>6059</v>
      </c>
      <c r="G1560" s="2" t="str">
        <f>HYPERLINK("https://www.facebook.com/1529329267308888/posts/2058827921025684?comment_id=2058832691025207")</f>
        <v>https://www.facebook.com/1529329267308888/posts/2058827921025684?comment_id=2058832691025207</v>
      </c>
      <c r="H1560" t="s">
        <v>6062</v>
      </c>
      <c r="I1560" t="s">
        <v>5521</v>
      </c>
      <c r="J1560" s="2" t="str">
        <f>HYPERLINK("https://www.facebook.com/100001186747895")</f>
        <v>https://www.facebook.com/100001186747895</v>
      </c>
      <c r="K1560">
        <v>0</v>
      </c>
      <c r="L1560" t="s">
        <v>6064</v>
      </c>
      <c r="N1560" t="s">
        <v>13</v>
      </c>
      <c r="O1560" t="s">
        <v>4471</v>
      </c>
      <c r="P1560" s="2" t="str">
        <f>HYPERLINK("https://www.facebook.com/1529329267308888")</f>
        <v>https://www.facebook.com/1529329267308888</v>
      </c>
      <c r="R1560" t="s">
        <v>6067</v>
      </c>
      <c r="S1560" t="s">
        <v>6073</v>
      </c>
    </row>
    <row r="1561" spans="1:19" ht="14.25" customHeight="1" x14ac:dyDescent="0.3">
      <c r="A1561" t="s">
        <v>5409</v>
      </c>
      <c r="B1561" t="s">
        <v>4528</v>
      </c>
      <c r="C1561" t="s">
        <v>3538</v>
      </c>
      <c r="D1561" t="s">
        <v>4468</v>
      </c>
      <c r="E1561" t="s">
        <v>5529</v>
      </c>
      <c r="F1561" t="s">
        <v>6059</v>
      </c>
      <c r="G1561" s="2" t="str">
        <f>HYPERLINK("https://www.facebook.com/1529329267308888/posts/2058827921025684?comment_id=2058829887692154")</f>
        <v>https://www.facebook.com/1529329267308888/posts/2058827921025684?comment_id=2058829887692154</v>
      </c>
      <c r="H1561" t="s">
        <v>6062</v>
      </c>
      <c r="I1561" t="s">
        <v>5521</v>
      </c>
      <c r="J1561" s="2" t="str">
        <f>HYPERLINK("https://www.facebook.com/100001186747895")</f>
        <v>https://www.facebook.com/100001186747895</v>
      </c>
      <c r="K1561">
        <v>0</v>
      </c>
      <c r="L1561" t="s">
        <v>6064</v>
      </c>
      <c r="N1561" t="s">
        <v>13</v>
      </c>
      <c r="O1561" t="s">
        <v>4471</v>
      </c>
      <c r="P1561" s="2" t="str">
        <f>HYPERLINK("https://www.facebook.com/1529329267308888")</f>
        <v>https://www.facebook.com/1529329267308888</v>
      </c>
      <c r="R1561" t="s">
        <v>6067</v>
      </c>
      <c r="S1561" t="s">
        <v>6073</v>
      </c>
    </row>
    <row r="1562" spans="1:19" ht="14.25" customHeight="1" x14ac:dyDescent="0.3">
      <c r="A1562" t="s">
        <v>2225</v>
      </c>
      <c r="B1562" t="s">
        <v>1003</v>
      </c>
      <c r="C1562" t="s">
        <v>95</v>
      </c>
      <c r="D1562" t="s">
        <v>522</v>
      </c>
      <c r="E1562" t="s">
        <v>523</v>
      </c>
      <c r="F1562" t="s">
        <v>6058</v>
      </c>
      <c r="G1562" s="2" t="str">
        <f>HYPERLINK("https://www.facebook.com/1482732939/posts/10211694635389726")</f>
        <v>https://www.facebook.com/1482732939/posts/10211694635389726</v>
      </c>
      <c r="H1562" t="s">
        <v>6062</v>
      </c>
      <c r="I1562" t="s">
        <v>3089</v>
      </c>
      <c r="J1562" s="2" t="str">
        <f>HYPERLINK("https://www.facebook.com/1482732939")</f>
        <v>https://www.facebook.com/1482732939</v>
      </c>
      <c r="K1562">
        <v>602</v>
      </c>
      <c r="L1562" t="s">
        <v>6064</v>
      </c>
      <c r="N1562" t="s">
        <v>13</v>
      </c>
      <c r="O1562" t="s">
        <v>3089</v>
      </c>
      <c r="P1562" s="2" t="str">
        <f>HYPERLINK("https://www.facebook.com/1482732939")</f>
        <v>https://www.facebook.com/1482732939</v>
      </c>
      <c r="Q1562">
        <v>602</v>
      </c>
      <c r="R1562" t="s">
        <v>6067</v>
      </c>
      <c r="S1562" t="s">
        <v>6073</v>
      </c>
    </row>
    <row r="1563" spans="1:19" ht="14.25" customHeight="1" x14ac:dyDescent="0.3">
      <c r="A1563" t="s">
        <v>5409</v>
      </c>
      <c r="B1563" t="s">
        <v>2981</v>
      </c>
      <c r="C1563" t="s">
        <v>3538</v>
      </c>
      <c r="D1563" t="s">
        <v>5311</v>
      </c>
      <c r="E1563" t="s">
        <v>5551</v>
      </c>
      <c r="F1563" t="s">
        <v>6059</v>
      </c>
      <c r="G1563" s="2" t="str">
        <f>HYPERLINK("https://www.facebook.com/1529329267308888/posts/2058800057695137?comment_id=2058814654360344")</f>
        <v>https://www.facebook.com/1529329267308888/posts/2058800057695137?comment_id=2058814654360344</v>
      </c>
      <c r="H1563" t="s">
        <v>6062</v>
      </c>
      <c r="I1563" t="s">
        <v>5552</v>
      </c>
      <c r="J1563" s="2" t="str">
        <f>HYPERLINK("https://www.facebook.com/100003404409347")</f>
        <v>https://www.facebook.com/100003404409347</v>
      </c>
      <c r="K1563">
        <v>90</v>
      </c>
      <c r="L1563" t="s">
        <v>6064</v>
      </c>
      <c r="N1563" t="s">
        <v>13</v>
      </c>
      <c r="O1563" t="s">
        <v>4471</v>
      </c>
      <c r="P1563" s="2" t="str">
        <f>HYPERLINK("https://www.facebook.com/1529329267308888")</f>
        <v>https://www.facebook.com/1529329267308888</v>
      </c>
      <c r="R1563" t="s">
        <v>6067</v>
      </c>
    </row>
    <row r="1564" spans="1:19" ht="14.25" customHeight="1" x14ac:dyDescent="0.3">
      <c r="A1564" t="s">
        <v>3527</v>
      </c>
      <c r="B1564" t="s">
        <v>2292</v>
      </c>
      <c r="C1564" t="s">
        <v>95</v>
      </c>
      <c r="D1564" t="s">
        <v>4</v>
      </c>
      <c r="E1564" t="s">
        <v>3587</v>
      </c>
      <c r="F1564" t="s">
        <v>6059</v>
      </c>
      <c r="G1564" s="2" t="str">
        <f>HYPERLINK("https://www.facebook.com/193048410867234/posts/896781447160590?comment_id=897006677138067")</f>
        <v>https://www.facebook.com/193048410867234/posts/896781447160590?comment_id=897006677138067</v>
      </c>
      <c r="H1564" t="s">
        <v>6062</v>
      </c>
      <c r="I1564" t="s">
        <v>3588</v>
      </c>
      <c r="J1564" s="2" t="str">
        <f>HYPERLINK("https://www.facebook.com/193048410867234")</f>
        <v>https://www.facebook.com/193048410867234</v>
      </c>
      <c r="K1564">
        <v>2007</v>
      </c>
      <c r="L1564" t="s">
        <v>6065</v>
      </c>
      <c r="N1564" t="s">
        <v>13</v>
      </c>
      <c r="O1564" t="s">
        <v>3588</v>
      </c>
      <c r="P1564" s="2" t="str">
        <f>HYPERLINK("https://www.facebook.com/193048410867234")</f>
        <v>https://www.facebook.com/193048410867234</v>
      </c>
      <c r="Q1564">
        <v>2007</v>
      </c>
      <c r="R1564" t="s">
        <v>6067</v>
      </c>
      <c r="S1564" t="s">
        <v>6073</v>
      </c>
    </row>
    <row r="1565" spans="1:19" ht="14.25" customHeight="1" x14ac:dyDescent="0.3">
      <c r="A1565" t="s">
        <v>1</v>
      </c>
      <c r="B1565" t="s">
        <v>302</v>
      </c>
      <c r="C1565" t="s">
        <v>95</v>
      </c>
      <c r="D1565" t="s">
        <v>104</v>
      </c>
      <c r="E1565" t="s">
        <v>303</v>
      </c>
      <c r="F1565" t="s">
        <v>6056</v>
      </c>
      <c r="G1565" s="2" t="str">
        <f>HYPERLINK("https://www.facebook.com/100000369100378/posts/1795499073805712")</f>
        <v>https://www.facebook.com/100000369100378/posts/1795499073805712</v>
      </c>
      <c r="H1565" t="s">
        <v>6062</v>
      </c>
      <c r="I1565" t="s">
        <v>304</v>
      </c>
      <c r="J1565" s="2" t="str">
        <f>HYPERLINK("https://www.facebook.com/100000369100378")</f>
        <v>https://www.facebook.com/100000369100378</v>
      </c>
      <c r="K1565">
        <v>1766</v>
      </c>
      <c r="L1565" t="s">
        <v>6064</v>
      </c>
      <c r="N1565" t="s">
        <v>13</v>
      </c>
      <c r="O1565" t="s">
        <v>304</v>
      </c>
      <c r="P1565" s="2" t="str">
        <f>HYPERLINK("https://www.facebook.com/100000369100378")</f>
        <v>https://www.facebook.com/100000369100378</v>
      </c>
      <c r="Q1565">
        <v>1766</v>
      </c>
      <c r="R1565" t="s">
        <v>6067</v>
      </c>
      <c r="S1565" t="s">
        <v>6073</v>
      </c>
    </row>
    <row r="1566" spans="1:19" ht="14.25" customHeight="1" x14ac:dyDescent="0.3">
      <c r="A1566" t="s">
        <v>2225</v>
      </c>
      <c r="B1566" t="s">
        <v>2381</v>
      </c>
      <c r="C1566" t="s">
        <v>95</v>
      </c>
      <c r="D1566" t="s">
        <v>2386</v>
      </c>
      <c r="E1566" t="s">
        <v>2387</v>
      </c>
      <c r="F1566" t="s">
        <v>6057</v>
      </c>
      <c r="G1566" s="2" t="str">
        <f>HYPERLINK("https://www.facebook.com/1500137428/posts/10211628687701655")</f>
        <v>https://www.facebook.com/1500137428/posts/10211628687701655</v>
      </c>
      <c r="H1566" t="s">
        <v>6062</v>
      </c>
      <c r="I1566" t="s">
        <v>2388</v>
      </c>
      <c r="J1566" s="2" t="str">
        <f>HYPERLINK("https://www.facebook.com/1500137428")</f>
        <v>https://www.facebook.com/1500137428</v>
      </c>
      <c r="K1566">
        <v>1238</v>
      </c>
      <c r="L1566" t="s">
        <v>6064</v>
      </c>
      <c r="M1566">
        <v>51</v>
      </c>
      <c r="N1566" t="s">
        <v>13</v>
      </c>
      <c r="O1566" t="s">
        <v>2388</v>
      </c>
      <c r="P1566" s="2" t="str">
        <f>HYPERLINK("https://www.facebook.com/1500137428")</f>
        <v>https://www.facebook.com/1500137428</v>
      </c>
      <c r="Q1566">
        <v>1238</v>
      </c>
      <c r="R1566" t="s">
        <v>6067</v>
      </c>
      <c r="S1566" t="s">
        <v>6073</v>
      </c>
    </row>
    <row r="1567" spans="1:19" ht="14.25" customHeight="1" x14ac:dyDescent="0.3">
      <c r="A1567" t="s">
        <v>629</v>
      </c>
      <c r="B1567" t="s">
        <v>1468</v>
      </c>
      <c r="C1567" t="s">
        <v>95</v>
      </c>
      <c r="D1567" t="s">
        <v>667</v>
      </c>
      <c r="E1567" t="s">
        <v>668</v>
      </c>
      <c r="F1567" t="s">
        <v>6058</v>
      </c>
      <c r="G1567" s="2" t="str">
        <f>HYPERLINK("https://www.facebook.com/100007927447700/posts/2054333971507498")</f>
        <v>https://www.facebook.com/100007927447700/posts/2054333971507498</v>
      </c>
      <c r="H1567" t="s">
        <v>6062</v>
      </c>
      <c r="I1567" t="s">
        <v>1469</v>
      </c>
      <c r="J1567" s="2" t="str">
        <f>HYPERLINK("https://www.facebook.com/100007927447700")</f>
        <v>https://www.facebook.com/100007927447700</v>
      </c>
      <c r="K1567">
        <v>621</v>
      </c>
      <c r="L1567" t="s">
        <v>6064</v>
      </c>
      <c r="N1567" t="s">
        <v>13</v>
      </c>
      <c r="O1567" t="s">
        <v>1469</v>
      </c>
      <c r="P1567" s="2" t="str">
        <f>HYPERLINK("https://www.facebook.com/100007927447700")</f>
        <v>https://www.facebook.com/100007927447700</v>
      </c>
      <c r="Q1567">
        <v>621</v>
      </c>
      <c r="R1567" t="s">
        <v>6067</v>
      </c>
    </row>
    <row r="1568" spans="1:19" ht="14.25" customHeight="1" x14ac:dyDescent="0.3">
      <c r="A1568" t="s">
        <v>4995</v>
      </c>
      <c r="B1568" t="s">
        <v>2620</v>
      </c>
      <c r="C1568" t="s">
        <v>3538</v>
      </c>
      <c r="D1568" t="s">
        <v>508</v>
      </c>
      <c r="E1568" t="s">
        <v>509</v>
      </c>
      <c r="F1568" t="s">
        <v>6058</v>
      </c>
      <c r="G1568" s="2" t="str">
        <f>HYPERLINK("https://www.facebook.com/100005630054533/posts/850292818501712")</f>
        <v>https://www.facebook.com/100005630054533/posts/850292818501712</v>
      </c>
      <c r="H1568" t="s">
        <v>6062</v>
      </c>
      <c r="I1568" t="s">
        <v>5043</v>
      </c>
      <c r="J1568" s="2" t="str">
        <f>HYPERLINK("https://www.facebook.com/100005630054533")</f>
        <v>https://www.facebook.com/100005630054533</v>
      </c>
      <c r="K1568">
        <v>115</v>
      </c>
      <c r="L1568" t="s">
        <v>6064</v>
      </c>
      <c r="N1568" t="s">
        <v>13</v>
      </c>
      <c r="O1568" t="s">
        <v>5043</v>
      </c>
      <c r="P1568" s="2" t="str">
        <f>HYPERLINK("https://www.facebook.com/100005630054533")</f>
        <v>https://www.facebook.com/100005630054533</v>
      </c>
      <c r="Q1568">
        <v>115</v>
      </c>
      <c r="R1568" t="s">
        <v>6067</v>
      </c>
    </row>
    <row r="1569" spans="1:19" ht="14.25" customHeight="1" x14ac:dyDescent="0.3">
      <c r="A1569" t="s">
        <v>629</v>
      </c>
      <c r="B1569" t="s">
        <v>1377</v>
      </c>
      <c r="C1569" t="s">
        <v>95</v>
      </c>
      <c r="D1569" t="s">
        <v>667</v>
      </c>
      <c r="E1569" t="s">
        <v>668</v>
      </c>
      <c r="F1569" t="s">
        <v>6058</v>
      </c>
      <c r="G1569" s="2" t="str">
        <f>HYPERLINK("https://www.facebook.com/100000446925007/posts/1883466445011568")</f>
        <v>https://www.facebook.com/100000446925007/posts/1883466445011568</v>
      </c>
      <c r="H1569" t="s">
        <v>6062</v>
      </c>
      <c r="I1569" t="s">
        <v>1379</v>
      </c>
      <c r="J1569" s="2" t="str">
        <f>HYPERLINK("https://www.facebook.com/100000446925007")</f>
        <v>https://www.facebook.com/100000446925007</v>
      </c>
      <c r="K1569">
        <v>57</v>
      </c>
      <c r="L1569" t="s">
        <v>6064</v>
      </c>
      <c r="N1569" t="s">
        <v>13</v>
      </c>
      <c r="O1569" t="s">
        <v>1379</v>
      </c>
      <c r="P1569" s="2" t="str">
        <f>HYPERLINK("https://www.facebook.com/100000446925007")</f>
        <v>https://www.facebook.com/100000446925007</v>
      </c>
      <c r="Q1569">
        <v>57</v>
      </c>
      <c r="R1569" t="s">
        <v>6067</v>
      </c>
      <c r="S1569" t="s">
        <v>6083</v>
      </c>
    </row>
    <row r="1570" spans="1:19" ht="14.25" customHeight="1" x14ac:dyDescent="0.3">
      <c r="A1570" t="s">
        <v>629</v>
      </c>
      <c r="B1570" t="s">
        <v>288</v>
      </c>
      <c r="C1570" t="s">
        <v>95</v>
      </c>
      <c r="D1570" t="s">
        <v>1056</v>
      </c>
      <c r="E1570" t="s">
        <v>1057</v>
      </c>
      <c r="F1570" t="s">
        <v>6058</v>
      </c>
      <c r="G1570" s="2" t="str">
        <f>HYPERLINK("https://www.facebook.com/100004582744071/posts/1031107523718663")</f>
        <v>https://www.facebook.com/100004582744071/posts/1031107523718663</v>
      </c>
      <c r="H1570" t="s">
        <v>6062</v>
      </c>
      <c r="I1570" t="s">
        <v>1516</v>
      </c>
      <c r="J1570" s="2" t="str">
        <f>HYPERLINK("https://www.facebook.com/100004582744071")</f>
        <v>https://www.facebook.com/100004582744071</v>
      </c>
      <c r="K1570">
        <v>131</v>
      </c>
      <c r="L1570" t="s">
        <v>6064</v>
      </c>
      <c r="N1570" t="s">
        <v>13</v>
      </c>
      <c r="O1570" t="s">
        <v>1516</v>
      </c>
      <c r="P1570" s="2" t="str">
        <f>HYPERLINK("https://www.facebook.com/100004582744071")</f>
        <v>https://www.facebook.com/100004582744071</v>
      </c>
      <c r="Q1570">
        <v>131</v>
      </c>
      <c r="R1570" t="s">
        <v>6067</v>
      </c>
      <c r="S1570" t="s">
        <v>6073</v>
      </c>
    </row>
    <row r="1571" spans="1:19" ht="14.25" customHeight="1" x14ac:dyDescent="0.3">
      <c r="A1571" t="s">
        <v>2225</v>
      </c>
      <c r="B1571" t="s">
        <v>2406</v>
      </c>
      <c r="C1571" t="s">
        <v>95</v>
      </c>
      <c r="D1571" t="s">
        <v>544</v>
      </c>
      <c r="E1571" t="s">
        <v>545</v>
      </c>
      <c r="F1571" t="s">
        <v>6058</v>
      </c>
      <c r="G1571" s="2" t="str">
        <f>HYPERLINK("https://www.facebook.com/100024252321607/posts/163323124486097")</f>
        <v>https://www.facebook.com/100024252321607/posts/163323124486097</v>
      </c>
      <c r="H1571" t="s">
        <v>6062</v>
      </c>
      <c r="I1571" t="s">
        <v>1677</v>
      </c>
      <c r="J1571" s="2" t="str">
        <f>HYPERLINK("https://www.facebook.com/100024252321607")</f>
        <v>https://www.facebook.com/100024252321607</v>
      </c>
      <c r="K1571">
        <v>68</v>
      </c>
      <c r="L1571" t="s">
        <v>6064</v>
      </c>
      <c r="N1571" t="s">
        <v>13</v>
      </c>
      <c r="O1571" t="s">
        <v>1677</v>
      </c>
      <c r="P1571" s="2" t="str">
        <f>HYPERLINK("https://www.facebook.com/100024252321607")</f>
        <v>https://www.facebook.com/100024252321607</v>
      </c>
      <c r="Q1571">
        <v>68</v>
      </c>
      <c r="R1571" t="s">
        <v>6067</v>
      </c>
      <c r="S1571" t="s">
        <v>6073</v>
      </c>
    </row>
    <row r="1572" spans="1:19" ht="14.25" customHeight="1" x14ac:dyDescent="0.3">
      <c r="A1572" t="s">
        <v>2225</v>
      </c>
      <c r="B1572" t="s">
        <v>2494</v>
      </c>
      <c r="C1572" t="s">
        <v>95</v>
      </c>
      <c r="D1572" t="s">
        <v>544</v>
      </c>
      <c r="E1572" t="s">
        <v>545</v>
      </c>
      <c r="F1572" t="s">
        <v>6058</v>
      </c>
      <c r="G1572" s="2" t="str">
        <f>HYPERLINK("https://www.facebook.com/100024252321607/posts/163319317819811")</f>
        <v>https://www.facebook.com/100024252321607/posts/163319317819811</v>
      </c>
      <c r="H1572" t="s">
        <v>6062</v>
      </c>
      <c r="I1572" t="s">
        <v>1677</v>
      </c>
      <c r="J1572" s="2" t="str">
        <f>HYPERLINK("https://www.facebook.com/100024252321607")</f>
        <v>https://www.facebook.com/100024252321607</v>
      </c>
      <c r="K1572">
        <v>68</v>
      </c>
      <c r="L1572" t="s">
        <v>6064</v>
      </c>
      <c r="N1572" t="s">
        <v>13</v>
      </c>
      <c r="O1572" t="s">
        <v>1677</v>
      </c>
      <c r="P1572" s="2" t="str">
        <f>HYPERLINK("https://www.facebook.com/100024252321607")</f>
        <v>https://www.facebook.com/100024252321607</v>
      </c>
      <c r="Q1572">
        <v>68</v>
      </c>
      <c r="R1572" t="s">
        <v>6067</v>
      </c>
      <c r="S1572" t="s">
        <v>6073</v>
      </c>
    </row>
    <row r="1573" spans="1:19" ht="14.25" customHeight="1" x14ac:dyDescent="0.3">
      <c r="A1573" t="s">
        <v>629</v>
      </c>
      <c r="B1573" t="s">
        <v>1676</v>
      </c>
      <c r="C1573" t="s">
        <v>95</v>
      </c>
      <c r="D1573" t="s">
        <v>370</v>
      </c>
      <c r="E1573" t="s">
        <v>371</v>
      </c>
      <c r="F1573" t="s">
        <v>6058</v>
      </c>
      <c r="G1573" s="2" t="str">
        <f>HYPERLINK("https://www.facebook.com/100024252321607/posts/163541707797572")</f>
        <v>https://www.facebook.com/100024252321607/posts/163541707797572</v>
      </c>
      <c r="H1573" t="s">
        <v>6062</v>
      </c>
      <c r="I1573" t="s">
        <v>1677</v>
      </c>
      <c r="J1573" s="2" t="str">
        <f>HYPERLINK("https://www.facebook.com/100024252321607")</f>
        <v>https://www.facebook.com/100024252321607</v>
      </c>
      <c r="K1573">
        <v>68</v>
      </c>
      <c r="L1573" t="s">
        <v>6064</v>
      </c>
      <c r="N1573" t="s">
        <v>13</v>
      </c>
      <c r="O1573" t="s">
        <v>1677</v>
      </c>
      <c r="P1573" s="2" t="str">
        <f>HYPERLINK("https://www.facebook.com/100024252321607")</f>
        <v>https://www.facebook.com/100024252321607</v>
      </c>
      <c r="Q1573">
        <v>68</v>
      </c>
      <c r="R1573" t="s">
        <v>6067</v>
      </c>
      <c r="S1573" t="s">
        <v>6073</v>
      </c>
    </row>
    <row r="1574" spans="1:19" ht="14.25" customHeight="1" x14ac:dyDescent="0.3">
      <c r="A1574" t="s">
        <v>629</v>
      </c>
      <c r="B1574" t="s">
        <v>1678</v>
      </c>
      <c r="C1574" t="s">
        <v>95</v>
      </c>
      <c r="D1574" t="s">
        <v>370</v>
      </c>
      <c r="E1574" t="s">
        <v>371</v>
      </c>
      <c r="F1574" t="s">
        <v>6058</v>
      </c>
      <c r="G1574" s="2" t="str">
        <f>HYPERLINK("https://www.facebook.com/100024252321607/posts/163541397797603")</f>
        <v>https://www.facebook.com/100024252321607/posts/163541397797603</v>
      </c>
      <c r="H1574" t="s">
        <v>6062</v>
      </c>
      <c r="I1574" t="s">
        <v>1677</v>
      </c>
      <c r="J1574" s="2" t="str">
        <f>HYPERLINK("https://www.facebook.com/100024252321607")</f>
        <v>https://www.facebook.com/100024252321607</v>
      </c>
      <c r="K1574">
        <v>68</v>
      </c>
      <c r="L1574" t="s">
        <v>6064</v>
      </c>
      <c r="N1574" t="s">
        <v>13</v>
      </c>
      <c r="O1574" t="s">
        <v>1677</v>
      </c>
      <c r="P1574" s="2" t="str">
        <f>HYPERLINK("https://www.facebook.com/100024252321607")</f>
        <v>https://www.facebook.com/100024252321607</v>
      </c>
      <c r="Q1574">
        <v>68</v>
      </c>
      <c r="R1574" t="s">
        <v>6067</v>
      </c>
      <c r="S1574" t="s">
        <v>6073</v>
      </c>
    </row>
    <row r="1575" spans="1:19" ht="14.25" customHeight="1" x14ac:dyDescent="0.3">
      <c r="A1575" t="s">
        <v>5409</v>
      </c>
      <c r="B1575" t="s">
        <v>812</v>
      </c>
      <c r="C1575" t="s">
        <v>3538</v>
      </c>
      <c r="D1575" t="s">
        <v>4318</v>
      </c>
      <c r="E1575" t="s">
        <v>5429</v>
      </c>
      <c r="F1575" t="s">
        <v>6058</v>
      </c>
      <c r="G1575" s="2" t="str">
        <f>HYPERLINK("https://www.facebook.com/100006502652085/posts/2302921143267952")</f>
        <v>https://www.facebook.com/100006502652085/posts/2302921143267952</v>
      </c>
      <c r="H1575" t="s">
        <v>6062</v>
      </c>
      <c r="I1575" t="s">
        <v>3657</v>
      </c>
      <c r="J1575" s="2" t="str">
        <f>HYPERLINK("https://www.facebook.com/100006502652085")</f>
        <v>https://www.facebook.com/100006502652085</v>
      </c>
      <c r="K1575">
        <v>296</v>
      </c>
      <c r="L1575" t="s">
        <v>6064</v>
      </c>
      <c r="N1575" t="s">
        <v>13</v>
      </c>
      <c r="O1575" t="s">
        <v>3657</v>
      </c>
      <c r="P1575" s="2" t="str">
        <f>HYPERLINK("https://www.facebook.com/100006502652085")</f>
        <v>https://www.facebook.com/100006502652085</v>
      </c>
      <c r="Q1575">
        <v>296</v>
      </c>
      <c r="R1575" t="s">
        <v>6067</v>
      </c>
      <c r="S1575" t="s">
        <v>6073</v>
      </c>
    </row>
    <row r="1576" spans="1:19" ht="14.25" customHeight="1" x14ac:dyDescent="0.3">
      <c r="A1576" t="s">
        <v>3527</v>
      </c>
      <c r="B1576" t="s">
        <v>2392</v>
      </c>
      <c r="C1576" t="s">
        <v>95</v>
      </c>
      <c r="D1576" t="s">
        <v>522</v>
      </c>
      <c r="E1576" t="s">
        <v>523</v>
      </c>
      <c r="F1576" t="s">
        <v>6058</v>
      </c>
      <c r="G1576" s="2" t="str">
        <f>HYPERLINK("https://www.facebook.com/100006502652085/posts/2304933713066695")</f>
        <v>https://www.facebook.com/100006502652085/posts/2304933713066695</v>
      </c>
      <c r="H1576" t="s">
        <v>6062</v>
      </c>
      <c r="I1576" t="s">
        <v>3657</v>
      </c>
      <c r="J1576" s="2" t="str">
        <f>HYPERLINK("https://www.facebook.com/100006502652085")</f>
        <v>https://www.facebook.com/100006502652085</v>
      </c>
      <c r="K1576">
        <v>296</v>
      </c>
      <c r="L1576" t="s">
        <v>6064</v>
      </c>
      <c r="N1576" t="s">
        <v>13</v>
      </c>
      <c r="O1576" t="s">
        <v>3657</v>
      </c>
      <c r="P1576" s="2" t="str">
        <f>HYPERLINK("https://www.facebook.com/100006502652085")</f>
        <v>https://www.facebook.com/100006502652085</v>
      </c>
      <c r="Q1576">
        <v>296</v>
      </c>
      <c r="R1576" t="s">
        <v>6067</v>
      </c>
      <c r="S1576" t="s">
        <v>6073</v>
      </c>
    </row>
    <row r="1577" spans="1:19" ht="14.25" customHeight="1" x14ac:dyDescent="0.3">
      <c r="A1577" t="s">
        <v>629</v>
      </c>
      <c r="B1577" t="s">
        <v>1151</v>
      </c>
      <c r="C1577" t="s">
        <v>95</v>
      </c>
      <c r="D1577" t="s">
        <v>544</v>
      </c>
      <c r="E1577" t="s">
        <v>545</v>
      </c>
      <c r="F1577" t="s">
        <v>6058</v>
      </c>
      <c r="G1577" s="2" t="str">
        <f>HYPERLINK("https://www.facebook.com/100001287404593/posts/1834979986554897")</f>
        <v>https://www.facebook.com/100001287404593/posts/1834979986554897</v>
      </c>
      <c r="H1577" t="s">
        <v>6062</v>
      </c>
      <c r="I1577" t="s">
        <v>1145</v>
      </c>
      <c r="J1577" s="2" t="str">
        <f>HYPERLINK("https://www.facebook.com/100001287404593")</f>
        <v>https://www.facebook.com/100001287404593</v>
      </c>
      <c r="K1577">
        <v>0</v>
      </c>
      <c r="L1577" t="s">
        <v>6064</v>
      </c>
      <c r="N1577" t="s">
        <v>13</v>
      </c>
      <c r="O1577" t="s">
        <v>1145</v>
      </c>
      <c r="P1577" s="2" t="str">
        <f>HYPERLINK("https://www.facebook.com/100001287404593")</f>
        <v>https://www.facebook.com/100001287404593</v>
      </c>
      <c r="Q1577">
        <v>0</v>
      </c>
      <c r="R1577" t="s">
        <v>6067</v>
      </c>
      <c r="S1577" t="s">
        <v>6073</v>
      </c>
    </row>
    <row r="1578" spans="1:19" ht="14.25" customHeight="1" x14ac:dyDescent="0.3">
      <c r="A1578" t="s">
        <v>629</v>
      </c>
      <c r="B1578" t="s">
        <v>1755</v>
      </c>
      <c r="C1578" t="s">
        <v>95</v>
      </c>
      <c r="D1578" t="s">
        <v>370</v>
      </c>
      <c r="E1578" t="s">
        <v>371</v>
      </c>
      <c r="F1578" t="s">
        <v>6058</v>
      </c>
      <c r="G1578" s="2" t="str">
        <f>HYPERLINK("https://www.facebook.com/100001287404593/posts/1834749976577898")</f>
        <v>https://www.facebook.com/100001287404593/posts/1834749976577898</v>
      </c>
      <c r="H1578" t="s">
        <v>6062</v>
      </c>
      <c r="I1578" t="s">
        <v>1145</v>
      </c>
      <c r="J1578" s="2" t="str">
        <f>HYPERLINK("https://www.facebook.com/100001287404593")</f>
        <v>https://www.facebook.com/100001287404593</v>
      </c>
      <c r="K1578">
        <v>0</v>
      </c>
      <c r="L1578" t="s">
        <v>6064</v>
      </c>
      <c r="N1578" t="s">
        <v>13</v>
      </c>
      <c r="O1578" t="s">
        <v>1145</v>
      </c>
      <c r="P1578" s="2" t="str">
        <f>HYPERLINK("https://www.facebook.com/100001287404593")</f>
        <v>https://www.facebook.com/100001287404593</v>
      </c>
      <c r="Q1578">
        <v>0</v>
      </c>
      <c r="R1578" t="s">
        <v>6067</v>
      </c>
      <c r="S1578" t="s">
        <v>6073</v>
      </c>
    </row>
    <row r="1579" spans="1:19" ht="14.25" customHeight="1" x14ac:dyDescent="0.3">
      <c r="A1579" t="s">
        <v>629</v>
      </c>
      <c r="B1579" t="s">
        <v>1143</v>
      </c>
      <c r="C1579" t="s">
        <v>95</v>
      </c>
      <c r="D1579" t="s">
        <v>853</v>
      </c>
      <c r="E1579" t="s">
        <v>1144</v>
      </c>
      <c r="F1579" t="s">
        <v>6059</v>
      </c>
      <c r="G1579" s="2" t="str">
        <f>HYPERLINK("https://www.facebook.com/100008934274771/posts/1810262525948206?comment_id=1810693969238395")</f>
        <v>https://www.facebook.com/100008934274771/posts/1810262525948206?comment_id=1810693969238395</v>
      </c>
      <c r="H1579" t="s">
        <v>6062</v>
      </c>
      <c r="I1579" t="s">
        <v>1145</v>
      </c>
      <c r="J1579" s="2" t="str">
        <f>HYPERLINK("https://www.facebook.com/100001287404593")</f>
        <v>https://www.facebook.com/100001287404593</v>
      </c>
      <c r="K1579">
        <v>0</v>
      </c>
      <c r="L1579" t="s">
        <v>6064</v>
      </c>
      <c r="N1579" t="s">
        <v>13</v>
      </c>
      <c r="O1579" t="s">
        <v>856</v>
      </c>
      <c r="P1579" s="2" t="str">
        <f>HYPERLINK("https://www.facebook.com/100008934274771")</f>
        <v>https://www.facebook.com/100008934274771</v>
      </c>
      <c r="Q1579">
        <v>10395</v>
      </c>
      <c r="R1579" t="s">
        <v>6067</v>
      </c>
      <c r="S1579" t="s">
        <v>6073</v>
      </c>
    </row>
    <row r="1580" spans="1:19" ht="14.25" customHeight="1" x14ac:dyDescent="0.3">
      <c r="A1580" t="s">
        <v>3527</v>
      </c>
      <c r="B1580" t="s">
        <v>3142</v>
      </c>
      <c r="C1580" t="s">
        <v>95</v>
      </c>
      <c r="D1580" t="s">
        <v>4053</v>
      </c>
      <c r="E1580" t="s">
        <v>4054</v>
      </c>
      <c r="F1580" t="s">
        <v>6059</v>
      </c>
      <c r="G1580" s="2" t="str">
        <f>HYPERLINK("https://www.facebook.com/100003606304545/posts/1244564162340449?comment_id=1244587579004774")</f>
        <v>https://www.facebook.com/100003606304545/posts/1244564162340449?comment_id=1244587579004774</v>
      </c>
      <c r="H1580" t="s">
        <v>6062</v>
      </c>
      <c r="I1580" t="s">
        <v>4055</v>
      </c>
      <c r="J1580" s="2" t="str">
        <f>HYPERLINK("https://www.facebook.com/100003606304545")</f>
        <v>https://www.facebook.com/100003606304545</v>
      </c>
      <c r="K1580">
        <v>0</v>
      </c>
      <c r="L1580" t="s">
        <v>6064</v>
      </c>
      <c r="N1580" t="s">
        <v>13</v>
      </c>
      <c r="O1580" t="s">
        <v>4055</v>
      </c>
      <c r="P1580" s="2" t="str">
        <f>HYPERLINK("https://www.facebook.com/100003606304545")</f>
        <v>https://www.facebook.com/100003606304545</v>
      </c>
      <c r="Q1580">
        <v>0</v>
      </c>
      <c r="R1580" t="s">
        <v>6067</v>
      </c>
      <c r="S1580" t="s">
        <v>6073</v>
      </c>
    </row>
    <row r="1581" spans="1:19" ht="14.25" customHeight="1" x14ac:dyDescent="0.3">
      <c r="A1581" t="s">
        <v>2225</v>
      </c>
      <c r="B1581" t="s">
        <v>2933</v>
      </c>
      <c r="C1581" t="s">
        <v>95</v>
      </c>
      <c r="D1581" t="s">
        <v>2934</v>
      </c>
      <c r="E1581" t="s">
        <v>2935</v>
      </c>
      <c r="F1581" t="s">
        <v>6056</v>
      </c>
      <c r="G1581" s="2" t="str">
        <f>HYPERLINK("https://www.facebook.com/100002236773954/posts/1629480733803137")</f>
        <v>https://www.facebook.com/100002236773954/posts/1629480733803137</v>
      </c>
      <c r="H1581" t="s">
        <v>6062</v>
      </c>
      <c r="I1581" t="s">
        <v>2936</v>
      </c>
      <c r="J1581" s="2" t="str">
        <f>HYPERLINK("https://www.facebook.com/100002236773954")</f>
        <v>https://www.facebook.com/100002236773954</v>
      </c>
      <c r="K1581">
        <v>99</v>
      </c>
      <c r="L1581" t="s">
        <v>6063</v>
      </c>
      <c r="N1581" t="s">
        <v>13</v>
      </c>
      <c r="O1581" t="s">
        <v>2936</v>
      </c>
      <c r="P1581" s="2" t="str">
        <f>HYPERLINK("https://www.facebook.com/100002236773954")</f>
        <v>https://www.facebook.com/100002236773954</v>
      </c>
      <c r="Q1581">
        <v>99</v>
      </c>
      <c r="R1581" t="s">
        <v>6067</v>
      </c>
      <c r="S1581" t="s">
        <v>6073</v>
      </c>
    </row>
    <row r="1582" spans="1:19" ht="14.25" customHeight="1" x14ac:dyDescent="0.3">
      <c r="A1582" t="s">
        <v>5409</v>
      </c>
      <c r="B1582" t="s">
        <v>2928</v>
      </c>
      <c r="C1582" t="s">
        <v>3538</v>
      </c>
      <c r="D1582" t="s">
        <v>4468</v>
      </c>
      <c r="E1582" t="s">
        <v>5511</v>
      </c>
      <c r="F1582" t="s">
        <v>6059</v>
      </c>
      <c r="G1582" s="2" t="str">
        <f>HYPERLINK("https://www.facebook.com/1529329267308888/posts/2058827921025684?comment_id=2058835527691590")</f>
        <v>https://www.facebook.com/1529329267308888/posts/2058827921025684?comment_id=2058835527691590</v>
      </c>
      <c r="H1582" t="s">
        <v>6062</v>
      </c>
      <c r="I1582" t="s">
        <v>5512</v>
      </c>
      <c r="J1582" s="2" t="str">
        <f>HYPERLINK("https://www.facebook.com/100008012778948")</f>
        <v>https://www.facebook.com/100008012778948</v>
      </c>
      <c r="K1582">
        <v>206</v>
      </c>
      <c r="L1582" t="s">
        <v>6064</v>
      </c>
      <c r="N1582" t="s">
        <v>13</v>
      </c>
      <c r="O1582" t="s">
        <v>4471</v>
      </c>
      <c r="P1582" s="2" t="str">
        <f>HYPERLINK("https://www.facebook.com/1529329267308888")</f>
        <v>https://www.facebook.com/1529329267308888</v>
      </c>
      <c r="R1582" t="s">
        <v>6067</v>
      </c>
      <c r="S1582" t="s">
        <v>6073</v>
      </c>
    </row>
    <row r="1583" spans="1:19" ht="14.25" customHeight="1" x14ac:dyDescent="0.3">
      <c r="A1583" t="s">
        <v>629</v>
      </c>
      <c r="B1583" t="s">
        <v>324</v>
      </c>
      <c r="C1583" t="s">
        <v>95</v>
      </c>
      <c r="D1583" t="s">
        <v>370</v>
      </c>
      <c r="E1583" t="s">
        <v>371</v>
      </c>
      <c r="F1583" t="s">
        <v>6058</v>
      </c>
      <c r="G1583" s="2" t="str">
        <f>HYPERLINK("https://www.facebook.com/100024877080980/posts/138198213686081")</f>
        <v>https://www.facebook.com/100024877080980/posts/138198213686081</v>
      </c>
      <c r="H1583" t="s">
        <v>6062</v>
      </c>
      <c r="I1583" t="s">
        <v>1538</v>
      </c>
      <c r="J1583" s="2" t="str">
        <f>HYPERLINK("https://www.facebook.com/100024877080980")</f>
        <v>https://www.facebook.com/100024877080980</v>
      </c>
      <c r="K1583">
        <v>311</v>
      </c>
      <c r="L1583" t="s">
        <v>6063</v>
      </c>
      <c r="N1583" t="s">
        <v>13</v>
      </c>
      <c r="O1583" t="s">
        <v>1538</v>
      </c>
      <c r="P1583" s="2" t="str">
        <f>HYPERLINK("https://www.facebook.com/100024877080980")</f>
        <v>https://www.facebook.com/100024877080980</v>
      </c>
      <c r="Q1583">
        <v>311</v>
      </c>
      <c r="R1583" t="s">
        <v>6067</v>
      </c>
      <c r="S1583" t="s">
        <v>6073</v>
      </c>
    </row>
    <row r="1584" spans="1:19" ht="14.25" customHeight="1" x14ac:dyDescent="0.3">
      <c r="A1584" t="s">
        <v>1</v>
      </c>
      <c r="B1584" t="s">
        <v>499</v>
      </c>
      <c r="C1584" t="s">
        <v>95</v>
      </c>
      <c r="D1584" t="s">
        <v>500</v>
      </c>
      <c r="E1584" t="s">
        <v>501</v>
      </c>
      <c r="F1584" t="s">
        <v>6059</v>
      </c>
      <c r="G1584" s="2" t="str">
        <f>HYPERLINK("https://www.facebook.com/640737916007917/posts/1754417284639969?comment_id=1754536204628077")</f>
        <v>https://www.facebook.com/640737916007917/posts/1754417284639969?comment_id=1754536204628077</v>
      </c>
      <c r="H1584" t="s">
        <v>6062</v>
      </c>
      <c r="I1584" t="s">
        <v>502</v>
      </c>
      <c r="J1584" s="2" t="str">
        <f>HYPERLINK("https://www.facebook.com/100017273491778")</f>
        <v>https://www.facebook.com/100017273491778</v>
      </c>
      <c r="K1584">
        <v>56</v>
      </c>
      <c r="L1584" t="s">
        <v>6063</v>
      </c>
      <c r="N1584" t="s">
        <v>13</v>
      </c>
      <c r="O1584" t="s">
        <v>503</v>
      </c>
      <c r="P1584" s="2" t="str">
        <f>HYPERLINK("https://www.facebook.com/640737916007917")</f>
        <v>https://www.facebook.com/640737916007917</v>
      </c>
      <c r="R1584" t="s">
        <v>6067</v>
      </c>
      <c r="S1584" t="s">
        <v>6073</v>
      </c>
    </row>
    <row r="1585" spans="1:19" ht="14.25" customHeight="1" x14ac:dyDescent="0.3">
      <c r="A1585" t="s">
        <v>1</v>
      </c>
      <c r="B1585" t="s">
        <v>525</v>
      </c>
      <c r="C1585" t="s">
        <v>95</v>
      </c>
      <c r="D1585" t="s">
        <v>500</v>
      </c>
      <c r="E1585" t="s">
        <v>526</v>
      </c>
      <c r="F1585" t="s">
        <v>6059</v>
      </c>
      <c r="G1585" s="2" t="str">
        <f>HYPERLINK("https://www.facebook.com/640737916007917/posts/1754417284639969?comment_id=1754483271300037")</f>
        <v>https://www.facebook.com/640737916007917/posts/1754417284639969?comment_id=1754483271300037</v>
      </c>
      <c r="H1585" t="s">
        <v>6062</v>
      </c>
      <c r="I1585" t="s">
        <v>502</v>
      </c>
      <c r="J1585" s="2" t="str">
        <f>HYPERLINK("https://www.facebook.com/100017273491778")</f>
        <v>https://www.facebook.com/100017273491778</v>
      </c>
      <c r="K1585">
        <v>56</v>
      </c>
      <c r="L1585" t="s">
        <v>6063</v>
      </c>
      <c r="N1585" t="s">
        <v>13</v>
      </c>
      <c r="O1585" t="s">
        <v>503</v>
      </c>
      <c r="P1585" s="2" t="str">
        <f>HYPERLINK("https://www.facebook.com/640737916007917")</f>
        <v>https://www.facebook.com/640737916007917</v>
      </c>
      <c r="R1585" t="s">
        <v>6067</v>
      </c>
      <c r="S1585" t="s">
        <v>6073</v>
      </c>
    </row>
    <row r="1586" spans="1:19" ht="14.25" customHeight="1" x14ac:dyDescent="0.3">
      <c r="A1586" t="s">
        <v>5409</v>
      </c>
      <c r="B1586" t="s">
        <v>4141</v>
      </c>
      <c r="C1586" t="s">
        <v>3538</v>
      </c>
      <c r="D1586" t="s">
        <v>3780</v>
      </c>
      <c r="E1586" t="s">
        <v>5696</v>
      </c>
      <c r="F1586" t="s">
        <v>6058</v>
      </c>
      <c r="G1586" s="2" t="str">
        <f>HYPERLINK("https://www.facebook.com/100024412680319/posts/151415169015572")</f>
        <v>https://www.facebook.com/100024412680319/posts/151415169015572</v>
      </c>
      <c r="H1586" t="s">
        <v>6062</v>
      </c>
      <c r="I1586" t="s">
        <v>5703</v>
      </c>
      <c r="J1586" s="2" t="str">
        <f>HYPERLINK("https://www.facebook.com/100024412680319")</f>
        <v>https://www.facebook.com/100024412680319</v>
      </c>
      <c r="K1586">
        <v>72</v>
      </c>
      <c r="L1586" t="s">
        <v>6064</v>
      </c>
      <c r="N1586" t="s">
        <v>13</v>
      </c>
      <c r="O1586" t="s">
        <v>5703</v>
      </c>
      <c r="P1586" s="2" t="str">
        <f>HYPERLINK("https://www.facebook.com/100024412680319")</f>
        <v>https://www.facebook.com/100024412680319</v>
      </c>
      <c r="Q1586">
        <v>72</v>
      </c>
      <c r="R1586" t="s">
        <v>6067</v>
      </c>
      <c r="S1586" t="s">
        <v>6073</v>
      </c>
    </row>
    <row r="1587" spans="1:19" ht="14.25" customHeight="1" x14ac:dyDescent="0.3">
      <c r="A1587" t="s">
        <v>629</v>
      </c>
      <c r="B1587" t="s">
        <v>1930</v>
      </c>
      <c r="C1587" t="s">
        <v>95</v>
      </c>
      <c r="D1587" t="s">
        <v>370</v>
      </c>
      <c r="E1587" t="s">
        <v>371</v>
      </c>
      <c r="F1587" t="s">
        <v>6058</v>
      </c>
      <c r="G1587" s="2" t="str">
        <f>HYPERLINK("https://www.facebook.com/100002822164652/posts/1389949271109132")</f>
        <v>https://www.facebook.com/100002822164652/posts/1389949271109132</v>
      </c>
      <c r="H1587" t="s">
        <v>6062</v>
      </c>
      <c r="I1587" t="s">
        <v>1931</v>
      </c>
      <c r="J1587" s="2" t="str">
        <f>HYPERLINK("https://www.facebook.com/100002822164652")</f>
        <v>https://www.facebook.com/100002822164652</v>
      </c>
      <c r="K1587">
        <v>2857</v>
      </c>
      <c r="L1587" t="s">
        <v>6064</v>
      </c>
      <c r="N1587" t="s">
        <v>13</v>
      </c>
      <c r="O1587" t="s">
        <v>1931</v>
      </c>
      <c r="P1587" s="2" t="str">
        <f>HYPERLINK("https://www.facebook.com/100002822164652")</f>
        <v>https://www.facebook.com/100002822164652</v>
      </c>
      <c r="Q1587">
        <v>2857</v>
      </c>
      <c r="R1587" t="s">
        <v>6067</v>
      </c>
      <c r="S1587" t="s">
        <v>6073</v>
      </c>
    </row>
    <row r="1588" spans="1:19" ht="14.25" customHeight="1" x14ac:dyDescent="0.3">
      <c r="A1588" t="s">
        <v>5409</v>
      </c>
      <c r="B1588" t="s">
        <v>5946</v>
      </c>
      <c r="C1588" t="s">
        <v>3538</v>
      </c>
      <c r="D1588" t="s">
        <v>3757</v>
      </c>
      <c r="E1588" t="s">
        <v>5948</v>
      </c>
      <c r="F1588" t="s">
        <v>6059</v>
      </c>
      <c r="G1588" s="2" t="str">
        <f>HYPERLINK("https://www.facebook.com/1676376791/posts/10209685538090004?comment_id=10209685645372686")</f>
        <v>https://www.facebook.com/1676376791/posts/10209685538090004?comment_id=10209685645372686</v>
      </c>
      <c r="H1588" t="s">
        <v>6062</v>
      </c>
      <c r="I1588" t="s">
        <v>5949</v>
      </c>
      <c r="J1588" s="2" t="str">
        <f>HYPERLINK("https://www.facebook.com/100010458333671")</f>
        <v>https://www.facebook.com/100010458333671</v>
      </c>
      <c r="K1588">
        <v>6</v>
      </c>
      <c r="L1588" t="s">
        <v>6063</v>
      </c>
      <c r="N1588" t="s">
        <v>13</v>
      </c>
      <c r="O1588" t="s">
        <v>3760</v>
      </c>
      <c r="P1588" s="2" t="str">
        <f>HYPERLINK("https://www.facebook.com/1676376791")</f>
        <v>https://www.facebook.com/1676376791</v>
      </c>
      <c r="Q1588">
        <v>4013</v>
      </c>
      <c r="R1588" t="s">
        <v>6067</v>
      </c>
      <c r="S1588" t="s">
        <v>6073</v>
      </c>
    </row>
    <row r="1589" spans="1:19" ht="14.25" customHeight="1" x14ac:dyDescent="0.3">
      <c r="A1589" t="s">
        <v>629</v>
      </c>
      <c r="B1589" t="s">
        <v>2030</v>
      </c>
      <c r="C1589" t="s">
        <v>95</v>
      </c>
      <c r="D1589" t="s">
        <v>2031</v>
      </c>
      <c r="E1589" t="s">
        <v>2032</v>
      </c>
      <c r="F1589" t="s">
        <v>6056</v>
      </c>
      <c r="G1589" s="2" t="str">
        <f>HYPERLINK("https://www.facebook.com/100012895380451/posts/414703565636153")</f>
        <v>https://www.facebook.com/100012895380451/posts/414703565636153</v>
      </c>
      <c r="H1589" t="s">
        <v>6062</v>
      </c>
      <c r="I1589" t="s">
        <v>2033</v>
      </c>
      <c r="J1589" s="2" t="str">
        <f>HYPERLINK("https://www.facebook.com/100012895380451")</f>
        <v>https://www.facebook.com/100012895380451</v>
      </c>
      <c r="K1589">
        <v>0</v>
      </c>
      <c r="L1589" t="s">
        <v>6063</v>
      </c>
      <c r="N1589" t="s">
        <v>13</v>
      </c>
      <c r="O1589" t="s">
        <v>2033</v>
      </c>
      <c r="P1589" s="2" t="str">
        <f>HYPERLINK("https://www.facebook.com/100012895380451")</f>
        <v>https://www.facebook.com/100012895380451</v>
      </c>
      <c r="Q1589">
        <v>0</v>
      </c>
      <c r="R1589" t="s">
        <v>6067</v>
      </c>
      <c r="S1589" t="s">
        <v>6073</v>
      </c>
    </row>
    <row r="1590" spans="1:19" ht="14.25" customHeight="1" x14ac:dyDescent="0.3">
      <c r="A1590" t="s">
        <v>2225</v>
      </c>
      <c r="B1590" t="s">
        <v>2620</v>
      </c>
      <c r="C1590" t="s">
        <v>95</v>
      </c>
      <c r="D1590" t="s">
        <v>853</v>
      </c>
      <c r="E1590" t="s">
        <v>2625</v>
      </c>
      <c r="F1590" t="s">
        <v>6059</v>
      </c>
      <c r="G1590" s="2" t="str">
        <f>HYPERLINK("https://www.facebook.com/100008934274771/posts/1810262525948206?comment_id=1810284209279371")</f>
        <v>https://www.facebook.com/100008934274771/posts/1810262525948206?comment_id=1810284209279371</v>
      </c>
      <c r="H1590" t="s">
        <v>6062</v>
      </c>
      <c r="I1590" t="s">
        <v>2613</v>
      </c>
      <c r="J1590" s="2" t="str">
        <f>HYPERLINK("https://www.facebook.com/100011198292894")</f>
        <v>https://www.facebook.com/100011198292894</v>
      </c>
      <c r="K1590">
        <v>181</v>
      </c>
      <c r="L1590" t="s">
        <v>6063</v>
      </c>
      <c r="N1590" t="s">
        <v>13</v>
      </c>
      <c r="O1590" t="s">
        <v>856</v>
      </c>
      <c r="P1590" s="2" t="str">
        <f>HYPERLINK("https://www.facebook.com/100008934274771")</f>
        <v>https://www.facebook.com/100008934274771</v>
      </c>
      <c r="Q1590">
        <v>10395</v>
      </c>
      <c r="R1590" t="s">
        <v>6067</v>
      </c>
      <c r="S1590" t="s">
        <v>6073</v>
      </c>
    </row>
    <row r="1591" spans="1:19" ht="14.25" customHeight="1" x14ac:dyDescent="0.3">
      <c r="A1591" t="s">
        <v>2225</v>
      </c>
      <c r="B1591" t="s">
        <v>2605</v>
      </c>
      <c r="C1591" t="s">
        <v>95</v>
      </c>
      <c r="D1591" t="s">
        <v>853</v>
      </c>
      <c r="E1591" t="s">
        <v>2612</v>
      </c>
      <c r="F1591" t="s">
        <v>6059</v>
      </c>
      <c r="G1591" s="2" t="str">
        <f>HYPERLINK("https://www.facebook.com/100008934274771/posts/1810262525948206?comment_id=1810285252612600")</f>
        <v>https://www.facebook.com/100008934274771/posts/1810262525948206?comment_id=1810285252612600</v>
      </c>
      <c r="H1591" t="s">
        <v>6062</v>
      </c>
      <c r="I1591" t="s">
        <v>2613</v>
      </c>
      <c r="J1591" s="2" t="str">
        <f>HYPERLINK("https://www.facebook.com/100011198292894")</f>
        <v>https://www.facebook.com/100011198292894</v>
      </c>
      <c r="K1591">
        <v>181</v>
      </c>
      <c r="L1591" t="s">
        <v>6063</v>
      </c>
      <c r="N1591" t="s">
        <v>13</v>
      </c>
      <c r="O1591" t="s">
        <v>856</v>
      </c>
      <c r="P1591" s="2" t="str">
        <f>HYPERLINK("https://www.facebook.com/100008934274771")</f>
        <v>https://www.facebook.com/100008934274771</v>
      </c>
      <c r="Q1591">
        <v>10395</v>
      </c>
      <c r="R1591" t="s">
        <v>6067</v>
      </c>
      <c r="S1591" t="s">
        <v>6073</v>
      </c>
    </row>
    <row r="1592" spans="1:19" ht="14.25" customHeight="1" x14ac:dyDescent="0.3">
      <c r="A1592" t="s">
        <v>2225</v>
      </c>
      <c r="B1592" t="s">
        <v>2564</v>
      </c>
      <c r="C1592" t="s">
        <v>95</v>
      </c>
      <c r="D1592" t="s">
        <v>853</v>
      </c>
      <c r="E1592" t="s">
        <v>2566</v>
      </c>
      <c r="F1592" t="s">
        <v>6059</v>
      </c>
      <c r="G1592" s="2" t="str">
        <f>HYPERLINK("https://www.facebook.com/100008934274771/posts/1810262525948206?comment_id=1810289142612211")</f>
        <v>https://www.facebook.com/100008934274771/posts/1810262525948206?comment_id=1810289142612211</v>
      </c>
      <c r="H1592" t="s">
        <v>6062</v>
      </c>
      <c r="I1592" t="s">
        <v>2567</v>
      </c>
      <c r="J1592" s="2" t="str">
        <f>HYPERLINK("https://www.facebook.com/100001103935830")</f>
        <v>https://www.facebook.com/100001103935830</v>
      </c>
      <c r="K1592">
        <v>1632</v>
      </c>
      <c r="L1592" t="s">
        <v>6063</v>
      </c>
      <c r="N1592" t="s">
        <v>13</v>
      </c>
      <c r="O1592" t="s">
        <v>856</v>
      </c>
      <c r="P1592" s="2" t="str">
        <f>HYPERLINK("https://www.facebook.com/100008934274771")</f>
        <v>https://www.facebook.com/100008934274771</v>
      </c>
      <c r="Q1592">
        <v>10395</v>
      </c>
      <c r="R1592" t="s">
        <v>6067</v>
      </c>
      <c r="S1592" t="s">
        <v>6073</v>
      </c>
    </row>
    <row r="1593" spans="1:19" ht="14.25" customHeight="1" x14ac:dyDescent="0.3">
      <c r="A1593" t="s">
        <v>5409</v>
      </c>
      <c r="B1593" t="s">
        <v>881</v>
      </c>
      <c r="C1593" t="s">
        <v>3538</v>
      </c>
      <c r="D1593" t="s">
        <v>5461</v>
      </c>
      <c r="E1593" t="s">
        <v>5553</v>
      </c>
      <c r="F1593" t="s">
        <v>6059</v>
      </c>
      <c r="G1593" s="2" t="str">
        <f>HYPERLINK("https://www.facebook.com/100001099400755/posts/1723763517670278?comment_id=1723803984332898")</f>
        <v>https://www.facebook.com/100001099400755/posts/1723763517670278?comment_id=1723803984332898</v>
      </c>
      <c r="H1593" t="s">
        <v>6062</v>
      </c>
      <c r="I1593" t="s">
        <v>5554</v>
      </c>
      <c r="J1593" s="2" t="str">
        <f>HYPERLINK("https://www.facebook.com/100001588444087")</f>
        <v>https://www.facebook.com/100001588444087</v>
      </c>
      <c r="K1593">
        <v>2359</v>
      </c>
      <c r="L1593" t="s">
        <v>6063</v>
      </c>
      <c r="N1593" t="s">
        <v>13</v>
      </c>
      <c r="O1593" t="s">
        <v>5463</v>
      </c>
      <c r="P1593" s="2" t="str">
        <f>HYPERLINK("https://www.facebook.com/100001099400755")</f>
        <v>https://www.facebook.com/100001099400755</v>
      </c>
      <c r="Q1593">
        <v>0</v>
      </c>
      <c r="R1593" t="s">
        <v>6067</v>
      </c>
      <c r="S1593" t="s">
        <v>6073</v>
      </c>
    </row>
    <row r="1594" spans="1:19" ht="14.25" customHeight="1" x14ac:dyDescent="0.3">
      <c r="A1594" t="s">
        <v>2225</v>
      </c>
      <c r="B1594" t="s">
        <v>2798</v>
      </c>
      <c r="C1594" t="s">
        <v>95</v>
      </c>
      <c r="D1594" t="s">
        <v>1056</v>
      </c>
      <c r="E1594" t="s">
        <v>1057</v>
      </c>
      <c r="F1594" t="s">
        <v>6058</v>
      </c>
      <c r="G1594" s="2" t="str">
        <f>HYPERLINK("https://www.facebook.com/100001127535377/posts/1628045513909684")</f>
        <v>https://www.facebook.com/100001127535377/posts/1628045513909684</v>
      </c>
      <c r="H1594" t="s">
        <v>6062</v>
      </c>
      <c r="I1594" t="s">
        <v>2802</v>
      </c>
      <c r="J1594" s="2" t="str">
        <f>HYPERLINK("https://www.facebook.com/100001127535377")</f>
        <v>https://www.facebook.com/100001127535377</v>
      </c>
      <c r="K1594">
        <v>129</v>
      </c>
      <c r="L1594" t="s">
        <v>6063</v>
      </c>
      <c r="N1594" t="s">
        <v>13</v>
      </c>
      <c r="O1594" t="s">
        <v>2802</v>
      </c>
      <c r="P1594" s="2" t="str">
        <f>HYPERLINK("https://www.facebook.com/100001127535377")</f>
        <v>https://www.facebook.com/100001127535377</v>
      </c>
      <c r="Q1594">
        <v>129</v>
      </c>
      <c r="R1594" t="s">
        <v>6067</v>
      </c>
      <c r="S1594" t="s">
        <v>6073</v>
      </c>
    </row>
    <row r="1595" spans="1:19" ht="14.25" customHeight="1" x14ac:dyDescent="0.3">
      <c r="A1595" t="s">
        <v>1</v>
      </c>
      <c r="B1595" t="s">
        <v>102</v>
      </c>
      <c r="C1595" t="s">
        <v>103</v>
      </c>
      <c r="D1595" t="s">
        <v>104</v>
      </c>
      <c r="E1595" t="s">
        <v>105</v>
      </c>
      <c r="F1595" t="s">
        <v>6056</v>
      </c>
      <c r="G1595" s="2" t="str">
        <f>HYPERLINK("https://www.facebook.com/100007442716963/posts/2040004532924284")</f>
        <v>https://www.facebook.com/100007442716963/posts/2040004532924284</v>
      </c>
      <c r="H1595" t="s">
        <v>6062</v>
      </c>
      <c r="I1595" t="s">
        <v>106</v>
      </c>
      <c r="J1595" s="2" t="str">
        <f>HYPERLINK("https://www.facebook.com/100007442716963")</f>
        <v>https://www.facebook.com/100007442716963</v>
      </c>
      <c r="K1595">
        <v>1231</v>
      </c>
      <c r="L1595" t="s">
        <v>6063</v>
      </c>
      <c r="N1595" t="s">
        <v>13</v>
      </c>
      <c r="O1595" t="s">
        <v>106</v>
      </c>
      <c r="P1595" s="2" t="str">
        <f>HYPERLINK("https://www.facebook.com/100007442716963")</f>
        <v>https://www.facebook.com/100007442716963</v>
      </c>
      <c r="Q1595">
        <v>1231</v>
      </c>
      <c r="R1595" t="s">
        <v>6067</v>
      </c>
      <c r="S1595" t="s">
        <v>6073</v>
      </c>
    </row>
    <row r="1596" spans="1:19" ht="14.25" customHeight="1" x14ac:dyDescent="0.3">
      <c r="A1596" t="s">
        <v>2225</v>
      </c>
      <c r="B1596" t="s">
        <v>2392</v>
      </c>
      <c r="C1596" t="s">
        <v>95</v>
      </c>
      <c r="D1596" t="s">
        <v>544</v>
      </c>
      <c r="E1596" t="s">
        <v>545</v>
      </c>
      <c r="F1596" t="s">
        <v>6058</v>
      </c>
      <c r="G1596" s="2" t="str">
        <f>HYPERLINK("https://www.facebook.com/100009561789490/posts/1983236595338381")</f>
        <v>https://www.facebook.com/100009561789490/posts/1983236595338381</v>
      </c>
      <c r="H1596" t="s">
        <v>6062</v>
      </c>
      <c r="I1596" t="s">
        <v>2393</v>
      </c>
      <c r="J1596" s="2" t="str">
        <f>HYPERLINK("https://www.facebook.com/100009561789490")</f>
        <v>https://www.facebook.com/100009561789490</v>
      </c>
      <c r="K1596">
        <v>2911</v>
      </c>
      <c r="L1596" t="s">
        <v>6063</v>
      </c>
      <c r="N1596" t="s">
        <v>13</v>
      </c>
      <c r="O1596" t="s">
        <v>2393</v>
      </c>
      <c r="P1596" s="2" t="str">
        <f>HYPERLINK("https://www.facebook.com/100009561789490")</f>
        <v>https://www.facebook.com/100009561789490</v>
      </c>
      <c r="Q1596">
        <v>2911</v>
      </c>
      <c r="R1596" t="s">
        <v>6067</v>
      </c>
      <c r="S1596" t="s">
        <v>6073</v>
      </c>
    </row>
    <row r="1597" spans="1:19" ht="14.25" customHeight="1" x14ac:dyDescent="0.3">
      <c r="A1597" t="s">
        <v>629</v>
      </c>
      <c r="B1597" t="s">
        <v>1937</v>
      </c>
      <c r="C1597" t="s">
        <v>95</v>
      </c>
      <c r="D1597" t="s">
        <v>370</v>
      </c>
      <c r="E1597" t="s">
        <v>371</v>
      </c>
      <c r="F1597" t="s">
        <v>6058</v>
      </c>
      <c r="G1597" s="2" t="str">
        <f>HYPERLINK("https://www.facebook.com/100000956827696/posts/1924482040927005")</f>
        <v>https://www.facebook.com/100000956827696/posts/1924482040927005</v>
      </c>
      <c r="H1597" t="s">
        <v>6062</v>
      </c>
      <c r="I1597" t="s">
        <v>1939</v>
      </c>
      <c r="J1597" s="2" t="str">
        <f>HYPERLINK("https://www.facebook.com/100000956827696")</f>
        <v>https://www.facebook.com/100000956827696</v>
      </c>
      <c r="K1597">
        <v>1440</v>
      </c>
      <c r="L1597" t="s">
        <v>6063</v>
      </c>
      <c r="N1597" t="s">
        <v>13</v>
      </c>
      <c r="O1597" t="s">
        <v>1939</v>
      </c>
      <c r="P1597" s="2" t="str">
        <f>HYPERLINK("https://www.facebook.com/100000956827696")</f>
        <v>https://www.facebook.com/100000956827696</v>
      </c>
      <c r="Q1597">
        <v>1440</v>
      </c>
      <c r="R1597" t="s">
        <v>6067</v>
      </c>
      <c r="S1597" t="s">
        <v>6073</v>
      </c>
    </row>
    <row r="1598" spans="1:19" ht="14.25" customHeight="1" x14ac:dyDescent="0.3">
      <c r="A1598" t="s">
        <v>629</v>
      </c>
      <c r="B1598" t="s">
        <v>1909</v>
      </c>
      <c r="C1598" t="s">
        <v>95</v>
      </c>
      <c r="D1598" t="s">
        <v>370</v>
      </c>
      <c r="E1598" t="s">
        <v>371</v>
      </c>
      <c r="F1598" t="s">
        <v>6058</v>
      </c>
      <c r="G1598" s="2" t="str">
        <f>HYPERLINK("https://www.facebook.com/100013961713337/posts/412804305861623")</f>
        <v>https://www.facebook.com/100013961713337/posts/412804305861623</v>
      </c>
      <c r="H1598" t="s">
        <v>6062</v>
      </c>
      <c r="I1598" t="s">
        <v>1911</v>
      </c>
      <c r="J1598" s="2" t="str">
        <f>HYPERLINK("https://www.facebook.com/100013961713337")</f>
        <v>https://www.facebook.com/100013961713337</v>
      </c>
      <c r="K1598">
        <v>2524</v>
      </c>
      <c r="L1598" t="s">
        <v>6063</v>
      </c>
      <c r="N1598" t="s">
        <v>13</v>
      </c>
      <c r="O1598" t="s">
        <v>1911</v>
      </c>
      <c r="P1598" s="2" t="str">
        <f>HYPERLINK("https://www.facebook.com/100013961713337")</f>
        <v>https://www.facebook.com/100013961713337</v>
      </c>
      <c r="Q1598">
        <v>2524</v>
      </c>
      <c r="R1598" t="s">
        <v>6067</v>
      </c>
      <c r="S1598" t="s">
        <v>6073</v>
      </c>
    </row>
    <row r="1599" spans="1:19" ht="14.25" customHeight="1" x14ac:dyDescent="0.3">
      <c r="A1599" t="s">
        <v>3527</v>
      </c>
      <c r="B1599" t="s">
        <v>3927</v>
      </c>
      <c r="C1599" t="s">
        <v>95</v>
      </c>
      <c r="D1599" t="s">
        <v>2148</v>
      </c>
      <c r="E1599" t="s">
        <v>3930</v>
      </c>
      <c r="F1599" t="s">
        <v>6056</v>
      </c>
      <c r="G1599" s="2" t="str">
        <f>HYPERLINK("https://www.facebook.com/100003231931788/posts/1615340991916950")</f>
        <v>https://www.facebook.com/100003231931788/posts/1615340991916950</v>
      </c>
      <c r="H1599" t="s">
        <v>6062</v>
      </c>
      <c r="I1599" t="s">
        <v>3931</v>
      </c>
      <c r="J1599" s="2" t="str">
        <f>HYPERLINK("https://www.facebook.com/100003231931788")</f>
        <v>https://www.facebook.com/100003231931788</v>
      </c>
      <c r="K1599">
        <v>3915</v>
      </c>
      <c r="L1599" t="s">
        <v>6063</v>
      </c>
      <c r="N1599" t="s">
        <v>13</v>
      </c>
      <c r="O1599" t="s">
        <v>3931</v>
      </c>
      <c r="P1599" s="2" t="str">
        <f>HYPERLINK("https://www.facebook.com/100003231931788")</f>
        <v>https://www.facebook.com/100003231931788</v>
      </c>
      <c r="Q1599">
        <v>3915</v>
      </c>
      <c r="R1599" t="s">
        <v>6067</v>
      </c>
    </row>
    <row r="1600" spans="1:19" ht="14.25" customHeight="1" x14ac:dyDescent="0.3">
      <c r="A1600" t="s">
        <v>4439</v>
      </c>
      <c r="B1600" t="s">
        <v>750</v>
      </c>
      <c r="C1600" t="s">
        <v>3538</v>
      </c>
      <c r="D1600" t="s">
        <v>4171</v>
      </c>
      <c r="E1600" t="s">
        <v>4172</v>
      </c>
      <c r="F1600" t="s">
        <v>6058</v>
      </c>
      <c r="G1600" s="2" t="str">
        <f>HYPERLINK("https://www.facebook.com/100005261463002/posts/832288373623204")</f>
        <v>https://www.facebook.com/100005261463002/posts/832288373623204</v>
      </c>
      <c r="H1600" t="s">
        <v>6062</v>
      </c>
      <c r="I1600" t="s">
        <v>2735</v>
      </c>
      <c r="J1600" s="2" t="str">
        <f>HYPERLINK("https://www.facebook.com/100005261463002")</f>
        <v>https://www.facebook.com/100005261463002</v>
      </c>
      <c r="K1600">
        <v>2632</v>
      </c>
      <c r="L1600" t="s">
        <v>6063</v>
      </c>
      <c r="N1600" t="s">
        <v>13</v>
      </c>
      <c r="O1600" t="s">
        <v>2735</v>
      </c>
      <c r="P1600" s="2" t="str">
        <f>HYPERLINK("https://www.facebook.com/100005261463002")</f>
        <v>https://www.facebook.com/100005261463002</v>
      </c>
      <c r="Q1600">
        <v>2632</v>
      </c>
      <c r="R1600" t="s">
        <v>6067</v>
      </c>
      <c r="S1600" t="s">
        <v>6073</v>
      </c>
    </row>
    <row r="1601" spans="1:19" ht="14.25" customHeight="1" x14ac:dyDescent="0.3">
      <c r="A1601" t="s">
        <v>2225</v>
      </c>
      <c r="B1601" t="s">
        <v>756</v>
      </c>
      <c r="C1601" t="s">
        <v>95</v>
      </c>
      <c r="D1601" t="s">
        <v>544</v>
      </c>
      <c r="E1601" t="s">
        <v>545</v>
      </c>
      <c r="F1601" t="s">
        <v>6058</v>
      </c>
      <c r="G1601" s="2" t="str">
        <f>HYPERLINK("https://www.facebook.com/100005261463002/posts/833152830203425")</f>
        <v>https://www.facebook.com/100005261463002/posts/833152830203425</v>
      </c>
      <c r="H1601" t="s">
        <v>6062</v>
      </c>
      <c r="I1601" t="s">
        <v>2735</v>
      </c>
      <c r="J1601" s="2" t="str">
        <f>HYPERLINK("https://www.facebook.com/100005261463002")</f>
        <v>https://www.facebook.com/100005261463002</v>
      </c>
      <c r="K1601">
        <v>2632</v>
      </c>
      <c r="L1601" t="s">
        <v>6063</v>
      </c>
      <c r="N1601" t="s">
        <v>13</v>
      </c>
      <c r="O1601" t="s">
        <v>2735</v>
      </c>
      <c r="P1601" s="2" t="str">
        <f>HYPERLINK("https://www.facebook.com/100005261463002")</f>
        <v>https://www.facebook.com/100005261463002</v>
      </c>
      <c r="Q1601">
        <v>2632</v>
      </c>
      <c r="R1601" t="s">
        <v>6067</v>
      </c>
      <c r="S1601" t="s">
        <v>6073</v>
      </c>
    </row>
    <row r="1602" spans="1:19" ht="14.25" customHeight="1" x14ac:dyDescent="0.3">
      <c r="A1602" t="s">
        <v>2225</v>
      </c>
      <c r="B1602" t="s">
        <v>759</v>
      </c>
      <c r="C1602" t="s">
        <v>95</v>
      </c>
      <c r="D1602" t="s">
        <v>544</v>
      </c>
      <c r="E1602" t="s">
        <v>545</v>
      </c>
      <c r="F1602" t="s">
        <v>6058</v>
      </c>
      <c r="G1602" s="2" t="str">
        <f>HYPERLINK("https://www.facebook.com/100005261463002/posts/833152676870107")</f>
        <v>https://www.facebook.com/100005261463002/posts/833152676870107</v>
      </c>
      <c r="H1602" t="s">
        <v>6062</v>
      </c>
      <c r="I1602" t="s">
        <v>2735</v>
      </c>
      <c r="J1602" s="2" t="str">
        <f>HYPERLINK("https://www.facebook.com/100005261463002")</f>
        <v>https://www.facebook.com/100005261463002</v>
      </c>
      <c r="K1602">
        <v>2632</v>
      </c>
      <c r="L1602" t="s">
        <v>6063</v>
      </c>
      <c r="N1602" t="s">
        <v>13</v>
      </c>
      <c r="O1602" t="s">
        <v>2735</v>
      </c>
      <c r="P1602" s="2" t="str">
        <f>HYPERLINK("https://www.facebook.com/100005261463002")</f>
        <v>https://www.facebook.com/100005261463002</v>
      </c>
      <c r="Q1602">
        <v>2632</v>
      </c>
      <c r="R1602" t="s">
        <v>6067</v>
      </c>
      <c r="S1602" t="s">
        <v>6073</v>
      </c>
    </row>
    <row r="1603" spans="1:19" ht="14.25" customHeight="1" x14ac:dyDescent="0.3">
      <c r="A1603" t="s">
        <v>3527</v>
      </c>
      <c r="B1603" t="s">
        <v>2376</v>
      </c>
      <c r="C1603" t="s">
        <v>95</v>
      </c>
      <c r="D1603" t="s">
        <v>1990</v>
      </c>
      <c r="E1603" t="s">
        <v>3649</v>
      </c>
      <c r="F1603" t="s">
        <v>6056</v>
      </c>
      <c r="G1603" s="2" t="str">
        <f>HYPERLINK("https://www.facebook.com/100001462261343/posts/1732890523436340")</f>
        <v>https://www.facebook.com/100001462261343/posts/1732890523436340</v>
      </c>
      <c r="H1603" t="s">
        <v>6062</v>
      </c>
      <c r="I1603" t="s">
        <v>3650</v>
      </c>
      <c r="J1603" s="2" t="str">
        <f>HYPERLINK("https://www.facebook.com/100001462261343")</f>
        <v>https://www.facebook.com/100001462261343</v>
      </c>
      <c r="K1603">
        <v>878</v>
      </c>
      <c r="L1603" t="s">
        <v>6064</v>
      </c>
      <c r="N1603" t="s">
        <v>13</v>
      </c>
      <c r="O1603" t="s">
        <v>3650</v>
      </c>
      <c r="P1603" s="2" t="str">
        <f>HYPERLINK("https://www.facebook.com/100001462261343")</f>
        <v>https://www.facebook.com/100001462261343</v>
      </c>
      <c r="Q1603">
        <v>878</v>
      </c>
      <c r="R1603" t="s">
        <v>6067</v>
      </c>
      <c r="S1603" t="s">
        <v>6073</v>
      </c>
    </row>
    <row r="1604" spans="1:19" ht="14.25" customHeight="1" x14ac:dyDescent="0.3">
      <c r="A1604" t="s">
        <v>629</v>
      </c>
      <c r="B1604" t="s">
        <v>1950</v>
      </c>
      <c r="C1604" t="s">
        <v>95</v>
      </c>
      <c r="D1604" t="s">
        <v>370</v>
      </c>
      <c r="E1604" t="s">
        <v>371</v>
      </c>
      <c r="F1604" t="s">
        <v>6058</v>
      </c>
      <c r="G1604" s="2" t="str">
        <f>HYPERLINK("https://www.facebook.com/1158827740/posts/10214705164120266")</f>
        <v>https://www.facebook.com/1158827740/posts/10214705164120266</v>
      </c>
      <c r="H1604" t="s">
        <v>6062</v>
      </c>
      <c r="I1604" t="s">
        <v>1952</v>
      </c>
      <c r="J1604" s="2" t="str">
        <f>HYPERLINK("https://www.facebook.com/1158827740")</f>
        <v>https://www.facebook.com/1158827740</v>
      </c>
      <c r="K1604">
        <v>2213</v>
      </c>
      <c r="L1604" t="s">
        <v>6064</v>
      </c>
      <c r="N1604" t="s">
        <v>13</v>
      </c>
      <c r="O1604" t="s">
        <v>1952</v>
      </c>
      <c r="P1604" s="2" t="str">
        <f>HYPERLINK("https://www.facebook.com/1158827740")</f>
        <v>https://www.facebook.com/1158827740</v>
      </c>
      <c r="Q1604">
        <v>2213</v>
      </c>
      <c r="R1604" t="s">
        <v>6067</v>
      </c>
    </row>
    <row r="1605" spans="1:19" ht="14.25" customHeight="1" x14ac:dyDescent="0.3">
      <c r="A1605" t="s">
        <v>629</v>
      </c>
      <c r="B1605" t="s">
        <v>1950</v>
      </c>
      <c r="C1605" t="s">
        <v>95</v>
      </c>
      <c r="D1605" t="s">
        <v>370</v>
      </c>
      <c r="E1605" t="s">
        <v>371</v>
      </c>
      <c r="F1605" t="s">
        <v>6058</v>
      </c>
      <c r="G1605" s="2" t="str">
        <f>HYPERLINK("https://www.facebook.com/1158827740/posts/10214705164240269")</f>
        <v>https://www.facebook.com/1158827740/posts/10214705164240269</v>
      </c>
      <c r="H1605" t="s">
        <v>6062</v>
      </c>
      <c r="I1605" t="s">
        <v>1952</v>
      </c>
      <c r="J1605" s="2" t="str">
        <f>HYPERLINK("https://www.facebook.com/1158827740")</f>
        <v>https://www.facebook.com/1158827740</v>
      </c>
      <c r="K1605">
        <v>2213</v>
      </c>
      <c r="L1605" t="s">
        <v>6064</v>
      </c>
      <c r="N1605" t="s">
        <v>13</v>
      </c>
      <c r="O1605" t="s">
        <v>1952</v>
      </c>
      <c r="P1605" s="2" t="str">
        <f>HYPERLINK("https://www.facebook.com/1158827740")</f>
        <v>https://www.facebook.com/1158827740</v>
      </c>
      <c r="Q1605">
        <v>2213</v>
      </c>
      <c r="R1605" t="s">
        <v>6067</v>
      </c>
    </row>
    <row r="1606" spans="1:19" ht="14.25" customHeight="1" x14ac:dyDescent="0.3">
      <c r="A1606" t="s">
        <v>5409</v>
      </c>
      <c r="B1606" t="s">
        <v>5966</v>
      </c>
      <c r="C1606" t="s">
        <v>3538</v>
      </c>
      <c r="D1606" t="s">
        <v>4675</v>
      </c>
      <c r="E1606" t="s">
        <v>5967</v>
      </c>
      <c r="F1606" t="s">
        <v>6059</v>
      </c>
      <c r="G1606" s="2" t="str">
        <f>HYPERLINK("https://www.facebook.com/1439247584/posts/10217349741762401?comment_id=10217353957947803")</f>
        <v>https://www.facebook.com/1439247584/posts/10217349741762401?comment_id=10217353957947803</v>
      </c>
      <c r="H1606" t="s">
        <v>6062</v>
      </c>
      <c r="I1606" t="s">
        <v>5968</v>
      </c>
      <c r="J1606" s="2" t="str">
        <f>HYPERLINK("https://www.facebook.com/100001601377236")</f>
        <v>https://www.facebook.com/100001601377236</v>
      </c>
      <c r="K1606">
        <v>836</v>
      </c>
      <c r="L1606" t="s">
        <v>6063</v>
      </c>
      <c r="N1606" t="s">
        <v>13</v>
      </c>
      <c r="O1606" t="s">
        <v>4678</v>
      </c>
      <c r="P1606" s="2" t="str">
        <f>HYPERLINK("https://www.facebook.com/1439247584")</f>
        <v>https://www.facebook.com/1439247584</v>
      </c>
      <c r="Q1606">
        <v>54</v>
      </c>
      <c r="R1606" t="s">
        <v>6067</v>
      </c>
      <c r="S1606" t="s">
        <v>6073</v>
      </c>
    </row>
    <row r="1607" spans="1:19" ht="14.25" customHeight="1" x14ac:dyDescent="0.3">
      <c r="A1607" t="s">
        <v>4995</v>
      </c>
      <c r="B1607" t="s">
        <v>5354</v>
      </c>
      <c r="C1607" t="s">
        <v>3538</v>
      </c>
      <c r="D1607" t="s">
        <v>4468</v>
      </c>
      <c r="E1607" t="s">
        <v>5355</v>
      </c>
      <c r="F1607" t="s">
        <v>6059</v>
      </c>
      <c r="G1607" s="2" t="str">
        <f>HYPERLINK("https://www.facebook.com/1529329267308888/posts/2058827921025684?comment_id=2059106684331141")</f>
        <v>https://www.facebook.com/1529329267308888/posts/2058827921025684?comment_id=2059106684331141</v>
      </c>
      <c r="H1607" t="s">
        <v>6062</v>
      </c>
      <c r="I1607" t="s">
        <v>5233</v>
      </c>
      <c r="J1607" s="2" t="str">
        <f t="shared" ref="J1607:J1612" si="45">HYPERLINK("https://www.facebook.com/100001917727420")</f>
        <v>https://www.facebook.com/100001917727420</v>
      </c>
      <c r="K1607">
        <v>32</v>
      </c>
      <c r="L1607" t="s">
        <v>6064</v>
      </c>
      <c r="N1607" t="s">
        <v>13</v>
      </c>
      <c r="O1607" t="s">
        <v>4471</v>
      </c>
      <c r="P1607" s="2" t="str">
        <f t="shared" ref="P1607:P1612" si="46">HYPERLINK("https://www.facebook.com/1529329267308888")</f>
        <v>https://www.facebook.com/1529329267308888</v>
      </c>
      <c r="R1607" t="s">
        <v>6067</v>
      </c>
      <c r="S1607" t="s">
        <v>6073</v>
      </c>
    </row>
    <row r="1608" spans="1:19" ht="14.25" customHeight="1" x14ac:dyDescent="0.3">
      <c r="A1608" t="s">
        <v>4995</v>
      </c>
      <c r="B1608" t="s">
        <v>3452</v>
      </c>
      <c r="C1608" t="s">
        <v>3538</v>
      </c>
      <c r="D1608" t="s">
        <v>4468</v>
      </c>
      <c r="E1608" t="s">
        <v>5356</v>
      </c>
      <c r="F1608" t="s">
        <v>6059</v>
      </c>
      <c r="G1608" s="2" t="str">
        <f>HYPERLINK("https://www.facebook.com/1529329267308888/posts/2058827921025684?comment_id=2059106247664518")</f>
        <v>https://www.facebook.com/1529329267308888/posts/2058827921025684?comment_id=2059106247664518</v>
      </c>
      <c r="H1608" t="s">
        <v>6062</v>
      </c>
      <c r="I1608" t="s">
        <v>5233</v>
      </c>
      <c r="J1608" s="2" t="str">
        <f t="shared" si="45"/>
        <v>https://www.facebook.com/100001917727420</v>
      </c>
      <c r="K1608">
        <v>32</v>
      </c>
      <c r="L1608" t="s">
        <v>6064</v>
      </c>
      <c r="N1608" t="s">
        <v>13</v>
      </c>
      <c r="O1608" t="s">
        <v>4471</v>
      </c>
      <c r="P1608" s="2" t="str">
        <f t="shared" si="46"/>
        <v>https://www.facebook.com/1529329267308888</v>
      </c>
      <c r="R1608" t="s">
        <v>6067</v>
      </c>
      <c r="S1608" t="s">
        <v>6073</v>
      </c>
    </row>
    <row r="1609" spans="1:19" ht="14.25" customHeight="1" x14ac:dyDescent="0.3">
      <c r="A1609" t="s">
        <v>4995</v>
      </c>
      <c r="B1609" t="s">
        <v>5357</v>
      </c>
      <c r="C1609" t="s">
        <v>3538</v>
      </c>
      <c r="D1609" t="s">
        <v>4468</v>
      </c>
      <c r="E1609" t="s">
        <v>5358</v>
      </c>
      <c r="F1609" t="s">
        <v>6059</v>
      </c>
      <c r="G1609" s="2" t="str">
        <f>HYPERLINK("https://www.facebook.com/1529329267308888/posts/2058827921025684?comment_id=2059105747664568")</f>
        <v>https://www.facebook.com/1529329267308888/posts/2058827921025684?comment_id=2059105747664568</v>
      </c>
      <c r="H1609" t="s">
        <v>6062</v>
      </c>
      <c r="I1609" t="s">
        <v>5233</v>
      </c>
      <c r="J1609" s="2" t="str">
        <f t="shared" si="45"/>
        <v>https://www.facebook.com/100001917727420</v>
      </c>
      <c r="K1609">
        <v>32</v>
      </c>
      <c r="L1609" t="s">
        <v>6064</v>
      </c>
      <c r="N1609" t="s">
        <v>13</v>
      </c>
      <c r="O1609" t="s">
        <v>4471</v>
      </c>
      <c r="P1609" s="2" t="str">
        <f t="shared" si="46"/>
        <v>https://www.facebook.com/1529329267308888</v>
      </c>
      <c r="R1609" t="s">
        <v>6067</v>
      </c>
      <c r="S1609" t="s">
        <v>6073</v>
      </c>
    </row>
    <row r="1610" spans="1:19" ht="14.25" customHeight="1" x14ac:dyDescent="0.3">
      <c r="A1610" t="s">
        <v>4995</v>
      </c>
      <c r="B1610" t="s">
        <v>1557</v>
      </c>
      <c r="C1610" t="s">
        <v>3538</v>
      </c>
      <c r="D1610" t="s">
        <v>4468</v>
      </c>
      <c r="E1610" t="s">
        <v>5294</v>
      </c>
      <c r="F1610" t="s">
        <v>6059</v>
      </c>
      <c r="G1610" s="2" t="str">
        <f>HYPERLINK("https://www.facebook.com/1529329267308888/posts/2058827921025684?comment_id=2059155027659640")</f>
        <v>https://www.facebook.com/1529329267308888/posts/2058827921025684?comment_id=2059155027659640</v>
      </c>
      <c r="H1610" t="s">
        <v>6062</v>
      </c>
      <c r="I1610" t="s">
        <v>5233</v>
      </c>
      <c r="J1610" s="2" t="str">
        <f t="shared" si="45"/>
        <v>https://www.facebook.com/100001917727420</v>
      </c>
      <c r="K1610">
        <v>32</v>
      </c>
      <c r="L1610" t="s">
        <v>6064</v>
      </c>
      <c r="N1610" t="s">
        <v>13</v>
      </c>
      <c r="O1610" t="s">
        <v>4471</v>
      </c>
      <c r="P1610" s="2" t="str">
        <f t="shared" si="46"/>
        <v>https://www.facebook.com/1529329267308888</v>
      </c>
      <c r="R1610" t="s">
        <v>6067</v>
      </c>
      <c r="S1610" t="s">
        <v>6073</v>
      </c>
    </row>
    <row r="1611" spans="1:19" ht="14.25" customHeight="1" x14ac:dyDescent="0.3">
      <c r="A1611" t="s">
        <v>4995</v>
      </c>
      <c r="B1611" t="s">
        <v>5359</v>
      </c>
      <c r="C1611" t="s">
        <v>3538</v>
      </c>
      <c r="D1611" t="s">
        <v>4468</v>
      </c>
      <c r="E1611" t="s">
        <v>5360</v>
      </c>
      <c r="F1611" t="s">
        <v>6059</v>
      </c>
      <c r="G1611" s="2" t="str">
        <f>HYPERLINK("https://www.facebook.com/1529329267308888/posts/2058827921025684?comment_id=2059105507664592")</f>
        <v>https://www.facebook.com/1529329267308888/posts/2058827921025684?comment_id=2059105507664592</v>
      </c>
      <c r="H1611" t="s">
        <v>6062</v>
      </c>
      <c r="I1611" t="s">
        <v>5233</v>
      </c>
      <c r="J1611" s="2" t="str">
        <f t="shared" si="45"/>
        <v>https://www.facebook.com/100001917727420</v>
      </c>
      <c r="K1611">
        <v>32</v>
      </c>
      <c r="L1611" t="s">
        <v>6064</v>
      </c>
      <c r="N1611" t="s">
        <v>13</v>
      </c>
      <c r="O1611" t="s">
        <v>4471</v>
      </c>
      <c r="P1611" s="2" t="str">
        <f t="shared" si="46"/>
        <v>https://www.facebook.com/1529329267308888</v>
      </c>
      <c r="R1611" t="s">
        <v>6067</v>
      </c>
      <c r="S1611" t="s">
        <v>6073</v>
      </c>
    </row>
    <row r="1612" spans="1:19" ht="14.25" customHeight="1" x14ac:dyDescent="0.3">
      <c r="A1612" t="s">
        <v>4995</v>
      </c>
      <c r="B1612" t="s">
        <v>4227</v>
      </c>
      <c r="C1612" t="s">
        <v>3538</v>
      </c>
      <c r="D1612" t="s">
        <v>4468</v>
      </c>
      <c r="E1612" t="s">
        <v>5232</v>
      </c>
      <c r="F1612" t="s">
        <v>6059</v>
      </c>
      <c r="G1612" s="2" t="str">
        <f>HYPERLINK("https://www.facebook.com/1529329267308888/posts/2058827921025684?comment_id=2059186424323167")</f>
        <v>https://www.facebook.com/1529329267308888/posts/2058827921025684?comment_id=2059186424323167</v>
      </c>
      <c r="H1612" t="s">
        <v>6062</v>
      </c>
      <c r="I1612" t="s">
        <v>5233</v>
      </c>
      <c r="J1612" s="2" t="str">
        <f t="shared" si="45"/>
        <v>https://www.facebook.com/100001917727420</v>
      </c>
      <c r="K1612">
        <v>32</v>
      </c>
      <c r="L1612" t="s">
        <v>6064</v>
      </c>
      <c r="N1612" t="s">
        <v>13</v>
      </c>
      <c r="O1612" t="s">
        <v>4471</v>
      </c>
      <c r="P1612" s="2" t="str">
        <f t="shared" si="46"/>
        <v>https://www.facebook.com/1529329267308888</v>
      </c>
      <c r="R1612" t="s">
        <v>6067</v>
      </c>
      <c r="S1612" t="s">
        <v>6073</v>
      </c>
    </row>
    <row r="1613" spans="1:19" ht="14.25" customHeight="1" x14ac:dyDescent="0.3">
      <c r="A1613" t="s">
        <v>4439</v>
      </c>
      <c r="B1613" t="s">
        <v>4569</v>
      </c>
      <c r="C1613" t="s">
        <v>3538</v>
      </c>
      <c r="D1613" t="s">
        <v>508</v>
      </c>
      <c r="E1613" t="s">
        <v>509</v>
      </c>
      <c r="F1613" t="s">
        <v>6058</v>
      </c>
      <c r="G1613" s="2" t="str">
        <f>HYPERLINK("https://www.facebook.com/100006645105415/posts/2089447954620021")</f>
        <v>https://www.facebook.com/100006645105415/posts/2089447954620021</v>
      </c>
      <c r="H1613" t="s">
        <v>6062</v>
      </c>
      <c r="I1613" t="s">
        <v>4570</v>
      </c>
      <c r="J1613" s="2" t="str">
        <f>HYPERLINK("https://www.facebook.com/100006645105415")</f>
        <v>https://www.facebook.com/100006645105415</v>
      </c>
      <c r="K1613">
        <v>181</v>
      </c>
      <c r="L1613" t="s">
        <v>6064</v>
      </c>
      <c r="N1613" t="s">
        <v>13</v>
      </c>
      <c r="O1613" t="s">
        <v>4570</v>
      </c>
      <c r="P1613" s="2" t="str">
        <f>HYPERLINK("https://www.facebook.com/100006645105415")</f>
        <v>https://www.facebook.com/100006645105415</v>
      </c>
      <c r="Q1613">
        <v>181</v>
      </c>
      <c r="R1613" t="s">
        <v>6067</v>
      </c>
      <c r="S1613" t="s">
        <v>6073</v>
      </c>
    </row>
    <row r="1614" spans="1:19" ht="14.25" customHeight="1" x14ac:dyDescent="0.3">
      <c r="A1614" t="s">
        <v>4439</v>
      </c>
      <c r="B1614" t="s">
        <v>4576</v>
      </c>
      <c r="C1614" t="s">
        <v>3538</v>
      </c>
      <c r="D1614" t="s">
        <v>508</v>
      </c>
      <c r="E1614" t="s">
        <v>509</v>
      </c>
      <c r="F1614" t="s">
        <v>6058</v>
      </c>
      <c r="G1614" s="2" t="str">
        <f>HYPERLINK("https://www.facebook.com/100006645105415/posts/2089444041287079")</f>
        <v>https://www.facebook.com/100006645105415/posts/2089444041287079</v>
      </c>
      <c r="H1614" t="s">
        <v>6062</v>
      </c>
      <c r="I1614" t="s">
        <v>4570</v>
      </c>
      <c r="J1614" s="2" t="str">
        <f>HYPERLINK("https://www.facebook.com/100006645105415")</f>
        <v>https://www.facebook.com/100006645105415</v>
      </c>
      <c r="K1614">
        <v>181</v>
      </c>
      <c r="L1614" t="s">
        <v>6064</v>
      </c>
      <c r="N1614" t="s">
        <v>13</v>
      </c>
      <c r="O1614" t="s">
        <v>4570</v>
      </c>
      <c r="P1614" s="2" t="str">
        <f>HYPERLINK("https://www.facebook.com/100006645105415")</f>
        <v>https://www.facebook.com/100006645105415</v>
      </c>
      <c r="Q1614">
        <v>181</v>
      </c>
      <c r="R1614" t="s">
        <v>6067</v>
      </c>
      <c r="S1614" t="s">
        <v>6073</v>
      </c>
    </row>
    <row r="1615" spans="1:19" ht="14.25" customHeight="1" x14ac:dyDescent="0.3">
      <c r="A1615" t="s">
        <v>4439</v>
      </c>
      <c r="B1615" t="s">
        <v>3925</v>
      </c>
      <c r="C1615" t="s">
        <v>3538</v>
      </c>
      <c r="D1615" t="s">
        <v>508</v>
      </c>
      <c r="E1615" t="s">
        <v>509</v>
      </c>
      <c r="F1615" t="s">
        <v>6058</v>
      </c>
      <c r="G1615" s="2" t="str">
        <f>HYPERLINK("https://www.facebook.com/100006645105415/posts/2089442477953902")</f>
        <v>https://www.facebook.com/100006645105415/posts/2089442477953902</v>
      </c>
      <c r="H1615" t="s">
        <v>6062</v>
      </c>
      <c r="I1615" t="s">
        <v>4570</v>
      </c>
      <c r="J1615" s="2" t="str">
        <f>HYPERLINK("https://www.facebook.com/100006645105415")</f>
        <v>https://www.facebook.com/100006645105415</v>
      </c>
      <c r="K1615">
        <v>181</v>
      </c>
      <c r="L1615" t="s">
        <v>6064</v>
      </c>
      <c r="N1615" t="s">
        <v>13</v>
      </c>
      <c r="O1615" t="s">
        <v>4570</v>
      </c>
      <c r="P1615" s="2" t="str">
        <f>HYPERLINK("https://www.facebook.com/100006645105415")</f>
        <v>https://www.facebook.com/100006645105415</v>
      </c>
      <c r="Q1615">
        <v>181</v>
      </c>
      <c r="R1615" t="s">
        <v>6067</v>
      </c>
      <c r="S1615" t="s">
        <v>6073</v>
      </c>
    </row>
    <row r="1616" spans="1:19" ht="14.25" customHeight="1" x14ac:dyDescent="0.3">
      <c r="A1616" t="s">
        <v>2225</v>
      </c>
      <c r="B1616" t="s">
        <v>764</v>
      </c>
      <c r="C1616" t="s">
        <v>95</v>
      </c>
      <c r="D1616" t="s">
        <v>1056</v>
      </c>
      <c r="E1616" t="s">
        <v>2054</v>
      </c>
      <c r="F1616" t="s">
        <v>6058</v>
      </c>
      <c r="G1616" s="2" t="str">
        <f>HYPERLINK("https://www.facebook.com/100000149914181/posts/2125500604131583")</f>
        <v>https://www.facebook.com/100000149914181/posts/2125500604131583</v>
      </c>
      <c r="H1616" t="s">
        <v>6062</v>
      </c>
      <c r="I1616" t="s">
        <v>2870</v>
      </c>
      <c r="J1616" s="2" t="str">
        <f>HYPERLINK("https://www.facebook.com/100000149914181")</f>
        <v>https://www.facebook.com/100000149914181</v>
      </c>
      <c r="K1616">
        <v>922</v>
      </c>
      <c r="L1616" t="s">
        <v>6064</v>
      </c>
      <c r="N1616" t="s">
        <v>13</v>
      </c>
      <c r="O1616" t="s">
        <v>2870</v>
      </c>
      <c r="P1616" s="2" t="str">
        <f>HYPERLINK("https://www.facebook.com/100000149914181")</f>
        <v>https://www.facebook.com/100000149914181</v>
      </c>
      <c r="Q1616">
        <v>922</v>
      </c>
      <c r="R1616" t="s">
        <v>6067</v>
      </c>
      <c r="S1616" t="s">
        <v>6073</v>
      </c>
    </row>
    <row r="1617" spans="1:19" ht="14.25" customHeight="1" x14ac:dyDescent="0.3">
      <c r="A1617" t="s">
        <v>2225</v>
      </c>
      <c r="B1617" t="s">
        <v>2646</v>
      </c>
      <c r="C1617" t="s">
        <v>95</v>
      </c>
      <c r="D1617" t="s">
        <v>853</v>
      </c>
      <c r="E1617" t="s">
        <v>2648</v>
      </c>
      <c r="F1617" t="s">
        <v>6059</v>
      </c>
      <c r="G1617" s="2" t="str">
        <f>HYPERLINK("https://www.facebook.com/100008934274771/posts/1810262525948206?comment_id=1810282942612831")</f>
        <v>https://www.facebook.com/100008934274771/posts/1810262525948206?comment_id=1810282942612831</v>
      </c>
      <c r="H1617" t="s">
        <v>6062</v>
      </c>
      <c r="I1617" t="s">
        <v>2649</v>
      </c>
      <c r="J1617" s="2" t="str">
        <f>HYPERLINK("https://www.facebook.com/100000996295983")</f>
        <v>https://www.facebook.com/100000996295983</v>
      </c>
      <c r="K1617">
        <v>444</v>
      </c>
      <c r="L1617" t="s">
        <v>6064</v>
      </c>
      <c r="N1617" t="s">
        <v>13</v>
      </c>
      <c r="O1617" t="s">
        <v>856</v>
      </c>
      <c r="P1617" s="2" t="str">
        <f>HYPERLINK("https://www.facebook.com/100008934274771")</f>
        <v>https://www.facebook.com/100008934274771</v>
      </c>
      <c r="Q1617">
        <v>10395</v>
      </c>
      <c r="R1617" t="s">
        <v>6067</v>
      </c>
      <c r="S1617" t="s">
        <v>6073</v>
      </c>
    </row>
    <row r="1618" spans="1:19" ht="14.25" customHeight="1" x14ac:dyDescent="0.3">
      <c r="A1618" t="s">
        <v>2225</v>
      </c>
      <c r="B1618" t="s">
        <v>2836</v>
      </c>
      <c r="C1618" t="s">
        <v>95</v>
      </c>
      <c r="D1618" t="s">
        <v>853</v>
      </c>
      <c r="E1618" t="s">
        <v>2841</v>
      </c>
      <c r="F1618" t="s">
        <v>6059</v>
      </c>
      <c r="G1618" s="2" t="str">
        <f>HYPERLINK("https://www.facebook.com/100008934274771/posts/1810262525948206?comment_id=1810266602614465")</f>
        <v>https://www.facebook.com/100008934274771/posts/1810262525948206?comment_id=1810266602614465</v>
      </c>
      <c r="H1618" t="s">
        <v>6062</v>
      </c>
      <c r="I1618" t="s">
        <v>2649</v>
      </c>
      <c r="J1618" s="2" t="str">
        <f>HYPERLINK("https://www.facebook.com/100000996295983")</f>
        <v>https://www.facebook.com/100000996295983</v>
      </c>
      <c r="K1618">
        <v>444</v>
      </c>
      <c r="L1618" t="s">
        <v>6064</v>
      </c>
      <c r="N1618" t="s">
        <v>13</v>
      </c>
      <c r="O1618" t="s">
        <v>856</v>
      </c>
      <c r="P1618" s="2" t="str">
        <f>HYPERLINK("https://www.facebook.com/100008934274771")</f>
        <v>https://www.facebook.com/100008934274771</v>
      </c>
      <c r="Q1618">
        <v>10395</v>
      </c>
      <c r="R1618" t="s">
        <v>6067</v>
      </c>
      <c r="S1618" t="s">
        <v>6073</v>
      </c>
    </row>
    <row r="1619" spans="1:19" ht="14.25" customHeight="1" x14ac:dyDescent="0.3">
      <c r="A1619" t="s">
        <v>2225</v>
      </c>
      <c r="B1619" t="s">
        <v>2243</v>
      </c>
      <c r="C1619" t="s">
        <v>95</v>
      </c>
      <c r="D1619" t="s">
        <v>853</v>
      </c>
      <c r="E1619" t="s">
        <v>2244</v>
      </c>
      <c r="F1619" t="s">
        <v>6059</v>
      </c>
      <c r="G1619" s="2" t="str">
        <f>HYPERLINK("https://www.facebook.com/100008934274771/posts/1810262525948206?comment_id=1810324172608708")</f>
        <v>https://www.facebook.com/100008934274771/posts/1810262525948206?comment_id=1810324172608708</v>
      </c>
      <c r="H1619" t="s">
        <v>6062</v>
      </c>
      <c r="I1619" t="s">
        <v>2232</v>
      </c>
      <c r="J1619" s="2" t="str">
        <f>HYPERLINK("https://www.facebook.com/100017434448920")</f>
        <v>https://www.facebook.com/100017434448920</v>
      </c>
      <c r="K1619">
        <v>134</v>
      </c>
      <c r="L1619" t="s">
        <v>6064</v>
      </c>
      <c r="N1619" t="s">
        <v>13</v>
      </c>
      <c r="O1619" t="s">
        <v>856</v>
      </c>
      <c r="P1619" s="2" t="str">
        <f>HYPERLINK("https://www.facebook.com/100008934274771")</f>
        <v>https://www.facebook.com/100008934274771</v>
      </c>
      <c r="Q1619">
        <v>10395</v>
      </c>
      <c r="R1619" t="s">
        <v>6067</v>
      </c>
      <c r="S1619" t="s">
        <v>6073</v>
      </c>
    </row>
    <row r="1620" spans="1:19" ht="14.25" customHeight="1" x14ac:dyDescent="0.3">
      <c r="A1620" t="s">
        <v>2225</v>
      </c>
      <c r="B1620" t="s">
        <v>630</v>
      </c>
      <c r="C1620" t="s">
        <v>95</v>
      </c>
      <c r="D1620" t="s">
        <v>853</v>
      </c>
      <c r="E1620" t="s">
        <v>2231</v>
      </c>
      <c r="F1620" t="s">
        <v>6059</v>
      </c>
      <c r="G1620" s="2" t="str">
        <f>HYPERLINK("https://www.facebook.com/100008934274771/posts/1810262525948206?comment_id=1810326502608475")</f>
        <v>https://www.facebook.com/100008934274771/posts/1810262525948206?comment_id=1810326502608475</v>
      </c>
      <c r="H1620" t="s">
        <v>6062</v>
      </c>
      <c r="I1620" t="s">
        <v>2232</v>
      </c>
      <c r="J1620" s="2" t="str">
        <f>HYPERLINK("https://www.facebook.com/100017434448920")</f>
        <v>https://www.facebook.com/100017434448920</v>
      </c>
      <c r="K1620">
        <v>134</v>
      </c>
      <c r="L1620" t="s">
        <v>6064</v>
      </c>
      <c r="N1620" t="s">
        <v>13</v>
      </c>
      <c r="O1620" t="s">
        <v>856</v>
      </c>
      <c r="P1620" s="2" t="str">
        <f>HYPERLINK("https://www.facebook.com/100008934274771")</f>
        <v>https://www.facebook.com/100008934274771</v>
      </c>
      <c r="Q1620">
        <v>10395</v>
      </c>
      <c r="R1620" t="s">
        <v>6067</v>
      </c>
      <c r="S1620" t="s">
        <v>6073</v>
      </c>
    </row>
    <row r="1621" spans="1:19" ht="14.25" customHeight="1" x14ac:dyDescent="0.3">
      <c r="A1621" t="s">
        <v>629</v>
      </c>
      <c r="B1621" t="s">
        <v>619</v>
      </c>
      <c r="C1621" t="s">
        <v>95</v>
      </c>
      <c r="D1621" t="s">
        <v>544</v>
      </c>
      <c r="E1621" t="s">
        <v>2202</v>
      </c>
      <c r="F1621" t="s">
        <v>6059</v>
      </c>
      <c r="G1621" s="2" t="str">
        <f>HYPERLINK("https://www.facebook.com/100007298550248/posts/2014497642136835?comment_id=2014568875463045")</f>
        <v>https://www.facebook.com/100007298550248/posts/2014497642136835?comment_id=2014568875463045</v>
      </c>
      <c r="H1621" t="s">
        <v>6062</v>
      </c>
      <c r="I1621" t="s">
        <v>2203</v>
      </c>
      <c r="J1621" s="2" t="str">
        <f>HYPERLINK("https://www.facebook.com/100002089835000")</f>
        <v>https://www.facebook.com/100002089835000</v>
      </c>
      <c r="K1621">
        <v>1616</v>
      </c>
      <c r="L1621" t="s">
        <v>6064</v>
      </c>
      <c r="N1621" t="s">
        <v>13</v>
      </c>
      <c r="O1621" t="s">
        <v>765</v>
      </c>
      <c r="P1621" s="2" t="str">
        <f>HYPERLINK("https://www.facebook.com/100007298550248")</f>
        <v>https://www.facebook.com/100007298550248</v>
      </c>
      <c r="Q1621">
        <v>4993</v>
      </c>
      <c r="R1621" t="s">
        <v>6067</v>
      </c>
      <c r="S1621" t="s">
        <v>6073</v>
      </c>
    </row>
    <row r="1622" spans="1:19" ht="14.25" customHeight="1" x14ac:dyDescent="0.3">
      <c r="A1622" t="s">
        <v>629</v>
      </c>
      <c r="B1622" t="s">
        <v>750</v>
      </c>
      <c r="C1622" t="s">
        <v>95</v>
      </c>
      <c r="D1622" t="s">
        <v>753</v>
      </c>
      <c r="E1622" t="s">
        <v>754</v>
      </c>
      <c r="F1622" t="s">
        <v>6056</v>
      </c>
      <c r="G1622" s="2" t="str">
        <f>HYPERLINK("https://www.facebook.com/100004956588281/posts/1010874282421115")</f>
        <v>https://www.facebook.com/100004956588281/posts/1010874282421115</v>
      </c>
      <c r="H1622" t="s">
        <v>6062</v>
      </c>
      <c r="I1622" t="s">
        <v>755</v>
      </c>
      <c r="J1622" s="2" t="str">
        <f>HYPERLINK("https://www.facebook.com/100004956588281")</f>
        <v>https://www.facebook.com/100004956588281</v>
      </c>
      <c r="K1622">
        <v>257</v>
      </c>
      <c r="L1622" t="s">
        <v>6064</v>
      </c>
      <c r="N1622" t="s">
        <v>13</v>
      </c>
      <c r="O1622" t="s">
        <v>755</v>
      </c>
      <c r="P1622" s="2" t="str">
        <f>HYPERLINK("https://www.facebook.com/100004956588281")</f>
        <v>https://www.facebook.com/100004956588281</v>
      </c>
      <c r="Q1622">
        <v>257</v>
      </c>
      <c r="R1622" t="s">
        <v>6067</v>
      </c>
      <c r="S1622" t="s">
        <v>6091</v>
      </c>
    </row>
    <row r="1623" spans="1:19" ht="14.25" customHeight="1" x14ac:dyDescent="0.3">
      <c r="A1623" t="s">
        <v>629</v>
      </c>
      <c r="B1623" t="s">
        <v>1810</v>
      </c>
      <c r="C1623" t="s">
        <v>95</v>
      </c>
      <c r="D1623" t="s">
        <v>370</v>
      </c>
      <c r="E1623" t="s">
        <v>371</v>
      </c>
      <c r="F1623" t="s">
        <v>6058</v>
      </c>
      <c r="G1623" s="2" t="str">
        <f>HYPERLINK("https://www.facebook.com/100009722767702/posts/608966889437398")</f>
        <v>https://www.facebook.com/100009722767702/posts/608966889437398</v>
      </c>
      <c r="H1623" t="s">
        <v>6062</v>
      </c>
      <c r="I1623" t="s">
        <v>1812</v>
      </c>
      <c r="J1623" s="2" t="str">
        <f>HYPERLINK("https://www.facebook.com/100009722767702")</f>
        <v>https://www.facebook.com/100009722767702</v>
      </c>
      <c r="K1623">
        <v>0</v>
      </c>
      <c r="L1623" t="s">
        <v>6064</v>
      </c>
      <c r="N1623" t="s">
        <v>13</v>
      </c>
      <c r="O1623" t="s">
        <v>1812</v>
      </c>
      <c r="P1623" s="2" t="str">
        <f>HYPERLINK("https://www.facebook.com/100009722767702")</f>
        <v>https://www.facebook.com/100009722767702</v>
      </c>
      <c r="Q1623">
        <v>0</v>
      </c>
      <c r="R1623" t="s">
        <v>6067</v>
      </c>
      <c r="S1623" t="s">
        <v>6073</v>
      </c>
    </row>
    <row r="1624" spans="1:19" ht="14.25" customHeight="1" x14ac:dyDescent="0.3">
      <c r="A1624" t="s">
        <v>2225</v>
      </c>
      <c r="B1624" t="s">
        <v>2785</v>
      </c>
      <c r="C1624" t="s">
        <v>95</v>
      </c>
      <c r="D1624" t="s">
        <v>544</v>
      </c>
      <c r="E1624" t="s">
        <v>545</v>
      </c>
      <c r="F1624" t="s">
        <v>6058</v>
      </c>
      <c r="G1624" s="2" t="str">
        <f>HYPERLINK("https://www.facebook.com/100021378493333/posts/188947551827860")</f>
        <v>https://www.facebook.com/100021378493333/posts/188947551827860</v>
      </c>
      <c r="H1624" t="s">
        <v>6062</v>
      </c>
      <c r="I1624" t="s">
        <v>1822</v>
      </c>
      <c r="J1624" s="2" t="str">
        <f>HYPERLINK("https://www.facebook.com/100021378493333")</f>
        <v>https://www.facebook.com/100021378493333</v>
      </c>
      <c r="K1624">
        <v>186</v>
      </c>
      <c r="L1624" t="s">
        <v>6064</v>
      </c>
      <c r="N1624" t="s">
        <v>13</v>
      </c>
      <c r="O1624" t="s">
        <v>1822</v>
      </c>
      <c r="P1624" s="2" t="str">
        <f>HYPERLINK("https://www.facebook.com/100021378493333")</f>
        <v>https://www.facebook.com/100021378493333</v>
      </c>
      <c r="Q1624">
        <v>186</v>
      </c>
      <c r="R1624" t="s">
        <v>6067</v>
      </c>
      <c r="S1624" t="s">
        <v>6073</v>
      </c>
    </row>
    <row r="1625" spans="1:19" ht="14.25" customHeight="1" x14ac:dyDescent="0.3">
      <c r="A1625" t="s">
        <v>629</v>
      </c>
      <c r="B1625" t="s">
        <v>422</v>
      </c>
      <c r="C1625" t="s">
        <v>95</v>
      </c>
      <c r="D1625" t="s">
        <v>370</v>
      </c>
      <c r="E1625" t="s">
        <v>371</v>
      </c>
      <c r="F1625" t="s">
        <v>6058</v>
      </c>
      <c r="G1625" s="2" t="str">
        <f>HYPERLINK("https://www.facebook.com/100021378493333/posts/189071448482137")</f>
        <v>https://www.facebook.com/100021378493333/posts/189071448482137</v>
      </c>
      <c r="H1625" t="s">
        <v>6062</v>
      </c>
      <c r="I1625" t="s">
        <v>1822</v>
      </c>
      <c r="J1625" s="2" t="str">
        <f>HYPERLINK("https://www.facebook.com/100021378493333")</f>
        <v>https://www.facebook.com/100021378493333</v>
      </c>
      <c r="K1625">
        <v>186</v>
      </c>
      <c r="L1625" t="s">
        <v>6064</v>
      </c>
      <c r="N1625" t="s">
        <v>13</v>
      </c>
      <c r="O1625" t="s">
        <v>1822</v>
      </c>
      <c r="P1625" s="2" t="str">
        <f>HYPERLINK("https://www.facebook.com/100021378493333")</f>
        <v>https://www.facebook.com/100021378493333</v>
      </c>
      <c r="Q1625">
        <v>186</v>
      </c>
      <c r="R1625" t="s">
        <v>6067</v>
      </c>
      <c r="S1625" t="s">
        <v>6073</v>
      </c>
    </row>
    <row r="1626" spans="1:19" ht="14.25" customHeight="1" x14ac:dyDescent="0.3">
      <c r="A1626" t="s">
        <v>2225</v>
      </c>
      <c r="B1626" t="s">
        <v>2916</v>
      </c>
      <c r="C1626" t="s">
        <v>95</v>
      </c>
      <c r="D1626" t="s">
        <v>1131</v>
      </c>
      <c r="E1626" t="s">
        <v>1132</v>
      </c>
      <c r="F1626" t="s">
        <v>6058</v>
      </c>
      <c r="G1626" s="2" t="str">
        <f>HYPERLINK("https://www.facebook.com/100005298129415/posts/937698133083449")</f>
        <v>https://www.facebook.com/100005298129415/posts/937698133083449</v>
      </c>
      <c r="H1626" t="s">
        <v>6062</v>
      </c>
      <c r="I1626" t="s">
        <v>2917</v>
      </c>
      <c r="J1626" s="2" t="str">
        <f>HYPERLINK("https://www.facebook.com/100005298129415")</f>
        <v>https://www.facebook.com/100005298129415</v>
      </c>
      <c r="K1626">
        <v>120</v>
      </c>
      <c r="L1626" t="s">
        <v>6064</v>
      </c>
      <c r="N1626" t="s">
        <v>13</v>
      </c>
      <c r="O1626" t="s">
        <v>2917</v>
      </c>
      <c r="P1626" s="2" t="str">
        <f>HYPERLINK("https://www.facebook.com/100005298129415")</f>
        <v>https://www.facebook.com/100005298129415</v>
      </c>
      <c r="Q1626">
        <v>120</v>
      </c>
      <c r="R1626" t="s">
        <v>6067</v>
      </c>
      <c r="S1626" t="s">
        <v>6073</v>
      </c>
    </row>
    <row r="1627" spans="1:19" ht="14.25" customHeight="1" x14ac:dyDescent="0.3">
      <c r="A1627" t="s">
        <v>3527</v>
      </c>
      <c r="B1627" t="s">
        <v>1684</v>
      </c>
      <c r="C1627" t="s">
        <v>3538</v>
      </c>
      <c r="D1627" t="s">
        <v>3315</v>
      </c>
      <c r="E1627" t="s">
        <v>4306</v>
      </c>
      <c r="F1627" t="s">
        <v>6056</v>
      </c>
      <c r="G1627" s="2" t="str">
        <f>HYPERLINK("https://www.facebook.com/100009578475197/posts/1953015918361005")</f>
        <v>https://www.facebook.com/100009578475197/posts/1953015918361005</v>
      </c>
      <c r="H1627" t="s">
        <v>6062</v>
      </c>
      <c r="I1627" t="s">
        <v>3317</v>
      </c>
      <c r="J1627" s="2" t="str">
        <f>HYPERLINK("https://www.facebook.com/100009578475197")</f>
        <v>https://www.facebook.com/100009578475197</v>
      </c>
      <c r="K1627">
        <v>254</v>
      </c>
      <c r="L1627" t="s">
        <v>6064</v>
      </c>
      <c r="N1627" t="s">
        <v>13</v>
      </c>
      <c r="O1627" t="s">
        <v>3317</v>
      </c>
      <c r="P1627" s="2" t="str">
        <f>HYPERLINK("https://www.facebook.com/100009578475197")</f>
        <v>https://www.facebook.com/100009578475197</v>
      </c>
      <c r="Q1627">
        <v>254</v>
      </c>
      <c r="R1627" t="s">
        <v>6067</v>
      </c>
      <c r="S1627" t="s">
        <v>6073</v>
      </c>
    </row>
    <row r="1628" spans="1:19" ht="14.25" customHeight="1" x14ac:dyDescent="0.3">
      <c r="A1628" t="s">
        <v>4995</v>
      </c>
      <c r="B1628" t="s">
        <v>1862</v>
      </c>
      <c r="C1628" t="s">
        <v>3538</v>
      </c>
      <c r="D1628" t="s">
        <v>5333</v>
      </c>
      <c r="E1628" t="s">
        <v>5334</v>
      </c>
      <c r="F1628" t="s">
        <v>6059</v>
      </c>
      <c r="G1628" s="2" t="str">
        <f>HYPERLINK("https://www.facebook.com/100009578475197/posts/1951863175142946?comment_id=1951897565139507")</f>
        <v>https://www.facebook.com/100009578475197/posts/1951863175142946?comment_id=1951897565139507</v>
      </c>
      <c r="H1628" t="s">
        <v>6062</v>
      </c>
      <c r="I1628" t="s">
        <v>3317</v>
      </c>
      <c r="J1628" s="2" t="str">
        <f>HYPERLINK("https://www.facebook.com/100009578475197")</f>
        <v>https://www.facebook.com/100009578475197</v>
      </c>
      <c r="K1628">
        <v>254</v>
      </c>
      <c r="L1628" t="s">
        <v>6064</v>
      </c>
      <c r="N1628" t="s">
        <v>13</v>
      </c>
      <c r="O1628" t="s">
        <v>3317</v>
      </c>
      <c r="P1628" s="2" t="str">
        <f>HYPERLINK("https://www.facebook.com/100009578475197")</f>
        <v>https://www.facebook.com/100009578475197</v>
      </c>
      <c r="Q1628">
        <v>254</v>
      </c>
      <c r="R1628" t="s">
        <v>6067</v>
      </c>
      <c r="S1628" t="s">
        <v>6073</v>
      </c>
    </row>
    <row r="1629" spans="1:19" ht="14.25" customHeight="1" x14ac:dyDescent="0.3">
      <c r="A1629" t="s">
        <v>2225</v>
      </c>
      <c r="B1629" t="s">
        <v>171</v>
      </c>
      <c r="C1629" t="s">
        <v>95</v>
      </c>
      <c r="D1629" t="s">
        <v>3315</v>
      </c>
      <c r="E1629" t="s">
        <v>3316</v>
      </c>
      <c r="F1629" t="s">
        <v>6059</v>
      </c>
      <c r="G1629" s="2" t="str">
        <f>HYPERLINK("https://www.facebook.com/100009578475197/posts/1953015918361005?comment_id=1953609908301606")</f>
        <v>https://www.facebook.com/100009578475197/posts/1953015918361005?comment_id=1953609908301606</v>
      </c>
      <c r="H1629" t="s">
        <v>6062</v>
      </c>
      <c r="I1629" t="s">
        <v>3317</v>
      </c>
      <c r="J1629" s="2" t="str">
        <f>HYPERLINK("https://www.facebook.com/100009578475197")</f>
        <v>https://www.facebook.com/100009578475197</v>
      </c>
      <c r="K1629">
        <v>254</v>
      </c>
      <c r="L1629" t="s">
        <v>6064</v>
      </c>
      <c r="N1629" t="s">
        <v>13</v>
      </c>
      <c r="O1629" t="s">
        <v>3317</v>
      </c>
      <c r="P1629" s="2" t="str">
        <f>HYPERLINK("https://www.facebook.com/100009578475197")</f>
        <v>https://www.facebook.com/100009578475197</v>
      </c>
      <c r="Q1629">
        <v>254</v>
      </c>
      <c r="R1629" t="s">
        <v>6067</v>
      </c>
      <c r="S1629" t="s">
        <v>6073</v>
      </c>
    </row>
    <row r="1630" spans="1:19" ht="14.25" customHeight="1" x14ac:dyDescent="0.3">
      <c r="A1630" t="s">
        <v>629</v>
      </c>
      <c r="B1630" t="s">
        <v>1246</v>
      </c>
      <c r="C1630" t="s">
        <v>95</v>
      </c>
      <c r="D1630" t="s">
        <v>10</v>
      </c>
      <c r="E1630" t="s">
        <v>1249</v>
      </c>
      <c r="F1630" t="s">
        <v>6059</v>
      </c>
      <c r="G1630" s="2" t="str">
        <f>HYPERLINK("https://www.facebook.com/762053551/posts/10156366210158552?comment_id=10156366234338552")</f>
        <v>https://www.facebook.com/762053551/posts/10156366210158552?comment_id=10156366234338552</v>
      </c>
      <c r="H1630" t="s">
        <v>6062</v>
      </c>
      <c r="I1630" t="s">
        <v>1250</v>
      </c>
      <c r="J1630" s="2" t="str">
        <f>HYPERLINK("https://www.facebook.com/100004661257944")</f>
        <v>https://www.facebook.com/100004661257944</v>
      </c>
      <c r="K1630">
        <v>4828</v>
      </c>
      <c r="L1630" t="s">
        <v>6064</v>
      </c>
      <c r="N1630" t="s">
        <v>13</v>
      </c>
      <c r="O1630" t="s">
        <v>14</v>
      </c>
      <c r="P1630" s="2" t="str">
        <f>HYPERLINK("https://www.facebook.com/762053551")</f>
        <v>https://www.facebook.com/762053551</v>
      </c>
      <c r="Q1630">
        <v>102347</v>
      </c>
      <c r="R1630" t="s">
        <v>6067</v>
      </c>
      <c r="S1630" t="s">
        <v>6073</v>
      </c>
    </row>
    <row r="1631" spans="1:19" ht="14.25" customHeight="1" x14ac:dyDescent="0.3">
      <c r="A1631" t="s">
        <v>629</v>
      </c>
      <c r="B1631" t="s">
        <v>1995</v>
      </c>
      <c r="C1631" t="s">
        <v>95</v>
      </c>
      <c r="D1631" t="s">
        <v>370</v>
      </c>
      <c r="E1631" t="s">
        <v>371</v>
      </c>
      <c r="F1631" t="s">
        <v>6058</v>
      </c>
      <c r="G1631" s="2" t="str">
        <f>HYPERLINK("https://www.facebook.com/100002110898546/posts/1659431564137191")</f>
        <v>https://www.facebook.com/100002110898546/posts/1659431564137191</v>
      </c>
      <c r="H1631" t="s">
        <v>6062</v>
      </c>
      <c r="I1631" t="s">
        <v>1996</v>
      </c>
      <c r="J1631" s="2" t="str">
        <f>HYPERLINK("https://www.facebook.com/100002110898546")</f>
        <v>https://www.facebook.com/100002110898546</v>
      </c>
      <c r="K1631">
        <v>0</v>
      </c>
      <c r="L1631" t="s">
        <v>6064</v>
      </c>
      <c r="N1631" t="s">
        <v>13</v>
      </c>
      <c r="O1631" t="s">
        <v>1996</v>
      </c>
      <c r="P1631" s="2" t="str">
        <f>HYPERLINK("https://www.facebook.com/100002110898546")</f>
        <v>https://www.facebook.com/100002110898546</v>
      </c>
      <c r="Q1631">
        <v>0</v>
      </c>
      <c r="R1631" t="s">
        <v>6067</v>
      </c>
    </row>
    <row r="1632" spans="1:19" ht="14.25" customHeight="1" x14ac:dyDescent="0.3">
      <c r="A1632" t="s">
        <v>5409</v>
      </c>
      <c r="B1632" t="s">
        <v>1772</v>
      </c>
      <c r="C1632" t="s">
        <v>3538</v>
      </c>
      <c r="D1632" t="s">
        <v>4943</v>
      </c>
      <c r="E1632" t="s">
        <v>5879</v>
      </c>
      <c r="F1632" t="s">
        <v>6059</v>
      </c>
      <c r="G1632" s="2" t="str">
        <f>HYPERLINK("https://www.facebook.com/1181011217/posts/10215757430106998?comment_id=10215760178455705")</f>
        <v>https://www.facebook.com/1181011217/posts/10215757430106998?comment_id=10215760178455705</v>
      </c>
      <c r="H1632" t="s">
        <v>6062</v>
      </c>
      <c r="I1632" t="s">
        <v>5880</v>
      </c>
      <c r="J1632" s="2" t="str">
        <f>HYPERLINK("https://www.facebook.com/100002044242219")</f>
        <v>https://www.facebook.com/100002044242219</v>
      </c>
      <c r="K1632">
        <v>128</v>
      </c>
      <c r="L1632" t="s">
        <v>6064</v>
      </c>
      <c r="N1632" t="s">
        <v>13</v>
      </c>
      <c r="O1632" t="s">
        <v>4945</v>
      </c>
      <c r="P1632" s="2" t="str">
        <f>HYPERLINK("https://www.facebook.com/1181011217")</f>
        <v>https://www.facebook.com/1181011217</v>
      </c>
      <c r="Q1632">
        <v>0</v>
      </c>
      <c r="R1632" t="s">
        <v>6067</v>
      </c>
      <c r="S1632" t="s">
        <v>6073</v>
      </c>
    </row>
    <row r="1633" spans="1:19" ht="14.25" customHeight="1" x14ac:dyDescent="0.3">
      <c r="A1633" t="s">
        <v>2225</v>
      </c>
      <c r="B1633" t="s">
        <v>2896</v>
      </c>
      <c r="C1633" t="s">
        <v>95</v>
      </c>
      <c r="D1633" t="s">
        <v>544</v>
      </c>
      <c r="E1633" t="s">
        <v>545</v>
      </c>
      <c r="F1633" t="s">
        <v>6058</v>
      </c>
      <c r="G1633" s="2" t="str">
        <f>HYPERLINK("https://www.facebook.com/100022029678898/posts/227199751357679")</f>
        <v>https://www.facebook.com/100022029678898/posts/227199751357679</v>
      </c>
      <c r="H1633" t="s">
        <v>6062</v>
      </c>
      <c r="I1633" t="s">
        <v>1825</v>
      </c>
      <c r="J1633" s="2" t="str">
        <f>HYPERLINK("https://www.facebook.com/100022029678898")</f>
        <v>https://www.facebook.com/100022029678898</v>
      </c>
      <c r="K1633">
        <v>451</v>
      </c>
      <c r="L1633" t="s">
        <v>6064</v>
      </c>
      <c r="N1633" t="s">
        <v>13</v>
      </c>
      <c r="O1633" t="s">
        <v>1825</v>
      </c>
      <c r="P1633" s="2" t="str">
        <f>HYPERLINK("https://www.facebook.com/100022029678898")</f>
        <v>https://www.facebook.com/100022029678898</v>
      </c>
      <c r="Q1633">
        <v>451</v>
      </c>
      <c r="R1633" t="s">
        <v>6067</v>
      </c>
      <c r="S1633" t="s">
        <v>6073</v>
      </c>
    </row>
    <row r="1634" spans="1:19" ht="14.25" customHeight="1" x14ac:dyDescent="0.3">
      <c r="A1634" t="s">
        <v>629</v>
      </c>
      <c r="B1634" t="s">
        <v>1823</v>
      </c>
      <c r="C1634" t="s">
        <v>95</v>
      </c>
      <c r="D1634" t="s">
        <v>370</v>
      </c>
      <c r="E1634" t="s">
        <v>371</v>
      </c>
      <c r="F1634" t="s">
        <v>6058</v>
      </c>
      <c r="G1634" s="2" t="str">
        <f>HYPERLINK("https://www.facebook.com/100022029678898/posts/227396214671366")</f>
        <v>https://www.facebook.com/100022029678898/posts/227396214671366</v>
      </c>
      <c r="H1634" t="s">
        <v>6062</v>
      </c>
      <c r="I1634" t="s">
        <v>1825</v>
      </c>
      <c r="J1634" s="2" t="str">
        <f>HYPERLINK("https://www.facebook.com/100022029678898")</f>
        <v>https://www.facebook.com/100022029678898</v>
      </c>
      <c r="K1634">
        <v>451</v>
      </c>
      <c r="L1634" t="s">
        <v>6064</v>
      </c>
      <c r="N1634" t="s">
        <v>13</v>
      </c>
      <c r="O1634" t="s">
        <v>1825</v>
      </c>
      <c r="P1634" s="2" t="str">
        <f>HYPERLINK("https://www.facebook.com/100022029678898")</f>
        <v>https://www.facebook.com/100022029678898</v>
      </c>
      <c r="Q1634">
        <v>451</v>
      </c>
      <c r="R1634" t="s">
        <v>6067</v>
      </c>
      <c r="S1634" t="s">
        <v>6073</v>
      </c>
    </row>
    <row r="1635" spans="1:19" ht="14.25" customHeight="1" x14ac:dyDescent="0.3">
      <c r="A1635" t="s">
        <v>2225</v>
      </c>
      <c r="B1635" t="s">
        <v>3132</v>
      </c>
      <c r="C1635" t="s">
        <v>95</v>
      </c>
      <c r="D1635" t="s">
        <v>3138</v>
      </c>
      <c r="E1635" t="s">
        <v>3139</v>
      </c>
      <c r="F1635" t="s">
        <v>6056</v>
      </c>
      <c r="G1635" s="2" t="str">
        <f>HYPERLINK("https://www.facebook.com/200110426837786/posts/914552968726858")</f>
        <v>https://www.facebook.com/200110426837786/posts/914552968726858</v>
      </c>
      <c r="H1635" t="s">
        <v>6062</v>
      </c>
      <c r="I1635" t="s">
        <v>671</v>
      </c>
      <c r="J1635" s="2" t="str">
        <f>HYPERLINK("https://www.facebook.com/100001868368803")</f>
        <v>https://www.facebook.com/100001868368803</v>
      </c>
      <c r="K1635">
        <v>2269</v>
      </c>
      <c r="L1635" t="s">
        <v>6064</v>
      </c>
      <c r="N1635" t="s">
        <v>13</v>
      </c>
      <c r="O1635" t="s">
        <v>3140</v>
      </c>
      <c r="P1635" s="2" t="str">
        <f>HYPERLINK("https://www.facebook.com/200110426837786")</f>
        <v>https://www.facebook.com/200110426837786</v>
      </c>
      <c r="R1635" t="s">
        <v>6067</v>
      </c>
      <c r="S1635" t="s">
        <v>6073</v>
      </c>
    </row>
    <row r="1636" spans="1:19" ht="14.25" customHeight="1" x14ac:dyDescent="0.3">
      <c r="A1636" t="s">
        <v>5409</v>
      </c>
      <c r="B1636" t="s">
        <v>1785</v>
      </c>
      <c r="C1636" t="s">
        <v>3538</v>
      </c>
      <c r="D1636" t="s">
        <v>4318</v>
      </c>
      <c r="E1636" t="s">
        <v>5429</v>
      </c>
      <c r="F1636" t="s">
        <v>6058</v>
      </c>
      <c r="G1636" s="2" t="str">
        <f>HYPERLINK("https://www.facebook.com/100001868368803/posts/1923590644379862")</f>
        <v>https://www.facebook.com/100001868368803/posts/1923590644379862</v>
      </c>
      <c r="H1636" t="s">
        <v>6062</v>
      </c>
      <c r="I1636" t="s">
        <v>671</v>
      </c>
      <c r="J1636" s="2" t="str">
        <f>HYPERLINK("https://www.facebook.com/100001868368803")</f>
        <v>https://www.facebook.com/100001868368803</v>
      </c>
      <c r="K1636">
        <v>2269</v>
      </c>
      <c r="L1636" t="s">
        <v>6064</v>
      </c>
      <c r="N1636" t="s">
        <v>13</v>
      </c>
      <c r="O1636" t="s">
        <v>671</v>
      </c>
      <c r="P1636" s="2" t="str">
        <f>HYPERLINK("https://www.facebook.com/100001868368803")</f>
        <v>https://www.facebook.com/100001868368803</v>
      </c>
      <c r="Q1636">
        <v>2269</v>
      </c>
      <c r="R1636" t="s">
        <v>6067</v>
      </c>
      <c r="S1636" t="s">
        <v>6073</v>
      </c>
    </row>
    <row r="1637" spans="1:19" ht="14.25" customHeight="1" x14ac:dyDescent="0.3">
      <c r="A1637" t="s">
        <v>4995</v>
      </c>
      <c r="B1637" t="s">
        <v>3245</v>
      </c>
      <c r="C1637" t="s">
        <v>3538</v>
      </c>
      <c r="D1637" t="s">
        <v>5029</v>
      </c>
      <c r="E1637" t="s">
        <v>5220</v>
      </c>
      <c r="F1637" t="s">
        <v>6059</v>
      </c>
      <c r="G1637" s="2" t="str">
        <f>HYPERLINK("https://www.facebook.com/100001868368803/posts/1919571121448481?comment_id=1925104224228504")</f>
        <v>https://www.facebook.com/100001868368803/posts/1919571121448481?comment_id=1925104224228504</v>
      </c>
      <c r="H1637" t="s">
        <v>6062</v>
      </c>
      <c r="I1637" t="s">
        <v>671</v>
      </c>
      <c r="J1637" s="2" t="str">
        <f>HYPERLINK("https://www.facebook.com/100001868368803")</f>
        <v>https://www.facebook.com/100001868368803</v>
      </c>
      <c r="K1637">
        <v>2269</v>
      </c>
      <c r="L1637" t="s">
        <v>6064</v>
      </c>
      <c r="N1637" t="s">
        <v>13</v>
      </c>
      <c r="O1637" t="s">
        <v>671</v>
      </c>
      <c r="P1637" s="2" t="str">
        <f>HYPERLINK("https://www.facebook.com/100001868368803")</f>
        <v>https://www.facebook.com/100001868368803</v>
      </c>
      <c r="Q1637">
        <v>2269</v>
      </c>
      <c r="R1637" t="s">
        <v>6067</v>
      </c>
      <c r="S1637" t="s">
        <v>6073</v>
      </c>
    </row>
    <row r="1638" spans="1:19" ht="14.25" customHeight="1" x14ac:dyDescent="0.3">
      <c r="A1638" t="s">
        <v>4995</v>
      </c>
      <c r="B1638" t="s">
        <v>3247</v>
      </c>
      <c r="C1638" t="s">
        <v>3538</v>
      </c>
      <c r="D1638" t="s">
        <v>5029</v>
      </c>
      <c r="E1638" t="s">
        <v>5221</v>
      </c>
      <c r="F1638" t="s">
        <v>6059</v>
      </c>
      <c r="G1638" s="2" t="str">
        <f>HYPERLINK("https://www.facebook.com/100001868368803/posts/1919571121448481?comment_id=1925103270895266")</f>
        <v>https://www.facebook.com/100001868368803/posts/1919571121448481?comment_id=1925103270895266</v>
      </c>
      <c r="H1638" t="s">
        <v>6062</v>
      </c>
      <c r="I1638" t="s">
        <v>671</v>
      </c>
      <c r="J1638" s="2" t="str">
        <f>HYPERLINK("https://www.facebook.com/100001868368803")</f>
        <v>https://www.facebook.com/100001868368803</v>
      </c>
      <c r="K1638">
        <v>2269</v>
      </c>
      <c r="L1638" t="s">
        <v>6064</v>
      </c>
      <c r="N1638" t="s">
        <v>13</v>
      </c>
      <c r="O1638" t="s">
        <v>671</v>
      </c>
      <c r="P1638" s="2" t="str">
        <f>HYPERLINK("https://www.facebook.com/100001868368803")</f>
        <v>https://www.facebook.com/100001868368803</v>
      </c>
      <c r="Q1638">
        <v>2269</v>
      </c>
      <c r="R1638" t="s">
        <v>6067</v>
      </c>
      <c r="S1638" t="s">
        <v>6073</v>
      </c>
    </row>
    <row r="1639" spans="1:19" ht="14.25" customHeight="1" x14ac:dyDescent="0.3">
      <c r="A1639" t="s">
        <v>629</v>
      </c>
      <c r="B1639" t="s">
        <v>670</v>
      </c>
      <c r="C1639" t="s">
        <v>95</v>
      </c>
      <c r="D1639" t="s">
        <v>522</v>
      </c>
      <c r="E1639" t="s">
        <v>523</v>
      </c>
      <c r="F1639" t="s">
        <v>6058</v>
      </c>
      <c r="G1639" s="2" t="str">
        <f>HYPERLINK("https://www.facebook.com/100001868368803/posts/1931068533632073")</f>
        <v>https://www.facebook.com/100001868368803/posts/1931068533632073</v>
      </c>
      <c r="H1639" t="s">
        <v>6062</v>
      </c>
      <c r="I1639" t="s">
        <v>671</v>
      </c>
      <c r="J1639" s="2" t="str">
        <f>HYPERLINK("https://www.facebook.com/100001868368803")</f>
        <v>https://www.facebook.com/100001868368803</v>
      </c>
      <c r="K1639">
        <v>2269</v>
      </c>
      <c r="L1639" t="s">
        <v>6064</v>
      </c>
      <c r="N1639" t="s">
        <v>13</v>
      </c>
      <c r="O1639" t="s">
        <v>671</v>
      </c>
      <c r="P1639" s="2" t="str">
        <f>HYPERLINK("https://www.facebook.com/100001868368803")</f>
        <v>https://www.facebook.com/100001868368803</v>
      </c>
      <c r="Q1639">
        <v>2269</v>
      </c>
      <c r="R1639" t="s">
        <v>6067</v>
      </c>
      <c r="S1639" t="s">
        <v>6073</v>
      </c>
    </row>
    <row r="1640" spans="1:19" ht="14.25" customHeight="1" x14ac:dyDescent="0.3">
      <c r="A1640" t="s">
        <v>2225</v>
      </c>
      <c r="B1640" t="s">
        <v>1527</v>
      </c>
      <c r="C1640" t="s">
        <v>95</v>
      </c>
      <c r="D1640" t="s">
        <v>1099</v>
      </c>
      <c r="E1640" t="s">
        <v>3373</v>
      </c>
      <c r="F1640" t="s">
        <v>6059</v>
      </c>
      <c r="G1640" s="2" t="str">
        <f>HYPERLINK("https://www.facebook.com/100002489064006/posts/1666923993400553?comment_id=1666981033394849")</f>
        <v>https://www.facebook.com/100002489064006/posts/1666923993400553?comment_id=1666981033394849</v>
      </c>
      <c r="H1640" t="s">
        <v>6062</v>
      </c>
      <c r="I1640" t="s">
        <v>3374</v>
      </c>
      <c r="J1640" s="2" t="str">
        <f>HYPERLINK("https://www.facebook.com/1581970534")</f>
        <v>https://www.facebook.com/1581970534</v>
      </c>
      <c r="K1640">
        <v>857</v>
      </c>
      <c r="L1640" t="s">
        <v>6063</v>
      </c>
      <c r="N1640" t="s">
        <v>13</v>
      </c>
      <c r="O1640" t="s">
        <v>1101</v>
      </c>
      <c r="P1640" s="2" t="str">
        <f>HYPERLINK("https://www.facebook.com/100002489064006")</f>
        <v>https://www.facebook.com/100002489064006</v>
      </c>
      <c r="Q1640">
        <v>2089</v>
      </c>
      <c r="R1640" t="s">
        <v>6067</v>
      </c>
      <c r="S1640" t="s">
        <v>6073</v>
      </c>
    </row>
    <row r="1641" spans="1:19" ht="14.25" customHeight="1" x14ac:dyDescent="0.3">
      <c r="A1641" t="s">
        <v>2225</v>
      </c>
      <c r="B1641" t="s">
        <v>2890</v>
      </c>
      <c r="C1641" t="s">
        <v>95</v>
      </c>
      <c r="D1641" t="s">
        <v>853</v>
      </c>
      <c r="E1641" t="s">
        <v>2893</v>
      </c>
      <c r="F1641" t="s">
        <v>6059</v>
      </c>
      <c r="G1641" s="2" t="str">
        <f>HYPERLINK("https://www.facebook.com/100008934274771/posts/1810262525948206?comment_id=1810264365948022")</f>
        <v>https://www.facebook.com/100008934274771/posts/1810262525948206?comment_id=1810264365948022</v>
      </c>
      <c r="H1641" t="s">
        <v>6062</v>
      </c>
      <c r="I1641" t="s">
        <v>2894</v>
      </c>
      <c r="J1641" s="2" t="str">
        <f>HYPERLINK("https://www.facebook.com/100000580647990")</f>
        <v>https://www.facebook.com/100000580647990</v>
      </c>
      <c r="K1641">
        <v>956</v>
      </c>
      <c r="L1641" t="s">
        <v>6063</v>
      </c>
      <c r="N1641" t="s">
        <v>13</v>
      </c>
      <c r="O1641" t="s">
        <v>856</v>
      </c>
      <c r="P1641" s="2" t="str">
        <f>HYPERLINK("https://www.facebook.com/100008934274771")</f>
        <v>https://www.facebook.com/100008934274771</v>
      </c>
      <c r="Q1641">
        <v>10395</v>
      </c>
      <c r="R1641" t="s">
        <v>6067</v>
      </c>
      <c r="S1641" t="s">
        <v>6073</v>
      </c>
    </row>
    <row r="1642" spans="1:19" ht="14.25" customHeight="1" x14ac:dyDescent="0.3">
      <c r="A1642" t="s">
        <v>2225</v>
      </c>
      <c r="B1642" t="s">
        <v>2494</v>
      </c>
      <c r="C1642" t="s">
        <v>95</v>
      </c>
      <c r="D1642" t="s">
        <v>2497</v>
      </c>
      <c r="E1642" t="s">
        <v>2498</v>
      </c>
      <c r="F1642" t="s">
        <v>6057</v>
      </c>
      <c r="G1642" s="2" t="str">
        <f>HYPERLINK("https://www.facebook.com/100010060650980/posts/621633881515295")</f>
        <v>https://www.facebook.com/100010060650980/posts/621633881515295</v>
      </c>
      <c r="H1642" t="s">
        <v>6062</v>
      </c>
      <c r="I1642" t="s">
        <v>2499</v>
      </c>
      <c r="J1642" s="2" t="str">
        <f>HYPERLINK("https://www.facebook.com/100010060650980")</f>
        <v>https://www.facebook.com/100010060650980</v>
      </c>
      <c r="K1642">
        <v>1023</v>
      </c>
      <c r="L1642" t="s">
        <v>6063</v>
      </c>
      <c r="N1642" t="s">
        <v>13</v>
      </c>
      <c r="O1642" t="s">
        <v>2499</v>
      </c>
      <c r="P1642" s="2" t="str">
        <f>HYPERLINK("https://www.facebook.com/100010060650980")</f>
        <v>https://www.facebook.com/100010060650980</v>
      </c>
      <c r="Q1642">
        <v>1023</v>
      </c>
      <c r="R1642" t="s">
        <v>6067</v>
      </c>
      <c r="S1642" t="s">
        <v>6073</v>
      </c>
    </row>
    <row r="1643" spans="1:19" ht="14.25" customHeight="1" x14ac:dyDescent="0.3">
      <c r="A1643" t="s">
        <v>5409</v>
      </c>
      <c r="B1643" t="s">
        <v>3558</v>
      </c>
      <c r="C1643" t="s">
        <v>3538</v>
      </c>
      <c r="D1643" t="s">
        <v>4318</v>
      </c>
      <c r="E1643" t="s">
        <v>5429</v>
      </c>
      <c r="F1643" t="s">
        <v>6058</v>
      </c>
      <c r="G1643" s="2" t="str">
        <f>HYPERLINK("https://www.facebook.com/100012922951225/posts/417505398690222")</f>
        <v>https://www.facebook.com/100012922951225/posts/417505398690222</v>
      </c>
      <c r="H1643" t="s">
        <v>6062</v>
      </c>
      <c r="I1643" t="s">
        <v>5430</v>
      </c>
      <c r="J1643" s="2" t="str">
        <f>HYPERLINK("https://www.facebook.com/100012922951225")</f>
        <v>https://www.facebook.com/100012922951225</v>
      </c>
      <c r="K1643">
        <v>354</v>
      </c>
      <c r="L1643" t="s">
        <v>6063</v>
      </c>
      <c r="N1643" t="s">
        <v>13</v>
      </c>
      <c r="O1643" t="s">
        <v>5430</v>
      </c>
      <c r="P1643" s="2" t="str">
        <f>HYPERLINK("https://www.facebook.com/100012922951225")</f>
        <v>https://www.facebook.com/100012922951225</v>
      </c>
      <c r="Q1643">
        <v>354</v>
      </c>
      <c r="R1643" t="s">
        <v>6067</v>
      </c>
      <c r="S1643" t="s">
        <v>6073</v>
      </c>
    </row>
    <row r="1644" spans="1:19" ht="14.25" customHeight="1" x14ac:dyDescent="0.3">
      <c r="A1644" t="s">
        <v>5409</v>
      </c>
      <c r="B1644" t="s">
        <v>3558</v>
      </c>
      <c r="C1644" t="s">
        <v>3538</v>
      </c>
      <c r="D1644" t="s">
        <v>4318</v>
      </c>
      <c r="E1644" t="s">
        <v>5429</v>
      </c>
      <c r="F1644" t="s">
        <v>6058</v>
      </c>
      <c r="G1644" s="2" t="str">
        <f>HYPERLINK("https://www.facebook.com/100012922951225/posts/417505388690223")</f>
        <v>https://www.facebook.com/100012922951225/posts/417505388690223</v>
      </c>
      <c r="H1644" t="s">
        <v>6062</v>
      </c>
      <c r="I1644" t="s">
        <v>5430</v>
      </c>
      <c r="J1644" s="2" t="str">
        <f>HYPERLINK("https://www.facebook.com/100012922951225")</f>
        <v>https://www.facebook.com/100012922951225</v>
      </c>
      <c r="K1644">
        <v>354</v>
      </c>
      <c r="L1644" t="s">
        <v>6063</v>
      </c>
      <c r="N1644" t="s">
        <v>13</v>
      </c>
      <c r="O1644" t="s">
        <v>5430</v>
      </c>
      <c r="P1644" s="2" t="str">
        <f>HYPERLINK("https://www.facebook.com/100012922951225")</f>
        <v>https://www.facebook.com/100012922951225</v>
      </c>
      <c r="Q1644">
        <v>354</v>
      </c>
      <c r="R1644" t="s">
        <v>6067</v>
      </c>
      <c r="S1644" t="s">
        <v>6073</v>
      </c>
    </row>
    <row r="1645" spans="1:19" ht="14.25" customHeight="1" x14ac:dyDescent="0.3">
      <c r="A1645" t="s">
        <v>2225</v>
      </c>
      <c r="B1645" t="s">
        <v>2639</v>
      </c>
      <c r="C1645" t="s">
        <v>95</v>
      </c>
      <c r="D1645" t="s">
        <v>544</v>
      </c>
      <c r="E1645" t="s">
        <v>545</v>
      </c>
      <c r="F1645" t="s">
        <v>6058</v>
      </c>
      <c r="G1645" s="2" t="str">
        <f>HYPERLINK("https://www.facebook.com/100015062377121/posts/355738014938275")</f>
        <v>https://www.facebook.com/100015062377121/posts/355738014938275</v>
      </c>
      <c r="H1645" t="s">
        <v>6062</v>
      </c>
      <c r="I1645" t="s">
        <v>2645</v>
      </c>
      <c r="J1645" s="2" t="str">
        <f>HYPERLINK("https://www.facebook.com/100015062377121")</f>
        <v>https://www.facebook.com/100015062377121</v>
      </c>
      <c r="K1645">
        <v>131</v>
      </c>
      <c r="L1645" t="s">
        <v>6063</v>
      </c>
      <c r="N1645" t="s">
        <v>13</v>
      </c>
      <c r="O1645" t="s">
        <v>2645</v>
      </c>
      <c r="P1645" s="2" t="str">
        <f>HYPERLINK("https://www.facebook.com/100015062377121")</f>
        <v>https://www.facebook.com/100015062377121</v>
      </c>
      <c r="Q1645">
        <v>131</v>
      </c>
      <c r="R1645" t="s">
        <v>6067</v>
      </c>
    </row>
    <row r="1646" spans="1:19" ht="14.25" customHeight="1" x14ac:dyDescent="0.3">
      <c r="A1646" t="s">
        <v>2225</v>
      </c>
      <c r="B1646" t="s">
        <v>2646</v>
      </c>
      <c r="C1646" t="s">
        <v>95</v>
      </c>
      <c r="D1646" t="s">
        <v>544</v>
      </c>
      <c r="E1646" t="s">
        <v>545</v>
      </c>
      <c r="F1646" t="s">
        <v>6058</v>
      </c>
      <c r="G1646" s="2" t="str">
        <f>HYPERLINK("https://www.facebook.com/100015062377121/posts/355737954938281")</f>
        <v>https://www.facebook.com/100015062377121/posts/355737954938281</v>
      </c>
      <c r="H1646" t="s">
        <v>6062</v>
      </c>
      <c r="I1646" t="s">
        <v>2645</v>
      </c>
      <c r="J1646" s="2" t="str">
        <f>HYPERLINK("https://www.facebook.com/100015062377121")</f>
        <v>https://www.facebook.com/100015062377121</v>
      </c>
      <c r="K1646">
        <v>131</v>
      </c>
      <c r="L1646" t="s">
        <v>6063</v>
      </c>
      <c r="N1646" t="s">
        <v>13</v>
      </c>
      <c r="O1646" t="s">
        <v>2645</v>
      </c>
      <c r="P1646" s="2" t="str">
        <f>HYPERLINK("https://www.facebook.com/100015062377121")</f>
        <v>https://www.facebook.com/100015062377121</v>
      </c>
      <c r="Q1646">
        <v>131</v>
      </c>
      <c r="R1646" t="s">
        <v>6067</v>
      </c>
    </row>
    <row r="1647" spans="1:19" ht="14.25" customHeight="1" x14ac:dyDescent="0.3">
      <c r="A1647" t="s">
        <v>2225</v>
      </c>
      <c r="B1647" t="s">
        <v>2691</v>
      </c>
      <c r="C1647" t="s">
        <v>95</v>
      </c>
      <c r="D1647" t="s">
        <v>544</v>
      </c>
      <c r="E1647" t="s">
        <v>545</v>
      </c>
      <c r="F1647" t="s">
        <v>6058</v>
      </c>
      <c r="G1647" s="2" t="str">
        <f>HYPERLINK("https://www.facebook.com/100015062377121/posts/355736008271809")</f>
        <v>https://www.facebook.com/100015062377121/posts/355736008271809</v>
      </c>
      <c r="H1647" t="s">
        <v>6062</v>
      </c>
      <c r="I1647" t="s">
        <v>2645</v>
      </c>
      <c r="J1647" s="2" t="str">
        <f>HYPERLINK("https://www.facebook.com/100015062377121")</f>
        <v>https://www.facebook.com/100015062377121</v>
      </c>
      <c r="K1647">
        <v>131</v>
      </c>
      <c r="L1647" t="s">
        <v>6063</v>
      </c>
      <c r="N1647" t="s">
        <v>13</v>
      </c>
      <c r="O1647" t="s">
        <v>2645</v>
      </c>
      <c r="P1647" s="2" t="str">
        <f>HYPERLINK("https://www.facebook.com/100015062377121")</f>
        <v>https://www.facebook.com/100015062377121</v>
      </c>
      <c r="Q1647">
        <v>131</v>
      </c>
      <c r="R1647" t="s">
        <v>6067</v>
      </c>
    </row>
    <row r="1648" spans="1:19" ht="14.25" customHeight="1" x14ac:dyDescent="0.3">
      <c r="A1648" t="s">
        <v>4439</v>
      </c>
      <c r="B1648" t="s">
        <v>1624</v>
      </c>
      <c r="C1648" t="s">
        <v>3538</v>
      </c>
      <c r="D1648" t="s">
        <v>4801</v>
      </c>
      <c r="E1648" t="s">
        <v>4806</v>
      </c>
      <c r="F1648" t="s">
        <v>6059</v>
      </c>
      <c r="G1648" s="2" t="str">
        <f>HYPERLINK("https://www.facebook.com/100000817437246/posts/1646973195339912?comment_id=1647348788635686")</f>
        <v>https://www.facebook.com/100000817437246/posts/1646973195339912?comment_id=1647348788635686</v>
      </c>
      <c r="H1648" t="s">
        <v>6062</v>
      </c>
      <c r="I1648" t="s">
        <v>4807</v>
      </c>
      <c r="J1648" s="2" t="str">
        <f>HYPERLINK("https://www.facebook.com/1557612767")</f>
        <v>https://www.facebook.com/1557612767</v>
      </c>
      <c r="K1648">
        <v>1652</v>
      </c>
      <c r="L1648" t="s">
        <v>6063</v>
      </c>
      <c r="N1648" t="s">
        <v>13</v>
      </c>
      <c r="O1648" t="s">
        <v>4804</v>
      </c>
      <c r="P1648" s="2" t="str">
        <f>HYPERLINK("https://www.facebook.com/100000817437246")</f>
        <v>https://www.facebook.com/100000817437246</v>
      </c>
      <c r="Q1648">
        <v>1821</v>
      </c>
      <c r="R1648" t="s">
        <v>6067</v>
      </c>
      <c r="S1648" t="s">
        <v>6073</v>
      </c>
    </row>
    <row r="1649" spans="1:19" ht="14.25" customHeight="1" x14ac:dyDescent="0.3">
      <c r="A1649" t="s">
        <v>2225</v>
      </c>
      <c r="B1649" t="s">
        <v>2659</v>
      </c>
      <c r="C1649" t="s">
        <v>95</v>
      </c>
      <c r="D1649" t="s">
        <v>544</v>
      </c>
      <c r="E1649" t="s">
        <v>545</v>
      </c>
      <c r="F1649" t="s">
        <v>6058</v>
      </c>
      <c r="G1649" s="2" t="str">
        <f>HYPERLINK("https://www.facebook.com/132836907402111/posts/218344495412958")</f>
        <v>https://www.facebook.com/132836907402111/posts/218344495412958</v>
      </c>
      <c r="H1649" t="s">
        <v>6062</v>
      </c>
      <c r="I1649" t="s">
        <v>2657</v>
      </c>
      <c r="J1649" s="2" t="str">
        <f t="shared" ref="J1649:J1660" si="47">HYPERLINK("https://www.facebook.com/100017122279125")</f>
        <v>https://www.facebook.com/100017122279125</v>
      </c>
      <c r="K1649">
        <v>118</v>
      </c>
      <c r="L1649" t="s">
        <v>6063</v>
      </c>
      <c r="N1649" t="s">
        <v>13</v>
      </c>
      <c r="O1649" t="s">
        <v>2153</v>
      </c>
      <c r="P1649" s="2" t="str">
        <f>HYPERLINK("https://www.facebook.com/132836907402111")</f>
        <v>https://www.facebook.com/132836907402111</v>
      </c>
      <c r="R1649" t="s">
        <v>6067</v>
      </c>
      <c r="S1649" t="s">
        <v>6073</v>
      </c>
    </row>
    <row r="1650" spans="1:19" ht="14.25" customHeight="1" x14ac:dyDescent="0.3">
      <c r="A1650" t="s">
        <v>2225</v>
      </c>
      <c r="B1650" t="s">
        <v>742</v>
      </c>
      <c r="C1650" t="s">
        <v>95</v>
      </c>
      <c r="D1650" t="s">
        <v>544</v>
      </c>
      <c r="E1650" t="s">
        <v>545</v>
      </c>
      <c r="F1650" t="s">
        <v>6058</v>
      </c>
      <c r="G1650" s="2" t="str">
        <f>HYPERLINK("https://www.facebook.com/197867630793130/posts/218344465412961")</f>
        <v>https://www.facebook.com/197867630793130/posts/218344465412961</v>
      </c>
      <c r="H1650" t="s">
        <v>6062</v>
      </c>
      <c r="I1650" t="s">
        <v>2657</v>
      </c>
      <c r="J1650" s="2" t="str">
        <f t="shared" si="47"/>
        <v>https://www.facebook.com/100017122279125</v>
      </c>
      <c r="K1650">
        <v>118</v>
      </c>
      <c r="L1650" t="s">
        <v>6063</v>
      </c>
      <c r="N1650" t="s">
        <v>13</v>
      </c>
      <c r="O1650" t="s">
        <v>2661</v>
      </c>
      <c r="P1650" s="2" t="str">
        <f>HYPERLINK("https://www.facebook.com/197867630793130")</f>
        <v>https://www.facebook.com/197867630793130</v>
      </c>
      <c r="R1650" t="s">
        <v>6067</v>
      </c>
      <c r="S1650" t="s">
        <v>6073</v>
      </c>
    </row>
    <row r="1651" spans="1:19" ht="14.25" customHeight="1" x14ac:dyDescent="0.3">
      <c r="A1651" t="s">
        <v>2225</v>
      </c>
      <c r="B1651" t="s">
        <v>742</v>
      </c>
      <c r="C1651" t="s">
        <v>95</v>
      </c>
      <c r="D1651" t="s">
        <v>544</v>
      </c>
      <c r="E1651" t="s">
        <v>545</v>
      </c>
      <c r="F1651" t="s">
        <v>6058</v>
      </c>
      <c r="G1651" s="2" t="str">
        <f>HYPERLINK("https://www.facebook.com/207354269852040/posts/218344462079628")</f>
        <v>https://www.facebook.com/207354269852040/posts/218344462079628</v>
      </c>
      <c r="H1651" t="s">
        <v>6062</v>
      </c>
      <c r="I1651" t="s">
        <v>2657</v>
      </c>
      <c r="J1651" s="2" t="str">
        <f t="shared" si="47"/>
        <v>https://www.facebook.com/100017122279125</v>
      </c>
      <c r="K1651">
        <v>118</v>
      </c>
      <c r="L1651" t="s">
        <v>6063</v>
      </c>
      <c r="N1651" t="s">
        <v>13</v>
      </c>
      <c r="O1651" t="s">
        <v>1878</v>
      </c>
      <c r="P1651" s="2" t="str">
        <f>HYPERLINK("https://www.facebook.com/207354269852040")</f>
        <v>https://www.facebook.com/207354269852040</v>
      </c>
      <c r="R1651" t="s">
        <v>6067</v>
      </c>
      <c r="S1651" t="s">
        <v>6073</v>
      </c>
    </row>
    <row r="1652" spans="1:19" ht="14.25" customHeight="1" x14ac:dyDescent="0.3">
      <c r="A1652" t="s">
        <v>2225</v>
      </c>
      <c r="B1652" t="s">
        <v>742</v>
      </c>
      <c r="C1652" t="s">
        <v>95</v>
      </c>
      <c r="D1652" t="s">
        <v>544</v>
      </c>
      <c r="E1652" t="s">
        <v>545</v>
      </c>
      <c r="F1652" t="s">
        <v>6058</v>
      </c>
      <c r="G1652" s="2" t="str">
        <f>HYPERLINK("https://www.facebook.com/317876348731273/posts/218344412079633")</f>
        <v>https://www.facebook.com/317876348731273/posts/218344412079633</v>
      </c>
      <c r="H1652" t="s">
        <v>6062</v>
      </c>
      <c r="I1652" t="s">
        <v>2657</v>
      </c>
      <c r="J1652" s="2" t="str">
        <f t="shared" si="47"/>
        <v>https://www.facebook.com/100017122279125</v>
      </c>
      <c r="K1652">
        <v>118</v>
      </c>
      <c r="L1652" t="s">
        <v>6063</v>
      </c>
      <c r="N1652" t="s">
        <v>13</v>
      </c>
      <c r="O1652" t="s">
        <v>2663</v>
      </c>
      <c r="P1652" s="2" t="str">
        <f>HYPERLINK("https://www.facebook.com/317876348731273")</f>
        <v>https://www.facebook.com/317876348731273</v>
      </c>
      <c r="R1652" t="s">
        <v>6067</v>
      </c>
      <c r="S1652" t="s">
        <v>6073</v>
      </c>
    </row>
    <row r="1653" spans="1:19" ht="14.25" customHeight="1" x14ac:dyDescent="0.3">
      <c r="A1653" t="s">
        <v>2225</v>
      </c>
      <c r="B1653" t="s">
        <v>742</v>
      </c>
      <c r="C1653" t="s">
        <v>95</v>
      </c>
      <c r="D1653" t="s">
        <v>544</v>
      </c>
      <c r="E1653" t="s">
        <v>545</v>
      </c>
      <c r="F1653" t="s">
        <v>6058</v>
      </c>
      <c r="G1653" s="2" t="str">
        <f>HYPERLINK("https://www.facebook.com/376753329410645/posts/218344415412966")</f>
        <v>https://www.facebook.com/376753329410645/posts/218344415412966</v>
      </c>
      <c r="H1653" t="s">
        <v>6062</v>
      </c>
      <c r="I1653" t="s">
        <v>2657</v>
      </c>
      <c r="J1653" s="2" t="str">
        <f t="shared" si="47"/>
        <v>https://www.facebook.com/100017122279125</v>
      </c>
      <c r="K1653">
        <v>118</v>
      </c>
      <c r="L1653" t="s">
        <v>6063</v>
      </c>
      <c r="N1653" t="s">
        <v>13</v>
      </c>
      <c r="O1653" t="s">
        <v>1877</v>
      </c>
      <c r="P1653" s="2" t="str">
        <f>HYPERLINK("https://www.facebook.com/376753329410645")</f>
        <v>https://www.facebook.com/376753329410645</v>
      </c>
      <c r="R1653" t="s">
        <v>6067</v>
      </c>
      <c r="S1653" t="s">
        <v>6073</v>
      </c>
    </row>
    <row r="1654" spans="1:19" ht="14.25" customHeight="1" x14ac:dyDescent="0.3">
      <c r="A1654" t="s">
        <v>2225</v>
      </c>
      <c r="B1654" t="s">
        <v>742</v>
      </c>
      <c r="C1654" t="s">
        <v>95</v>
      </c>
      <c r="D1654" t="s">
        <v>544</v>
      </c>
      <c r="E1654" t="s">
        <v>545</v>
      </c>
      <c r="F1654" t="s">
        <v>6058</v>
      </c>
      <c r="G1654" s="2" t="str">
        <f>HYPERLINK("https://www.facebook.com/1221159501315550/posts/218344398746301")</f>
        <v>https://www.facebook.com/1221159501315550/posts/218344398746301</v>
      </c>
      <c r="H1654" t="s">
        <v>6062</v>
      </c>
      <c r="I1654" t="s">
        <v>2657</v>
      </c>
      <c r="J1654" s="2" t="str">
        <f t="shared" si="47"/>
        <v>https://www.facebook.com/100017122279125</v>
      </c>
      <c r="K1654">
        <v>118</v>
      </c>
      <c r="L1654" t="s">
        <v>6063</v>
      </c>
      <c r="N1654" t="s">
        <v>13</v>
      </c>
      <c r="O1654" t="s">
        <v>1876</v>
      </c>
      <c r="P1654" s="2" t="str">
        <f>HYPERLINK("https://www.facebook.com/1221159501315550")</f>
        <v>https://www.facebook.com/1221159501315550</v>
      </c>
      <c r="R1654" t="s">
        <v>6067</v>
      </c>
      <c r="S1654" t="s">
        <v>6073</v>
      </c>
    </row>
    <row r="1655" spans="1:19" ht="14.25" customHeight="1" x14ac:dyDescent="0.3">
      <c r="A1655" t="s">
        <v>2225</v>
      </c>
      <c r="B1655" t="s">
        <v>742</v>
      </c>
      <c r="C1655" t="s">
        <v>95</v>
      </c>
      <c r="D1655" t="s">
        <v>544</v>
      </c>
      <c r="E1655" t="s">
        <v>545</v>
      </c>
      <c r="F1655" t="s">
        <v>6058</v>
      </c>
      <c r="G1655" s="2" t="str">
        <f>HYPERLINK("https://www.facebook.com/1611159209175927/posts/218344388746302")</f>
        <v>https://www.facebook.com/1611159209175927/posts/218344388746302</v>
      </c>
      <c r="H1655" t="s">
        <v>6062</v>
      </c>
      <c r="I1655" t="s">
        <v>2657</v>
      </c>
      <c r="J1655" s="2" t="str">
        <f t="shared" si="47"/>
        <v>https://www.facebook.com/100017122279125</v>
      </c>
      <c r="K1655">
        <v>118</v>
      </c>
      <c r="L1655" t="s">
        <v>6063</v>
      </c>
      <c r="N1655" t="s">
        <v>13</v>
      </c>
      <c r="O1655" t="s">
        <v>2664</v>
      </c>
      <c r="P1655" s="2" t="str">
        <f>HYPERLINK("https://www.facebook.com/1611159209175927")</f>
        <v>https://www.facebook.com/1611159209175927</v>
      </c>
      <c r="R1655" t="s">
        <v>6067</v>
      </c>
      <c r="S1655" t="s">
        <v>6073</v>
      </c>
    </row>
    <row r="1656" spans="1:19" ht="14.25" customHeight="1" x14ac:dyDescent="0.3">
      <c r="A1656" t="s">
        <v>2225</v>
      </c>
      <c r="B1656" t="s">
        <v>742</v>
      </c>
      <c r="C1656" t="s">
        <v>95</v>
      </c>
      <c r="D1656" t="s">
        <v>544</v>
      </c>
      <c r="E1656" t="s">
        <v>545</v>
      </c>
      <c r="F1656" t="s">
        <v>6058</v>
      </c>
      <c r="G1656" s="2" t="str">
        <f>HYPERLINK("https://www.facebook.com/1759649364345775/posts/218344382079636")</f>
        <v>https://www.facebook.com/1759649364345775/posts/218344382079636</v>
      </c>
      <c r="H1656" t="s">
        <v>6062</v>
      </c>
      <c r="I1656" t="s">
        <v>2657</v>
      </c>
      <c r="J1656" s="2" t="str">
        <f t="shared" si="47"/>
        <v>https://www.facebook.com/100017122279125</v>
      </c>
      <c r="K1656">
        <v>118</v>
      </c>
      <c r="L1656" t="s">
        <v>6063</v>
      </c>
      <c r="N1656" t="s">
        <v>13</v>
      </c>
      <c r="O1656" t="s">
        <v>2665</v>
      </c>
      <c r="P1656" s="2" t="str">
        <f>HYPERLINK("https://www.facebook.com/1759649364345775")</f>
        <v>https://www.facebook.com/1759649364345775</v>
      </c>
      <c r="R1656" t="s">
        <v>6067</v>
      </c>
      <c r="S1656" t="s">
        <v>6073</v>
      </c>
    </row>
    <row r="1657" spans="1:19" ht="14.25" customHeight="1" x14ac:dyDescent="0.3">
      <c r="A1657" t="s">
        <v>2225</v>
      </c>
      <c r="B1657" t="s">
        <v>742</v>
      </c>
      <c r="C1657" t="s">
        <v>95</v>
      </c>
      <c r="D1657" t="s">
        <v>544</v>
      </c>
      <c r="E1657" t="s">
        <v>545</v>
      </c>
      <c r="F1657" t="s">
        <v>6058</v>
      </c>
      <c r="G1657" s="2" t="str">
        <f>HYPERLINK("https://www.facebook.com/1845663605722870/posts/218344375412970")</f>
        <v>https://www.facebook.com/1845663605722870/posts/218344375412970</v>
      </c>
      <c r="H1657" t="s">
        <v>6062</v>
      </c>
      <c r="I1657" t="s">
        <v>2657</v>
      </c>
      <c r="J1657" s="2" t="str">
        <f t="shared" si="47"/>
        <v>https://www.facebook.com/100017122279125</v>
      </c>
      <c r="K1657">
        <v>118</v>
      </c>
      <c r="L1657" t="s">
        <v>6063</v>
      </c>
      <c r="N1657" t="s">
        <v>13</v>
      </c>
      <c r="O1657" t="s">
        <v>2666</v>
      </c>
      <c r="P1657" s="2" t="str">
        <f>HYPERLINK("https://www.facebook.com/1845663605722870")</f>
        <v>https://www.facebook.com/1845663605722870</v>
      </c>
      <c r="R1657" t="s">
        <v>6067</v>
      </c>
      <c r="S1657" t="s">
        <v>6073</v>
      </c>
    </row>
    <row r="1658" spans="1:19" ht="14.25" customHeight="1" x14ac:dyDescent="0.3">
      <c r="A1658" t="s">
        <v>2225</v>
      </c>
      <c r="B1658" t="s">
        <v>742</v>
      </c>
      <c r="C1658" t="s">
        <v>95</v>
      </c>
      <c r="D1658" t="s">
        <v>544</v>
      </c>
      <c r="E1658" t="s">
        <v>545</v>
      </c>
      <c r="F1658" t="s">
        <v>6058</v>
      </c>
      <c r="G1658" s="2" t="str">
        <f>HYPERLINK("https://www.facebook.com/220854325155650/posts/218344362079638")</f>
        <v>https://www.facebook.com/220854325155650/posts/218344362079638</v>
      </c>
      <c r="H1658" t="s">
        <v>6062</v>
      </c>
      <c r="I1658" t="s">
        <v>2657</v>
      </c>
      <c r="J1658" s="2" t="str">
        <f t="shared" si="47"/>
        <v>https://www.facebook.com/100017122279125</v>
      </c>
      <c r="K1658">
        <v>118</v>
      </c>
      <c r="L1658" t="s">
        <v>6063</v>
      </c>
      <c r="N1658" t="s">
        <v>13</v>
      </c>
      <c r="O1658" t="s">
        <v>1502</v>
      </c>
      <c r="P1658" s="2" t="str">
        <f>HYPERLINK("https://www.facebook.com/220854325155650")</f>
        <v>https://www.facebook.com/220854325155650</v>
      </c>
      <c r="R1658" t="s">
        <v>6067</v>
      </c>
      <c r="S1658" t="s">
        <v>6073</v>
      </c>
    </row>
    <row r="1659" spans="1:19" ht="14.25" customHeight="1" x14ac:dyDescent="0.3">
      <c r="A1659" t="s">
        <v>2225</v>
      </c>
      <c r="B1659" t="s">
        <v>742</v>
      </c>
      <c r="C1659" t="s">
        <v>95</v>
      </c>
      <c r="D1659" t="s">
        <v>853</v>
      </c>
      <c r="E1659" t="s">
        <v>2668</v>
      </c>
      <c r="F1659" t="s">
        <v>6059</v>
      </c>
      <c r="G1659" s="2" t="str">
        <f>HYPERLINK("https://www.facebook.com/100008934274771/posts/1810262525948206?comment_id=1810281302612995")</f>
        <v>https://www.facebook.com/100008934274771/posts/1810262525948206?comment_id=1810281302612995</v>
      </c>
      <c r="H1659" t="s">
        <v>6062</v>
      </c>
      <c r="I1659" t="s">
        <v>2657</v>
      </c>
      <c r="J1659" s="2" t="str">
        <f t="shared" si="47"/>
        <v>https://www.facebook.com/100017122279125</v>
      </c>
      <c r="K1659">
        <v>118</v>
      </c>
      <c r="L1659" t="s">
        <v>6063</v>
      </c>
      <c r="N1659" t="s">
        <v>13</v>
      </c>
      <c r="O1659" t="s">
        <v>856</v>
      </c>
      <c r="P1659" s="2" t="str">
        <f>HYPERLINK("https://www.facebook.com/100008934274771")</f>
        <v>https://www.facebook.com/100008934274771</v>
      </c>
      <c r="Q1659">
        <v>10395</v>
      </c>
      <c r="R1659" t="s">
        <v>6067</v>
      </c>
      <c r="S1659" t="s">
        <v>6073</v>
      </c>
    </row>
    <row r="1660" spans="1:19" ht="14.25" customHeight="1" x14ac:dyDescent="0.3">
      <c r="A1660" t="s">
        <v>2225</v>
      </c>
      <c r="B1660" t="s">
        <v>2653</v>
      </c>
      <c r="C1660" t="s">
        <v>95</v>
      </c>
      <c r="D1660" t="s">
        <v>853</v>
      </c>
      <c r="E1660" t="s">
        <v>2656</v>
      </c>
      <c r="F1660" t="s">
        <v>6059</v>
      </c>
      <c r="G1660" s="2" t="str">
        <f>HYPERLINK("https://www.facebook.com/100008934274771/posts/1810262525948206?comment_id=1810282139279578")</f>
        <v>https://www.facebook.com/100008934274771/posts/1810262525948206?comment_id=1810282139279578</v>
      </c>
      <c r="H1660" t="s">
        <v>6062</v>
      </c>
      <c r="I1660" t="s">
        <v>2657</v>
      </c>
      <c r="J1660" s="2" t="str">
        <f t="shared" si="47"/>
        <v>https://www.facebook.com/100017122279125</v>
      </c>
      <c r="K1660">
        <v>118</v>
      </c>
      <c r="L1660" t="s">
        <v>6063</v>
      </c>
      <c r="N1660" t="s">
        <v>13</v>
      </c>
      <c r="O1660" t="s">
        <v>856</v>
      </c>
      <c r="P1660" s="2" t="str">
        <f>HYPERLINK("https://www.facebook.com/100008934274771")</f>
        <v>https://www.facebook.com/100008934274771</v>
      </c>
      <c r="Q1660">
        <v>10395</v>
      </c>
      <c r="R1660" t="s">
        <v>6067</v>
      </c>
      <c r="S1660" t="s">
        <v>6073</v>
      </c>
    </row>
    <row r="1661" spans="1:19" ht="14.25" customHeight="1" x14ac:dyDescent="0.3">
      <c r="A1661" t="s">
        <v>2225</v>
      </c>
      <c r="B1661" t="s">
        <v>2836</v>
      </c>
      <c r="C1661" t="s">
        <v>95</v>
      </c>
      <c r="D1661" t="s">
        <v>544</v>
      </c>
      <c r="E1661" t="s">
        <v>545</v>
      </c>
      <c r="F1661" t="s">
        <v>6058</v>
      </c>
      <c r="G1661" s="2" t="str">
        <f>HYPERLINK("https://www.facebook.com/100001461832703/posts/1686920728033305")</f>
        <v>https://www.facebook.com/100001461832703/posts/1686920728033305</v>
      </c>
      <c r="H1661" t="s">
        <v>6062</v>
      </c>
      <c r="I1661" t="s">
        <v>2843</v>
      </c>
      <c r="J1661" s="2" t="str">
        <f>HYPERLINK("https://www.facebook.com/100001461832703")</f>
        <v>https://www.facebook.com/100001461832703</v>
      </c>
      <c r="K1661">
        <v>4910</v>
      </c>
      <c r="L1661" t="s">
        <v>6063</v>
      </c>
      <c r="N1661" t="s">
        <v>13</v>
      </c>
      <c r="O1661" t="s">
        <v>2843</v>
      </c>
      <c r="P1661" s="2" t="str">
        <f>HYPERLINK("https://www.facebook.com/100001461832703")</f>
        <v>https://www.facebook.com/100001461832703</v>
      </c>
      <c r="Q1661">
        <v>4910</v>
      </c>
      <c r="R1661" t="s">
        <v>6067</v>
      </c>
      <c r="S1661" t="s">
        <v>6073</v>
      </c>
    </row>
    <row r="1662" spans="1:19" ht="14.25" customHeight="1" x14ac:dyDescent="0.3">
      <c r="A1662" t="s">
        <v>2225</v>
      </c>
      <c r="B1662" t="s">
        <v>21</v>
      </c>
      <c r="C1662" t="s">
        <v>95</v>
      </c>
      <c r="D1662" t="s">
        <v>3206</v>
      </c>
      <c r="E1662" t="s">
        <v>4</v>
      </c>
      <c r="F1662" t="s">
        <v>6059</v>
      </c>
      <c r="G1662" s="2" t="str">
        <f>HYPERLINK("https://www.facebook.com/100008934274771/posts/1810029789304813?comment_id=1810118995962559")</f>
        <v>https://www.facebook.com/100008934274771/posts/1810029789304813?comment_id=1810118995962559</v>
      </c>
      <c r="H1662" t="s">
        <v>6062</v>
      </c>
      <c r="I1662" t="s">
        <v>3207</v>
      </c>
      <c r="J1662" s="2" t="str">
        <f>HYPERLINK("https://www.facebook.com/100024341901647")</f>
        <v>https://www.facebook.com/100024341901647</v>
      </c>
      <c r="K1662">
        <v>42</v>
      </c>
      <c r="L1662" t="s">
        <v>6063</v>
      </c>
      <c r="N1662" t="s">
        <v>13</v>
      </c>
      <c r="O1662" t="s">
        <v>856</v>
      </c>
      <c r="P1662" s="2" t="str">
        <f>HYPERLINK("https://www.facebook.com/100008934274771")</f>
        <v>https://www.facebook.com/100008934274771</v>
      </c>
      <c r="Q1662">
        <v>10395</v>
      </c>
      <c r="R1662" t="s">
        <v>6067</v>
      </c>
      <c r="S1662" t="s">
        <v>6073</v>
      </c>
    </row>
    <row r="1663" spans="1:19" ht="14.25" customHeight="1" x14ac:dyDescent="0.3">
      <c r="A1663" t="s">
        <v>629</v>
      </c>
      <c r="B1663" t="s">
        <v>1903</v>
      </c>
      <c r="C1663" t="s">
        <v>95</v>
      </c>
      <c r="D1663" t="s">
        <v>370</v>
      </c>
      <c r="E1663" t="s">
        <v>371</v>
      </c>
      <c r="F1663" t="s">
        <v>6058</v>
      </c>
      <c r="G1663" s="2" t="str">
        <f>HYPERLINK("https://www.facebook.com/100000042534152/posts/2062260100452054")</f>
        <v>https://www.facebook.com/100000042534152/posts/2062260100452054</v>
      </c>
      <c r="H1663" t="s">
        <v>6062</v>
      </c>
      <c r="I1663" t="s">
        <v>1904</v>
      </c>
      <c r="J1663" s="2" t="str">
        <f>HYPERLINK("https://www.facebook.com/100000042534152")</f>
        <v>https://www.facebook.com/100000042534152</v>
      </c>
      <c r="K1663">
        <v>107</v>
      </c>
      <c r="L1663" t="s">
        <v>6063</v>
      </c>
      <c r="N1663" t="s">
        <v>13</v>
      </c>
      <c r="O1663" t="s">
        <v>1904</v>
      </c>
      <c r="P1663" s="2" t="str">
        <f>HYPERLINK("https://www.facebook.com/100000042534152")</f>
        <v>https://www.facebook.com/100000042534152</v>
      </c>
      <c r="Q1663">
        <v>107</v>
      </c>
      <c r="R1663" t="s">
        <v>6067</v>
      </c>
      <c r="S1663" t="s">
        <v>6073</v>
      </c>
    </row>
    <row r="1664" spans="1:19" ht="14.25" customHeight="1" x14ac:dyDescent="0.3">
      <c r="A1664" t="s">
        <v>2225</v>
      </c>
      <c r="B1664" t="s">
        <v>2292</v>
      </c>
      <c r="C1664" t="s">
        <v>95</v>
      </c>
      <c r="D1664" t="s">
        <v>932</v>
      </c>
      <c r="E1664" t="s">
        <v>2296</v>
      </c>
      <c r="F1664" t="s">
        <v>6059</v>
      </c>
      <c r="G1664" s="2" t="str">
        <f>HYPERLINK("https://www.facebook.com/100000671522755/posts/1878154095550290?comment_id=1878794822152884")</f>
        <v>https://www.facebook.com/100000671522755/posts/1878154095550290?comment_id=1878794822152884</v>
      </c>
      <c r="H1664" t="s">
        <v>6062</v>
      </c>
      <c r="I1664" t="s">
        <v>935</v>
      </c>
      <c r="J1664" s="2" t="str">
        <f>HYPERLINK("https://www.facebook.com/100000671522755")</f>
        <v>https://www.facebook.com/100000671522755</v>
      </c>
      <c r="K1664">
        <v>4995</v>
      </c>
      <c r="L1664" t="s">
        <v>6064</v>
      </c>
      <c r="M1664">
        <v>37</v>
      </c>
      <c r="N1664" t="s">
        <v>13</v>
      </c>
      <c r="O1664" t="s">
        <v>935</v>
      </c>
      <c r="P1664" s="2" t="str">
        <f>HYPERLINK("https://www.facebook.com/100000671522755")</f>
        <v>https://www.facebook.com/100000671522755</v>
      </c>
      <c r="Q1664">
        <v>4995</v>
      </c>
      <c r="R1664" t="s">
        <v>6067</v>
      </c>
      <c r="S1664" t="s">
        <v>6073</v>
      </c>
    </row>
    <row r="1665" spans="1:19" ht="14.25" customHeight="1" x14ac:dyDescent="0.3">
      <c r="A1665" t="s">
        <v>629</v>
      </c>
      <c r="B1665" t="s">
        <v>1582</v>
      </c>
      <c r="C1665" t="s">
        <v>95</v>
      </c>
      <c r="D1665" t="s">
        <v>370</v>
      </c>
      <c r="E1665" t="s">
        <v>371</v>
      </c>
      <c r="F1665" t="s">
        <v>6058</v>
      </c>
      <c r="G1665" s="2" t="str">
        <f>HYPERLINK("https://www.facebook.com/100007149939168/posts/2048099632105015")</f>
        <v>https://www.facebook.com/100007149939168/posts/2048099632105015</v>
      </c>
      <c r="H1665" t="s">
        <v>6062</v>
      </c>
      <c r="I1665" t="s">
        <v>1586</v>
      </c>
      <c r="J1665" s="2" t="str">
        <f>HYPERLINK("https://www.facebook.com/100007149939168")</f>
        <v>https://www.facebook.com/100007149939168</v>
      </c>
      <c r="K1665">
        <v>0</v>
      </c>
      <c r="L1665" t="s">
        <v>6063</v>
      </c>
      <c r="N1665" t="s">
        <v>13</v>
      </c>
      <c r="O1665" t="s">
        <v>1586</v>
      </c>
      <c r="P1665" s="2" t="str">
        <f>HYPERLINK("https://www.facebook.com/100007149939168")</f>
        <v>https://www.facebook.com/100007149939168</v>
      </c>
      <c r="Q1665">
        <v>0</v>
      </c>
      <c r="R1665" t="s">
        <v>6067</v>
      </c>
      <c r="S1665" t="s">
        <v>6073</v>
      </c>
    </row>
    <row r="1666" spans="1:19" ht="14.25" customHeight="1" x14ac:dyDescent="0.3">
      <c r="A1666" t="s">
        <v>629</v>
      </c>
      <c r="B1666" t="s">
        <v>1599</v>
      </c>
      <c r="C1666" t="s">
        <v>95</v>
      </c>
      <c r="D1666" t="s">
        <v>370</v>
      </c>
      <c r="E1666" t="s">
        <v>371</v>
      </c>
      <c r="F1666" t="s">
        <v>6058</v>
      </c>
      <c r="G1666" s="2" t="str">
        <f>HYPERLINK("https://www.facebook.com/100007149939168/posts/2048098628771782")</f>
        <v>https://www.facebook.com/100007149939168/posts/2048098628771782</v>
      </c>
      <c r="H1666" t="s">
        <v>6062</v>
      </c>
      <c r="I1666" t="s">
        <v>1586</v>
      </c>
      <c r="J1666" s="2" t="str">
        <f>HYPERLINK("https://www.facebook.com/100007149939168")</f>
        <v>https://www.facebook.com/100007149939168</v>
      </c>
      <c r="K1666">
        <v>0</v>
      </c>
      <c r="L1666" t="s">
        <v>6063</v>
      </c>
      <c r="N1666" t="s">
        <v>13</v>
      </c>
      <c r="O1666" t="s">
        <v>1586</v>
      </c>
      <c r="P1666" s="2" t="str">
        <f>HYPERLINK("https://www.facebook.com/100007149939168")</f>
        <v>https://www.facebook.com/100007149939168</v>
      </c>
      <c r="Q1666">
        <v>0</v>
      </c>
      <c r="R1666" t="s">
        <v>6067</v>
      </c>
      <c r="S1666" t="s">
        <v>6073</v>
      </c>
    </row>
    <row r="1667" spans="1:19" ht="14.25" customHeight="1" x14ac:dyDescent="0.3">
      <c r="A1667" t="s">
        <v>629</v>
      </c>
      <c r="B1667" t="s">
        <v>1130</v>
      </c>
      <c r="C1667" t="s">
        <v>95</v>
      </c>
      <c r="D1667" t="s">
        <v>1131</v>
      </c>
      <c r="E1667" t="s">
        <v>1132</v>
      </c>
      <c r="F1667" t="s">
        <v>6058</v>
      </c>
      <c r="G1667" s="2" t="str">
        <f>HYPERLINK("https://www.facebook.com/100001287540205/posts/1857922414260659")</f>
        <v>https://www.facebook.com/100001287540205/posts/1857922414260659</v>
      </c>
      <c r="H1667" t="s">
        <v>6062</v>
      </c>
      <c r="I1667" t="s">
        <v>1133</v>
      </c>
      <c r="J1667" s="2" t="str">
        <f>HYPERLINK("https://www.facebook.com/100001287540205")</f>
        <v>https://www.facebook.com/100001287540205</v>
      </c>
      <c r="K1667">
        <v>1346</v>
      </c>
      <c r="L1667" t="s">
        <v>6064</v>
      </c>
      <c r="N1667" t="s">
        <v>13</v>
      </c>
      <c r="O1667" t="s">
        <v>1133</v>
      </c>
      <c r="P1667" s="2" t="str">
        <f>HYPERLINK("https://www.facebook.com/100001287540205")</f>
        <v>https://www.facebook.com/100001287540205</v>
      </c>
      <c r="Q1667">
        <v>1346</v>
      </c>
      <c r="R1667" t="s">
        <v>6067</v>
      </c>
      <c r="S1667" t="s">
        <v>6073</v>
      </c>
    </row>
    <row r="1668" spans="1:19" ht="14.25" customHeight="1" x14ac:dyDescent="0.3">
      <c r="A1668" t="s">
        <v>2225</v>
      </c>
      <c r="B1668" t="s">
        <v>2379</v>
      </c>
      <c r="C1668" t="s">
        <v>95</v>
      </c>
      <c r="D1668" t="s">
        <v>1056</v>
      </c>
      <c r="E1668" t="s">
        <v>2054</v>
      </c>
      <c r="F1668" t="s">
        <v>6058</v>
      </c>
      <c r="G1668" s="2" t="str">
        <f>HYPERLINK("https://www.facebook.com/100008263451761/posts/2052277721724323")</f>
        <v>https://www.facebook.com/100008263451761/posts/2052277721724323</v>
      </c>
      <c r="H1668" t="s">
        <v>6062</v>
      </c>
      <c r="I1668" t="s">
        <v>2380</v>
      </c>
      <c r="J1668" s="2" t="str">
        <f>HYPERLINK("https://www.facebook.com/100008263451761")</f>
        <v>https://www.facebook.com/100008263451761</v>
      </c>
      <c r="K1668">
        <v>0</v>
      </c>
      <c r="L1668" t="s">
        <v>6064</v>
      </c>
      <c r="N1668" t="s">
        <v>13</v>
      </c>
      <c r="O1668" t="s">
        <v>2380</v>
      </c>
      <c r="P1668" s="2" t="str">
        <f>HYPERLINK("https://www.facebook.com/100008263451761")</f>
        <v>https://www.facebook.com/100008263451761</v>
      </c>
      <c r="Q1668">
        <v>0</v>
      </c>
      <c r="R1668" t="s">
        <v>6067</v>
      </c>
      <c r="S1668" t="s">
        <v>6073</v>
      </c>
    </row>
    <row r="1669" spans="1:19" ht="14.25" customHeight="1" x14ac:dyDescent="0.3">
      <c r="A1669" t="s">
        <v>629</v>
      </c>
      <c r="B1669" t="s">
        <v>609</v>
      </c>
      <c r="C1669" t="s">
        <v>95</v>
      </c>
      <c r="D1669" t="s">
        <v>1310</v>
      </c>
      <c r="E1669" t="s">
        <v>2190</v>
      </c>
      <c r="F1669" t="s">
        <v>6059</v>
      </c>
      <c r="G1669" s="2" t="str">
        <f>HYPERLINK("https://www.facebook.com/100002596202440/posts/1614339498662575?comment_id=1614365778659947")</f>
        <v>https://www.facebook.com/100002596202440/posts/1614339498662575?comment_id=1614365778659947</v>
      </c>
      <c r="H1669" t="s">
        <v>6062</v>
      </c>
      <c r="I1669" t="s">
        <v>2179</v>
      </c>
      <c r="J1669" s="2" t="str">
        <f>HYPERLINK("https://www.facebook.com/100001811007450")</f>
        <v>https://www.facebook.com/100001811007450</v>
      </c>
      <c r="K1669">
        <v>5093</v>
      </c>
      <c r="L1669" t="s">
        <v>6063</v>
      </c>
      <c r="N1669" t="s">
        <v>13</v>
      </c>
      <c r="O1669" t="s">
        <v>1312</v>
      </c>
      <c r="P1669" s="2" t="str">
        <f>HYPERLINK("https://www.facebook.com/100002596202440")</f>
        <v>https://www.facebook.com/100002596202440</v>
      </c>
      <c r="Q1669">
        <v>531</v>
      </c>
      <c r="R1669" t="s">
        <v>6067</v>
      </c>
      <c r="S1669" t="s">
        <v>6073</v>
      </c>
    </row>
    <row r="1670" spans="1:19" ht="14.25" customHeight="1" x14ac:dyDescent="0.3">
      <c r="A1670" t="s">
        <v>629</v>
      </c>
      <c r="B1670" t="s">
        <v>2184</v>
      </c>
      <c r="C1670" t="s">
        <v>95</v>
      </c>
      <c r="D1670" t="s">
        <v>1310</v>
      </c>
      <c r="E1670" t="s">
        <v>2186</v>
      </c>
      <c r="F1670" t="s">
        <v>6059</v>
      </c>
      <c r="G1670" s="2" t="str">
        <f>HYPERLINK("https://www.facebook.com/100002596202440/posts/1614339498662575?comment_id=1614368081993050")</f>
        <v>https://www.facebook.com/100002596202440/posts/1614339498662575?comment_id=1614368081993050</v>
      </c>
      <c r="H1670" t="s">
        <v>6062</v>
      </c>
      <c r="I1670" t="s">
        <v>2179</v>
      </c>
      <c r="J1670" s="2" t="str">
        <f>HYPERLINK("https://www.facebook.com/100001811007450")</f>
        <v>https://www.facebook.com/100001811007450</v>
      </c>
      <c r="K1670">
        <v>5093</v>
      </c>
      <c r="L1670" t="s">
        <v>6063</v>
      </c>
      <c r="N1670" t="s">
        <v>13</v>
      </c>
      <c r="O1670" t="s">
        <v>1312</v>
      </c>
      <c r="P1670" s="2" t="str">
        <f>HYPERLINK("https://www.facebook.com/100002596202440")</f>
        <v>https://www.facebook.com/100002596202440</v>
      </c>
      <c r="Q1670">
        <v>531</v>
      </c>
      <c r="R1670" t="s">
        <v>6067</v>
      </c>
      <c r="S1670" t="s">
        <v>6073</v>
      </c>
    </row>
    <row r="1671" spans="1:19" ht="14.25" customHeight="1" x14ac:dyDescent="0.3">
      <c r="A1671" t="s">
        <v>629</v>
      </c>
      <c r="B1671" t="s">
        <v>388</v>
      </c>
      <c r="C1671" t="s">
        <v>95</v>
      </c>
      <c r="D1671" t="s">
        <v>370</v>
      </c>
      <c r="E1671" t="s">
        <v>371</v>
      </c>
      <c r="F1671" t="s">
        <v>6058</v>
      </c>
      <c r="G1671" s="2" t="str">
        <f>HYPERLINK("https://www.facebook.com/100007120800741/posts/2041387386108602")</f>
        <v>https://www.facebook.com/100007120800741/posts/2041387386108602</v>
      </c>
      <c r="H1671" t="s">
        <v>6062</v>
      </c>
      <c r="I1671" t="s">
        <v>1675</v>
      </c>
      <c r="J1671" s="2" t="str">
        <f>HYPERLINK("https://www.facebook.com/100007120800741")</f>
        <v>https://www.facebook.com/100007120800741</v>
      </c>
      <c r="K1671">
        <v>1815</v>
      </c>
      <c r="L1671" t="s">
        <v>6064</v>
      </c>
      <c r="N1671" t="s">
        <v>13</v>
      </c>
      <c r="O1671" t="s">
        <v>1675</v>
      </c>
      <c r="P1671" s="2" t="str">
        <f>HYPERLINK("https://www.facebook.com/100007120800741")</f>
        <v>https://www.facebook.com/100007120800741</v>
      </c>
      <c r="Q1671">
        <v>1815</v>
      </c>
      <c r="R1671" t="s">
        <v>6067</v>
      </c>
      <c r="S1671" t="s">
        <v>6073</v>
      </c>
    </row>
    <row r="1672" spans="1:19" ht="14.25" customHeight="1" x14ac:dyDescent="0.3">
      <c r="A1672" t="s">
        <v>629</v>
      </c>
      <c r="B1672" t="s">
        <v>1707</v>
      </c>
      <c r="C1672" t="s">
        <v>95</v>
      </c>
      <c r="D1672" t="s">
        <v>370</v>
      </c>
      <c r="E1672" t="s">
        <v>371</v>
      </c>
      <c r="F1672" t="s">
        <v>6058</v>
      </c>
      <c r="G1672" s="2" t="str">
        <f>HYPERLINK("https://www.facebook.com/100007120800741/posts/2041383926108948")</f>
        <v>https://www.facebook.com/100007120800741/posts/2041383926108948</v>
      </c>
      <c r="H1672" t="s">
        <v>6062</v>
      </c>
      <c r="I1672" t="s">
        <v>1675</v>
      </c>
      <c r="J1672" s="2" t="str">
        <f>HYPERLINK("https://www.facebook.com/100007120800741")</f>
        <v>https://www.facebook.com/100007120800741</v>
      </c>
      <c r="K1672">
        <v>1815</v>
      </c>
      <c r="L1672" t="s">
        <v>6064</v>
      </c>
      <c r="N1672" t="s">
        <v>13</v>
      </c>
      <c r="O1672" t="s">
        <v>1675</v>
      </c>
      <c r="P1672" s="2" t="str">
        <f>HYPERLINK("https://www.facebook.com/100007120800741")</f>
        <v>https://www.facebook.com/100007120800741</v>
      </c>
      <c r="Q1672">
        <v>1815</v>
      </c>
      <c r="R1672" t="s">
        <v>6067</v>
      </c>
      <c r="S1672" t="s">
        <v>6073</v>
      </c>
    </row>
    <row r="1673" spans="1:19" ht="14.25" customHeight="1" x14ac:dyDescent="0.3">
      <c r="A1673" t="s">
        <v>629</v>
      </c>
      <c r="B1673" t="s">
        <v>1507</v>
      </c>
      <c r="C1673" t="s">
        <v>95</v>
      </c>
      <c r="D1673" t="s">
        <v>370</v>
      </c>
      <c r="E1673" t="s">
        <v>371</v>
      </c>
      <c r="F1673" t="s">
        <v>6058</v>
      </c>
      <c r="G1673" s="2" t="str">
        <f>HYPERLINK("https://www.facebook.com/100022643373788/posts/205607546870690")</f>
        <v>https://www.facebook.com/100022643373788/posts/205607546870690</v>
      </c>
      <c r="H1673" t="s">
        <v>6062</v>
      </c>
      <c r="I1673" t="s">
        <v>1509</v>
      </c>
      <c r="J1673" s="2" t="str">
        <f>HYPERLINK("https://www.facebook.com/100022643373788")</f>
        <v>https://www.facebook.com/100022643373788</v>
      </c>
      <c r="K1673">
        <v>2959</v>
      </c>
      <c r="L1673" t="s">
        <v>6063</v>
      </c>
      <c r="N1673" t="s">
        <v>13</v>
      </c>
      <c r="O1673" t="s">
        <v>1509</v>
      </c>
      <c r="P1673" s="2" t="str">
        <f>HYPERLINK("https://www.facebook.com/100022643373788")</f>
        <v>https://www.facebook.com/100022643373788</v>
      </c>
      <c r="Q1673">
        <v>2959</v>
      </c>
      <c r="R1673" t="s">
        <v>6067</v>
      </c>
    </row>
    <row r="1674" spans="1:19" ht="14.25" customHeight="1" x14ac:dyDescent="0.3">
      <c r="A1674" t="s">
        <v>629</v>
      </c>
      <c r="B1674" t="s">
        <v>1590</v>
      </c>
      <c r="C1674" t="s">
        <v>95</v>
      </c>
      <c r="D1674" t="s">
        <v>370</v>
      </c>
      <c r="E1674" t="s">
        <v>371</v>
      </c>
      <c r="F1674" t="s">
        <v>6058</v>
      </c>
      <c r="G1674" s="2" t="str">
        <f>HYPERLINK("https://www.facebook.com/100022643373788/posts/205593870205391")</f>
        <v>https://www.facebook.com/100022643373788/posts/205593870205391</v>
      </c>
      <c r="H1674" t="s">
        <v>6062</v>
      </c>
      <c r="I1674" t="s">
        <v>1509</v>
      </c>
      <c r="J1674" s="2" t="str">
        <f>HYPERLINK("https://www.facebook.com/100022643373788")</f>
        <v>https://www.facebook.com/100022643373788</v>
      </c>
      <c r="K1674">
        <v>2959</v>
      </c>
      <c r="L1674" t="s">
        <v>6063</v>
      </c>
      <c r="N1674" t="s">
        <v>13</v>
      </c>
      <c r="O1674" t="s">
        <v>1509</v>
      </c>
      <c r="P1674" s="2" t="str">
        <f>HYPERLINK("https://www.facebook.com/100022643373788")</f>
        <v>https://www.facebook.com/100022643373788</v>
      </c>
      <c r="Q1674">
        <v>2959</v>
      </c>
      <c r="R1674" t="s">
        <v>6067</v>
      </c>
    </row>
    <row r="1675" spans="1:19" ht="14.25" customHeight="1" x14ac:dyDescent="0.3">
      <c r="A1675" t="s">
        <v>5409</v>
      </c>
      <c r="B1675" t="s">
        <v>4626</v>
      </c>
      <c r="C1675" t="s">
        <v>3538</v>
      </c>
      <c r="D1675" t="s">
        <v>5662</v>
      </c>
      <c r="E1675" t="s">
        <v>5663</v>
      </c>
      <c r="F1675" t="s">
        <v>6057</v>
      </c>
      <c r="G1675" s="2" t="str">
        <f>HYPERLINK("https://www.facebook.com/342488656226944/posts/394551507687325")</f>
        <v>https://www.facebook.com/342488656226944/posts/394551507687325</v>
      </c>
      <c r="H1675" t="s">
        <v>6062</v>
      </c>
      <c r="I1675" t="s">
        <v>5664</v>
      </c>
      <c r="J1675" s="2" t="str">
        <f>HYPERLINK("https://www.facebook.com/342488656226944")</f>
        <v>https://www.facebook.com/342488656226944</v>
      </c>
      <c r="K1675">
        <v>196</v>
      </c>
      <c r="L1675" t="s">
        <v>6065</v>
      </c>
      <c r="N1675" t="s">
        <v>13</v>
      </c>
      <c r="O1675" t="s">
        <v>5664</v>
      </c>
      <c r="P1675" s="2" t="str">
        <f>HYPERLINK("https://www.facebook.com/342488656226944")</f>
        <v>https://www.facebook.com/342488656226944</v>
      </c>
      <c r="Q1675">
        <v>196</v>
      </c>
      <c r="R1675" t="s">
        <v>6067</v>
      </c>
    </row>
    <row r="1676" spans="1:19" ht="14.25" customHeight="1" x14ac:dyDescent="0.3">
      <c r="A1676" t="s">
        <v>2225</v>
      </c>
      <c r="B1676" t="s">
        <v>2836</v>
      </c>
      <c r="C1676" t="s">
        <v>95</v>
      </c>
      <c r="D1676" t="s">
        <v>853</v>
      </c>
      <c r="E1676" t="s">
        <v>2842</v>
      </c>
      <c r="F1676" t="s">
        <v>6059</v>
      </c>
      <c r="G1676" s="2" t="str">
        <f>HYPERLINK("https://www.facebook.com/100008934274771/posts/1810262525948206?comment_id=1810266545947804")</f>
        <v>https://www.facebook.com/100008934274771/posts/1810262525948206?comment_id=1810266545947804</v>
      </c>
      <c r="H1676" t="s">
        <v>6062</v>
      </c>
      <c r="I1676" t="s">
        <v>2163</v>
      </c>
      <c r="J1676" s="2" t="str">
        <f>HYPERLINK("https://www.facebook.com/1730218240")</f>
        <v>https://www.facebook.com/1730218240</v>
      </c>
      <c r="K1676">
        <v>2397</v>
      </c>
      <c r="L1676" t="s">
        <v>6063</v>
      </c>
      <c r="M1676">
        <v>51</v>
      </c>
      <c r="N1676" t="s">
        <v>13</v>
      </c>
      <c r="O1676" t="s">
        <v>856</v>
      </c>
      <c r="P1676" s="2" t="str">
        <f>HYPERLINK("https://www.facebook.com/100008934274771")</f>
        <v>https://www.facebook.com/100008934274771</v>
      </c>
      <c r="Q1676">
        <v>10395</v>
      </c>
      <c r="R1676" t="s">
        <v>6067</v>
      </c>
      <c r="S1676" t="s">
        <v>6073</v>
      </c>
    </row>
    <row r="1677" spans="1:19" ht="14.25" customHeight="1" x14ac:dyDescent="0.3">
      <c r="A1677" t="s">
        <v>2225</v>
      </c>
      <c r="B1677" t="s">
        <v>764</v>
      </c>
      <c r="C1677" t="s">
        <v>95</v>
      </c>
      <c r="D1677" t="s">
        <v>544</v>
      </c>
      <c r="E1677" t="s">
        <v>545</v>
      </c>
      <c r="F1677" t="s">
        <v>6058</v>
      </c>
      <c r="G1677" s="2" t="str">
        <f>HYPERLINK("https://www.facebook.com/1730218240/posts/10204571727609732")</f>
        <v>https://www.facebook.com/1730218240/posts/10204571727609732</v>
      </c>
      <c r="H1677" t="s">
        <v>6062</v>
      </c>
      <c r="I1677" t="s">
        <v>2163</v>
      </c>
      <c r="J1677" s="2" t="str">
        <f>HYPERLINK("https://www.facebook.com/1730218240")</f>
        <v>https://www.facebook.com/1730218240</v>
      </c>
      <c r="K1677">
        <v>2397</v>
      </c>
      <c r="L1677" t="s">
        <v>6063</v>
      </c>
      <c r="M1677">
        <v>51</v>
      </c>
      <c r="N1677" t="s">
        <v>13</v>
      </c>
      <c r="O1677" t="s">
        <v>2163</v>
      </c>
      <c r="P1677" s="2" t="str">
        <f>HYPERLINK("https://www.facebook.com/1730218240")</f>
        <v>https://www.facebook.com/1730218240</v>
      </c>
      <c r="Q1677">
        <v>2397</v>
      </c>
      <c r="R1677" t="s">
        <v>6067</v>
      </c>
      <c r="S1677" t="s">
        <v>6073</v>
      </c>
    </row>
    <row r="1678" spans="1:19" ht="14.25" customHeight="1" x14ac:dyDescent="0.3">
      <c r="A1678" t="s">
        <v>2225</v>
      </c>
      <c r="B1678" t="s">
        <v>2847</v>
      </c>
      <c r="C1678" t="s">
        <v>95</v>
      </c>
      <c r="D1678" t="s">
        <v>853</v>
      </c>
      <c r="E1678" t="s">
        <v>2862</v>
      </c>
      <c r="F1678" t="s">
        <v>6059</v>
      </c>
      <c r="G1678" s="2" t="str">
        <f>HYPERLINK("https://www.facebook.com/100008934274771/posts/1810262525948206?comment_id=1810266035947855")</f>
        <v>https://www.facebook.com/100008934274771/posts/1810262525948206?comment_id=1810266035947855</v>
      </c>
      <c r="H1678" t="s">
        <v>6062</v>
      </c>
      <c r="I1678" t="s">
        <v>2163</v>
      </c>
      <c r="J1678" s="2" t="str">
        <f>HYPERLINK("https://www.facebook.com/1730218240")</f>
        <v>https://www.facebook.com/1730218240</v>
      </c>
      <c r="K1678">
        <v>2397</v>
      </c>
      <c r="L1678" t="s">
        <v>6063</v>
      </c>
      <c r="M1678">
        <v>51</v>
      </c>
      <c r="N1678" t="s">
        <v>13</v>
      </c>
      <c r="O1678" t="s">
        <v>856</v>
      </c>
      <c r="P1678" s="2" t="str">
        <f>HYPERLINK("https://www.facebook.com/100008934274771")</f>
        <v>https://www.facebook.com/100008934274771</v>
      </c>
      <c r="Q1678">
        <v>10395</v>
      </c>
      <c r="R1678" t="s">
        <v>6067</v>
      </c>
      <c r="S1678" t="s">
        <v>6073</v>
      </c>
    </row>
    <row r="1679" spans="1:19" ht="14.25" customHeight="1" x14ac:dyDescent="0.3">
      <c r="A1679" t="s">
        <v>4439</v>
      </c>
      <c r="B1679" t="s">
        <v>4369</v>
      </c>
      <c r="C1679" t="s">
        <v>3538</v>
      </c>
      <c r="D1679" t="s">
        <v>4790</v>
      </c>
      <c r="E1679" t="s">
        <v>4880</v>
      </c>
      <c r="F1679" t="s">
        <v>6059</v>
      </c>
      <c r="G1679" s="2" t="str">
        <f>HYPERLINK("https://www.facebook.com/100002206000124/posts/1650484705035047?comment_id=1651293708287480")</f>
        <v>https://www.facebook.com/100002206000124/posts/1650484705035047?comment_id=1651293708287480</v>
      </c>
      <c r="H1679" t="s">
        <v>6062</v>
      </c>
      <c r="I1679" t="s">
        <v>4792</v>
      </c>
      <c r="J1679" s="2" t="str">
        <f>HYPERLINK("https://www.facebook.com/100011798292482")</f>
        <v>https://www.facebook.com/100011798292482</v>
      </c>
      <c r="K1679">
        <v>2146</v>
      </c>
      <c r="L1679" t="s">
        <v>6063</v>
      </c>
      <c r="N1679" t="s">
        <v>13</v>
      </c>
      <c r="O1679" t="s">
        <v>4793</v>
      </c>
      <c r="P1679" s="2" t="str">
        <f>HYPERLINK("https://www.facebook.com/100002206000124")</f>
        <v>https://www.facebook.com/100002206000124</v>
      </c>
      <c r="Q1679">
        <v>0</v>
      </c>
      <c r="R1679" t="s">
        <v>6067</v>
      </c>
      <c r="S1679" t="s">
        <v>6073</v>
      </c>
    </row>
    <row r="1680" spans="1:19" ht="14.25" customHeight="1" x14ac:dyDescent="0.3">
      <c r="A1680" t="s">
        <v>4439</v>
      </c>
      <c r="B1680" t="s">
        <v>1564</v>
      </c>
      <c r="C1680" t="s">
        <v>3538</v>
      </c>
      <c r="D1680" t="s">
        <v>4790</v>
      </c>
      <c r="E1680" t="s">
        <v>4791</v>
      </c>
      <c r="F1680" t="s">
        <v>6059</v>
      </c>
      <c r="G1680" s="2" t="str">
        <f>HYPERLINK("https://www.facebook.com/100002206000124/posts/1650484705035047?comment_id=1651419504941567")</f>
        <v>https://www.facebook.com/100002206000124/posts/1650484705035047?comment_id=1651419504941567</v>
      </c>
      <c r="H1680" t="s">
        <v>6062</v>
      </c>
      <c r="I1680" t="s">
        <v>4792</v>
      </c>
      <c r="J1680" s="2" t="str">
        <f>HYPERLINK("https://www.facebook.com/100011798292482")</f>
        <v>https://www.facebook.com/100011798292482</v>
      </c>
      <c r="K1680">
        <v>2146</v>
      </c>
      <c r="L1680" t="s">
        <v>6063</v>
      </c>
      <c r="N1680" t="s">
        <v>13</v>
      </c>
      <c r="O1680" t="s">
        <v>4793</v>
      </c>
      <c r="P1680" s="2" t="str">
        <f>HYPERLINK("https://www.facebook.com/100002206000124")</f>
        <v>https://www.facebook.com/100002206000124</v>
      </c>
      <c r="Q1680">
        <v>0</v>
      </c>
      <c r="R1680" t="s">
        <v>6067</v>
      </c>
      <c r="S1680" t="s">
        <v>6073</v>
      </c>
    </row>
    <row r="1681" spans="1:19" ht="14.25" customHeight="1" x14ac:dyDescent="0.3">
      <c r="A1681" t="s">
        <v>1</v>
      </c>
      <c r="B1681" t="s">
        <v>320</v>
      </c>
      <c r="C1681" t="s">
        <v>95</v>
      </c>
      <c r="D1681" t="s">
        <v>232</v>
      </c>
      <c r="E1681" t="s">
        <v>233</v>
      </c>
      <c r="F1681" t="s">
        <v>6058</v>
      </c>
      <c r="G1681" s="2" t="str">
        <f>HYPERLINK("https://www.facebook.com/1550577141/posts/10215604476975583")</f>
        <v>https://www.facebook.com/1550577141/posts/10215604476975583</v>
      </c>
      <c r="H1681" t="s">
        <v>6062</v>
      </c>
      <c r="I1681" t="s">
        <v>321</v>
      </c>
      <c r="J1681" s="2" t="str">
        <f>HYPERLINK("https://www.facebook.com/1550577141")</f>
        <v>https://www.facebook.com/1550577141</v>
      </c>
      <c r="K1681">
        <v>261</v>
      </c>
      <c r="L1681" t="s">
        <v>6063</v>
      </c>
      <c r="N1681" t="s">
        <v>13</v>
      </c>
      <c r="O1681" t="s">
        <v>321</v>
      </c>
      <c r="P1681" s="2" t="str">
        <f>HYPERLINK("https://www.facebook.com/1550577141")</f>
        <v>https://www.facebook.com/1550577141</v>
      </c>
      <c r="Q1681">
        <v>261</v>
      </c>
      <c r="R1681" t="s">
        <v>6067</v>
      </c>
      <c r="S1681" t="s">
        <v>6073</v>
      </c>
    </row>
    <row r="1682" spans="1:19" ht="14.25" customHeight="1" x14ac:dyDescent="0.3">
      <c r="A1682" t="s">
        <v>629</v>
      </c>
      <c r="B1682" t="s">
        <v>1571</v>
      </c>
      <c r="C1682" t="s">
        <v>95</v>
      </c>
      <c r="D1682" t="s">
        <v>370</v>
      </c>
      <c r="E1682" t="s">
        <v>371</v>
      </c>
      <c r="F1682" t="s">
        <v>6058</v>
      </c>
      <c r="G1682" s="2" t="str">
        <f>HYPERLINK("https://www.facebook.com/100007284126689/posts/2006745982911520")</f>
        <v>https://www.facebook.com/100007284126689/posts/2006745982911520</v>
      </c>
      <c r="H1682" t="s">
        <v>6062</v>
      </c>
      <c r="I1682" t="s">
        <v>1572</v>
      </c>
      <c r="J1682" s="2" t="str">
        <f>HYPERLINK("https://www.facebook.com/100007284126689")</f>
        <v>https://www.facebook.com/100007284126689</v>
      </c>
      <c r="K1682">
        <v>783</v>
      </c>
      <c r="L1682" t="s">
        <v>6063</v>
      </c>
      <c r="N1682" t="s">
        <v>13</v>
      </c>
      <c r="O1682" t="s">
        <v>1572</v>
      </c>
      <c r="P1682" s="2" t="str">
        <f>HYPERLINK("https://www.facebook.com/100007284126689")</f>
        <v>https://www.facebook.com/100007284126689</v>
      </c>
      <c r="Q1682">
        <v>783</v>
      </c>
      <c r="R1682" t="s">
        <v>6067</v>
      </c>
      <c r="S1682" t="s">
        <v>6073</v>
      </c>
    </row>
    <row r="1683" spans="1:19" ht="14.25" customHeight="1" x14ac:dyDescent="0.3">
      <c r="A1683" t="s">
        <v>629</v>
      </c>
      <c r="B1683" t="s">
        <v>1713</v>
      </c>
      <c r="C1683" t="s">
        <v>95</v>
      </c>
      <c r="D1683" t="s">
        <v>370</v>
      </c>
      <c r="E1683" t="s">
        <v>371</v>
      </c>
      <c r="F1683" t="s">
        <v>6058</v>
      </c>
      <c r="G1683" s="2" t="str">
        <f>HYPERLINK("https://www.facebook.com/100007872459492/posts/2040790389526690")</f>
        <v>https://www.facebook.com/100007872459492/posts/2040790389526690</v>
      </c>
      <c r="H1683" t="s">
        <v>6062</v>
      </c>
      <c r="I1683" t="s">
        <v>1716</v>
      </c>
      <c r="J1683" s="2" t="str">
        <f>HYPERLINK("https://www.facebook.com/100007872459492")</f>
        <v>https://www.facebook.com/100007872459492</v>
      </c>
      <c r="K1683">
        <v>183</v>
      </c>
      <c r="L1683" t="s">
        <v>6063</v>
      </c>
      <c r="N1683" t="s">
        <v>13</v>
      </c>
      <c r="O1683" t="s">
        <v>1716</v>
      </c>
      <c r="P1683" s="2" t="str">
        <f>HYPERLINK("https://www.facebook.com/100007872459492")</f>
        <v>https://www.facebook.com/100007872459492</v>
      </c>
      <c r="Q1683">
        <v>183</v>
      </c>
      <c r="R1683" t="s">
        <v>6067</v>
      </c>
      <c r="S1683" t="s">
        <v>6080</v>
      </c>
    </row>
    <row r="1684" spans="1:19" ht="14.25" customHeight="1" x14ac:dyDescent="0.3">
      <c r="A1684" t="s">
        <v>2225</v>
      </c>
      <c r="B1684" t="s">
        <v>218</v>
      </c>
      <c r="C1684" t="s">
        <v>95</v>
      </c>
      <c r="D1684" t="s">
        <v>3330</v>
      </c>
      <c r="E1684" t="s">
        <v>3331</v>
      </c>
      <c r="F1684" t="s">
        <v>6056</v>
      </c>
      <c r="G1684" s="2" t="str">
        <f>HYPERLINK("https://www.facebook.com/100001642332274/posts/1841578322573561")</f>
        <v>https://www.facebook.com/100001642332274/posts/1841578322573561</v>
      </c>
      <c r="H1684" t="s">
        <v>6062</v>
      </c>
      <c r="I1684" t="s">
        <v>3332</v>
      </c>
      <c r="J1684" s="2" t="str">
        <f>HYPERLINK("https://www.facebook.com/100001642332274")</f>
        <v>https://www.facebook.com/100001642332274</v>
      </c>
      <c r="K1684">
        <v>1338</v>
      </c>
      <c r="L1684" t="s">
        <v>6064</v>
      </c>
      <c r="N1684" t="s">
        <v>13</v>
      </c>
      <c r="O1684" t="s">
        <v>3332</v>
      </c>
      <c r="P1684" s="2" t="str">
        <f>HYPERLINK("https://www.facebook.com/100001642332274")</f>
        <v>https://www.facebook.com/100001642332274</v>
      </c>
      <c r="Q1684">
        <v>1338</v>
      </c>
      <c r="R1684" t="s">
        <v>6067</v>
      </c>
      <c r="S1684" t="s">
        <v>6073</v>
      </c>
    </row>
    <row r="1685" spans="1:19" ht="14.25" customHeight="1" x14ac:dyDescent="0.3">
      <c r="A1685" t="s">
        <v>2225</v>
      </c>
      <c r="B1685" t="s">
        <v>1557</v>
      </c>
      <c r="C1685" t="s">
        <v>95</v>
      </c>
      <c r="D1685" t="s">
        <v>3206</v>
      </c>
      <c r="E1685" t="s">
        <v>4</v>
      </c>
      <c r="F1685" t="s">
        <v>6059</v>
      </c>
      <c r="G1685" s="2" t="str">
        <f>HYPERLINK("https://www.facebook.com/100008934274771/posts/1810029789304813?comment_id=1810033072637818")</f>
        <v>https://www.facebook.com/100008934274771/posts/1810029789304813?comment_id=1810033072637818</v>
      </c>
      <c r="H1685" t="s">
        <v>6062</v>
      </c>
      <c r="I1685" t="s">
        <v>3389</v>
      </c>
      <c r="J1685" s="2" t="str">
        <f>HYPERLINK("https://www.facebook.com/100024324994560")</f>
        <v>https://www.facebook.com/100024324994560</v>
      </c>
      <c r="K1685">
        <v>534</v>
      </c>
      <c r="L1685" t="s">
        <v>6064</v>
      </c>
      <c r="N1685" t="s">
        <v>13</v>
      </c>
      <c r="O1685" t="s">
        <v>856</v>
      </c>
      <c r="P1685" s="2" t="str">
        <f>HYPERLINK("https://www.facebook.com/100008934274771")</f>
        <v>https://www.facebook.com/100008934274771</v>
      </c>
      <c r="Q1685">
        <v>10395</v>
      </c>
      <c r="R1685" t="s">
        <v>6067</v>
      </c>
      <c r="S1685" t="s">
        <v>6073</v>
      </c>
    </row>
    <row r="1686" spans="1:19" ht="14.25" customHeight="1" x14ac:dyDescent="0.3">
      <c r="A1686" t="s">
        <v>3527</v>
      </c>
      <c r="B1686" t="s">
        <v>3601</v>
      </c>
      <c r="C1686" t="s">
        <v>95</v>
      </c>
      <c r="D1686" t="s">
        <v>3483</v>
      </c>
      <c r="E1686" t="s">
        <v>3484</v>
      </c>
      <c r="F1686" t="s">
        <v>6058</v>
      </c>
      <c r="G1686" s="2" t="str">
        <f>HYPERLINK("https://www.facebook.com/100009202677978/posts/2005551333094936")</f>
        <v>https://www.facebook.com/100009202677978/posts/2005551333094936</v>
      </c>
      <c r="H1686" t="s">
        <v>6062</v>
      </c>
      <c r="I1686" t="s">
        <v>3602</v>
      </c>
      <c r="J1686" s="2" t="str">
        <f>HYPERLINK("https://www.facebook.com/100009202677978")</f>
        <v>https://www.facebook.com/100009202677978</v>
      </c>
      <c r="K1686">
        <v>0</v>
      </c>
      <c r="L1686" t="s">
        <v>6064</v>
      </c>
      <c r="N1686" t="s">
        <v>13</v>
      </c>
      <c r="O1686" t="s">
        <v>3602</v>
      </c>
      <c r="P1686" s="2" t="str">
        <f>HYPERLINK("https://www.facebook.com/100009202677978")</f>
        <v>https://www.facebook.com/100009202677978</v>
      </c>
      <c r="Q1686">
        <v>0</v>
      </c>
      <c r="R1686" t="s">
        <v>6067</v>
      </c>
    </row>
    <row r="1687" spans="1:19" ht="14.25" customHeight="1" x14ac:dyDescent="0.3">
      <c r="A1687" t="s">
        <v>629</v>
      </c>
      <c r="B1687" t="s">
        <v>447</v>
      </c>
      <c r="C1687" t="s">
        <v>95</v>
      </c>
      <c r="D1687" t="s">
        <v>370</v>
      </c>
      <c r="E1687" t="s">
        <v>371</v>
      </c>
      <c r="F1687" t="s">
        <v>6058</v>
      </c>
      <c r="G1687" s="2" t="str">
        <f>HYPERLINK("https://www.facebook.com/100008006950742/posts/2072675666342645")</f>
        <v>https://www.facebook.com/100008006950742/posts/2072675666342645</v>
      </c>
      <c r="H1687" t="s">
        <v>6062</v>
      </c>
      <c r="I1687" t="s">
        <v>1870</v>
      </c>
      <c r="J1687" s="2" t="str">
        <f>HYPERLINK("https://www.facebook.com/100008006950742")</f>
        <v>https://www.facebook.com/100008006950742</v>
      </c>
      <c r="K1687">
        <v>206</v>
      </c>
      <c r="L1687" t="s">
        <v>6064</v>
      </c>
      <c r="N1687" t="s">
        <v>13</v>
      </c>
      <c r="O1687" t="s">
        <v>1870</v>
      </c>
      <c r="P1687" s="2" t="str">
        <f>HYPERLINK("https://www.facebook.com/100008006950742")</f>
        <v>https://www.facebook.com/100008006950742</v>
      </c>
      <c r="Q1687">
        <v>206</v>
      </c>
      <c r="R1687" t="s">
        <v>6067</v>
      </c>
      <c r="S1687" t="s">
        <v>6073</v>
      </c>
    </row>
    <row r="1688" spans="1:19" ht="14.25" customHeight="1" x14ac:dyDescent="0.3">
      <c r="A1688" t="s">
        <v>629</v>
      </c>
      <c r="B1688" t="s">
        <v>411</v>
      </c>
      <c r="C1688" t="s">
        <v>95</v>
      </c>
      <c r="D1688" t="s">
        <v>370</v>
      </c>
      <c r="E1688" t="s">
        <v>371</v>
      </c>
      <c r="F1688" t="s">
        <v>6058</v>
      </c>
      <c r="G1688" s="2" t="str">
        <f>HYPERLINK("https://www.facebook.com/100023822004057/posts/186790608791671")</f>
        <v>https://www.facebook.com/100023822004057/posts/186790608791671</v>
      </c>
      <c r="H1688" t="s">
        <v>6062</v>
      </c>
      <c r="I1688" t="s">
        <v>1779</v>
      </c>
      <c r="J1688" s="2" t="str">
        <f>HYPERLINK("https://www.facebook.com/100023822004057")</f>
        <v>https://www.facebook.com/100023822004057</v>
      </c>
      <c r="K1688">
        <v>649</v>
      </c>
      <c r="L1688" t="s">
        <v>6064</v>
      </c>
      <c r="N1688" t="s">
        <v>13</v>
      </c>
      <c r="O1688" t="s">
        <v>1779</v>
      </c>
      <c r="P1688" s="2" t="str">
        <f>HYPERLINK("https://www.facebook.com/100023822004057")</f>
        <v>https://www.facebook.com/100023822004057</v>
      </c>
      <c r="Q1688">
        <v>649</v>
      </c>
      <c r="R1688" t="s">
        <v>6067</v>
      </c>
    </row>
    <row r="1689" spans="1:19" ht="14.25" customHeight="1" x14ac:dyDescent="0.3">
      <c r="A1689" t="s">
        <v>629</v>
      </c>
      <c r="B1689" t="s">
        <v>413</v>
      </c>
      <c r="C1689" t="s">
        <v>95</v>
      </c>
      <c r="D1689" t="s">
        <v>370</v>
      </c>
      <c r="E1689" t="s">
        <v>371</v>
      </c>
      <c r="F1689" t="s">
        <v>6058</v>
      </c>
      <c r="G1689" s="2" t="str">
        <f>HYPERLINK("https://www.facebook.com/100023822004057/posts/186790478791684")</f>
        <v>https://www.facebook.com/100023822004057/posts/186790478791684</v>
      </c>
      <c r="H1689" t="s">
        <v>6062</v>
      </c>
      <c r="I1689" t="s">
        <v>1779</v>
      </c>
      <c r="J1689" s="2" t="str">
        <f>HYPERLINK("https://www.facebook.com/100023822004057")</f>
        <v>https://www.facebook.com/100023822004057</v>
      </c>
      <c r="K1689">
        <v>649</v>
      </c>
      <c r="L1689" t="s">
        <v>6064</v>
      </c>
      <c r="N1689" t="s">
        <v>13</v>
      </c>
      <c r="O1689" t="s">
        <v>1779</v>
      </c>
      <c r="P1689" s="2" t="str">
        <f>HYPERLINK("https://www.facebook.com/100023822004057")</f>
        <v>https://www.facebook.com/100023822004057</v>
      </c>
      <c r="Q1689">
        <v>649</v>
      </c>
      <c r="R1689" t="s">
        <v>6067</v>
      </c>
    </row>
    <row r="1690" spans="1:19" ht="14.25" customHeight="1" x14ac:dyDescent="0.3">
      <c r="A1690" t="s">
        <v>629</v>
      </c>
      <c r="B1690" t="s">
        <v>461</v>
      </c>
      <c r="C1690" t="s">
        <v>95</v>
      </c>
      <c r="D1690" t="s">
        <v>370</v>
      </c>
      <c r="E1690" t="s">
        <v>371</v>
      </c>
      <c r="F1690" t="s">
        <v>6058</v>
      </c>
      <c r="G1690" s="2" t="str">
        <f>HYPERLINK("https://www.facebook.com/100017491871819/posts/204369273489467")</f>
        <v>https://www.facebook.com/100017491871819/posts/204369273489467</v>
      </c>
      <c r="H1690" t="s">
        <v>6062</v>
      </c>
      <c r="I1690" t="s">
        <v>1958</v>
      </c>
      <c r="J1690" s="2" t="str">
        <f>HYPERLINK("https://www.facebook.com/100017491871819")</f>
        <v>https://www.facebook.com/100017491871819</v>
      </c>
      <c r="K1690">
        <v>299</v>
      </c>
      <c r="L1690" t="s">
        <v>6064</v>
      </c>
      <c r="N1690" t="s">
        <v>13</v>
      </c>
      <c r="O1690" t="s">
        <v>1958</v>
      </c>
      <c r="P1690" s="2" t="str">
        <f>HYPERLINK("https://www.facebook.com/100017491871819")</f>
        <v>https://www.facebook.com/100017491871819</v>
      </c>
      <c r="Q1690">
        <v>299</v>
      </c>
      <c r="R1690" t="s">
        <v>6067</v>
      </c>
    </row>
    <row r="1691" spans="1:19" ht="14.25" customHeight="1" x14ac:dyDescent="0.3">
      <c r="A1691" t="s">
        <v>629</v>
      </c>
      <c r="B1691" t="s">
        <v>2009</v>
      </c>
      <c r="C1691" t="s">
        <v>95</v>
      </c>
      <c r="D1691" t="s">
        <v>370</v>
      </c>
      <c r="E1691" t="s">
        <v>371</v>
      </c>
      <c r="F1691" t="s">
        <v>6058</v>
      </c>
      <c r="G1691" s="2" t="str">
        <f>HYPERLINK("https://www.facebook.com/100015490309224/posts/322313471628327")</f>
        <v>https://www.facebook.com/100015490309224/posts/322313471628327</v>
      </c>
      <c r="H1691" t="s">
        <v>6062</v>
      </c>
      <c r="I1691" t="s">
        <v>2011</v>
      </c>
      <c r="J1691" s="2" t="str">
        <f>HYPERLINK("https://www.facebook.com/100015490309224")</f>
        <v>https://www.facebook.com/100015490309224</v>
      </c>
      <c r="K1691">
        <v>1537</v>
      </c>
      <c r="L1691" t="s">
        <v>6064</v>
      </c>
      <c r="N1691" t="s">
        <v>13</v>
      </c>
      <c r="O1691" t="s">
        <v>2011</v>
      </c>
      <c r="P1691" s="2" t="str">
        <f>HYPERLINK("https://www.facebook.com/100015490309224")</f>
        <v>https://www.facebook.com/100015490309224</v>
      </c>
      <c r="Q1691">
        <v>1537</v>
      </c>
      <c r="R1691" t="s">
        <v>6067</v>
      </c>
    </row>
    <row r="1692" spans="1:19" ht="14.25" customHeight="1" x14ac:dyDescent="0.3">
      <c r="A1692" t="s">
        <v>5409</v>
      </c>
      <c r="B1692" t="s">
        <v>4336</v>
      </c>
      <c r="C1692" t="s">
        <v>3538</v>
      </c>
      <c r="D1692" t="s">
        <v>3780</v>
      </c>
      <c r="E1692" t="s">
        <v>3781</v>
      </c>
      <c r="F1692" t="s">
        <v>6058</v>
      </c>
      <c r="G1692" s="2" t="str">
        <f>HYPERLINK("https://www.facebook.com/100024536031399/posts/159093498251850")</f>
        <v>https://www.facebook.com/100024536031399/posts/159093498251850</v>
      </c>
      <c r="H1692" t="s">
        <v>6062</v>
      </c>
      <c r="I1692" t="s">
        <v>5918</v>
      </c>
      <c r="J1692" s="2" t="str">
        <f>HYPERLINK("https://www.facebook.com/100024536031399")</f>
        <v>https://www.facebook.com/100024536031399</v>
      </c>
      <c r="K1692">
        <v>31</v>
      </c>
      <c r="L1692" t="s">
        <v>6064</v>
      </c>
      <c r="N1692" t="s">
        <v>13</v>
      </c>
      <c r="O1692" t="s">
        <v>5918</v>
      </c>
      <c r="P1692" s="2" t="str">
        <f>HYPERLINK("https://www.facebook.com/100024536031399")</f>
        <v>https://www.facebook.com/100024536031399</v>
      </c>
      <c r="Q1692">
        <v>31</v>
      </c>
      <c r="R1692" t="s">
        <v>6067</v>
      </c>
    </row>
    <row r="1693" spans="1:19" ht="14.25" customHeight="1" x14ac:dyDescent="0.3">
      <c r="A1693" t="s">
        <v>5409</v>
      </c>
      <c r="B1693" t="s">
        <v>474</v>
      </c>
      <c r="C1693" t="s">
        <v>3538</v>
      </c>
      <c r="D1693" t="s">
        <v>3780</v>
      </c>
      <c r="E1693" t="s">
        <v>3781</v>
      </c>
      <c r="F1693" t="s">
        <v>6058</v>
      </c>
      <c r="G1693" s="2" t="str">
        <f>HYPERLINK("https://www.facebook.com/100024536031399/posts/159089444918922")</f>
        <v>https://www.facebook.com/100024536031399/posts/159089444918922</v>
      </c>
      <c r="H1693" t="s">
        <v>6062</v>
      </c>
      <c r="I1693" t="s">
        <v>5918</v>
      </c>
      <c r="J1693" s="2" t="str">
        <f>HYPERLINK("https://www.facebook.com/100024536031399")</f>
        <v>https://www.facebook.com/100024536031399</v>
      </c>
      <c r="K1693">
        <v>31</v>
      </c>
      <c r="L1693" t="s">
        <v>6064</v>
      </c>
      <c r="N1693" t="s">
        <v>13</v>
      </c>
      <c r="O1693" t="s">
        <v>5918</v>
      </c>
      <c r="P1693" s="2" t="str">
        <f>HYPERLINK("https://www.facebook.com/100024536031399")</f>
        <v>https://www.facebook.com/100024536031399</v>
      </c>
      <c r="Q1693">
        <v>31</v>
      </c>
      <c r="R1693" t="s">
        <v>6067</v>
      </c>
    </row>
    <row r="1694" spans="1:19" ht="14.25" customHeight="1" x14ac:dyDescent="0.3">
      <c r="A1694" t="s">
        <v>5409</v>
      </c>
      <c r="B1694" t="s">
        <v>1995</v>
      </c>
      <c r="C1694" t="s">
        <v>3538</v>
      </c>
      <c r="D1694" t="s">
        <v>3780</v>
      </c>
      <c r="E1694" t="s">
        <v>5696</v>
      </c>
      <c r="F1694" t="s">
        <v>6058</v>
      </c>
      <c r="G1694" s="2" t="str">
        <f>HYPERLINK("https://www.facebook.com/100024536031399/posts/159088901585643")</f>
        <v>https://www.facebook.com/100024536031399/posts/159088901585643</v>
      </c>
      <c r="H1694" t="s">
        <v>6062</v>
      </c>
      <c r="I1694" t="s">
        <v>5918</v>
      </c>
      <c r="J1694" s="2" t="str">
        <f>HYPERLINK("https://www.facebook.com/100024536031399")</f>
        <v>https://www.facebook.com/100024536031399</v>
      </c>
      <c r="K1694">
        <v>31</v>
      </c>
      <c r="L1694" t="s">
        <v>6064</v>
      </c>
      <c r="N1694" t="s">
        <v>13</v>
      </c>
      <c r="O1694" t="s">
        <v>5918</v>
      </c>
      <c r="P1694" s="2" t="str">
        <f>HYPERLINK("https://www.facebook.com/100024536031399")</f>
        <v>https://www.facebook.com/100024536031399</v>
      </c>
      <c r="Q1694">
        <v>31</v>
      </c>
      <c r="R1694" t="s">
        <v>6067</v>
      </c>
    </row>
    <row r="1695" spans="1:19" ht="14.25" customHeight="1" x14ac:dyDescent="0.3">
      <c r="A1695" t="s">
        <v>629</v>
      </c>
      <c r="B1695" t="s">
        <v>959</v>
      </c>
      <c r="C1695" t="s">
        <v>95</v>
      </c>
      <c r="D1695" t="s">
        <v>370</v>
      </c>
      <c r="E1695" t="s">
        <v>371</v>
      </c>
      <c r="F1695" t="s">
        <v>6058</v>
      </c>
      <c r="G1695" s="2" t="str">
        <f>HYPERLINK("https://www.facebook.com/155726361155842/posts/1769920113069784")</f>
        <v>https://www.facebook.com/155726361155842/posts/1769920113069784</v>
      </c>
      <c r="H1695" t="s">
        <v>6062</v>
      </c>
      <c r="I1695" t="s">
        <v>961</v>
      </c>
      <c r="J1695" s="2" t="str">
        <f t="shared" ref="J1695:J1710" si="48">HYPERLINK("https://www.facebook.com/100011039528305")</f>
        <v>https://www.facebook.com/100011039528305</v>
      </c>
      <c r="K1695">
        <v>69</v>
      </c>
      <c r="L1695" t="s">
        <v>6064</v>
      </c>
      <c r="N1695" t="s">
        <v>13</v>
      </c>
      <c r="O1695" t="s">
        <v>962</v>
      </c>
      <c r="P1695" s="2" t="str">
        <f>HYPERLINK("https://www.facebook.com/155726361155842")</f>
        <v>https://www.facebook.com/155726361155842</v>
      </c>
      <c r="R1695" t="s">
        <v>6067</v>
      </c>
    </row>
    <row r="1696" spans="1:19" ht="14.25" customHeight="1" x14ac:dyDescent="0.3">
      <c r="A1696" t="s">
        <v>629</v>
      </c>
      <c r="B1696" t="s">
        <v>1368</v>
      </c>
      <c r="C1696" t="s">
        <v>95</v>
      </c>
      <c r="D1696" t="s">
        <v>370</v>
      </c>
      <c r="E1696" t="s">
        <v>371</v>
      </c>
      <c r="F1696" t="s">
        <v>6058</v>
      </c>
      <c r="G1696" s="2" t="str">
        <f>HYPERLINK("https://www.facebook.com/1527146024213110/posts/2043297155931325")</f>
        <v>https://www.facebook.com/1527146024213110/posts/2043297155931325</v>
      </c>
      <c r="H1696" t="s">
        <v>6062</v>
      </c>
      <c r="I1696" t="s">
        <v>961</v>
      </c>
      <c r="J1696" s="2" t="str">
        <f t="shared" si="48"/>
        <v>https://www.facebook.com/100011039528305</v>
      </c>
      <c r="K1696">
        <v>69</v>
      </c>
      <c r="L1696" t="s">
        <v>6064</v>
      </c>
      <c r="N1696" t="s">
        <v>13</v>
      </c>
      <c r="O1696" t="s">
        <v>1369</v>
      </c>
      <c r="P1696" s="2" t="str">
        <f>HYPERLINK("https://www.facebook.com/1527146024213110")</f>
        <v>https://www.facebook.com/1527146024213110</v>
      </c>
      <c r="R1696" t="s">
        <v>6067</v>
      </c>
    </row>
    <row r="1697" spans="1:18" ht="14.25" customHeight="1" x14ac:dyDescent="0.3">
      <c r="A1697" t="s">
        <v>629</v>
      </c>
      <c r="B1697" t="s">
        <v>1691</v>
      </c>
      <c r="C1697" t="s">
        <v>95</v>
      </c>
      <c r="D1697" t="s">
        <v>370</v>
      </c>
      <c r="E1697" t="s">
        <v>371</v>
      </c>
      <c r="F1697" t="s">
        <v>6058</v>
      </c>
      <c r="G1697" s="2" t="str">
        <f>HYPERLINK("https://www.facebook.com/245064575665046/posts/904732789698218")</f>
        <v>https://www.facebook.com/245064575665046/posts/904732789698218</v>
      </c>
      <c r="H1697" t="s">
        <v>6062</v>
      </c>
      <c r="I1697" t="s">
        <v>961</v>
      </c>
      <c r="J1697" s="2" t="str">
        <f t="shared" si="48"/>
        <v>https://www.facebook.com/100011039528305</v>
      </c>
      <c r="K1697">
        <v>69</v>
      </c>
      <c r="L1697" t="s">
        <v>6064</v>
      </c>
      <c r="N1697" t="s">
        <v>13</v>
      </c>
      <c r="O1697" t="s">
        <v>1692</v>
      </c>
      <c r="P1697" s="2" t="str">
        <f>HYPERLINK("https://www.facebook.com/245064575665046")</f>
        <v>https://www.facebook.com/245064575665046</v>
      </c>
      <c r="R1697" t="s">
        <v>6067</v>
      </c>
    </row>
    <row r="1698" spans="1:18" ht="14.25" customHeight="1" x14ac:dyDescent="0.3">
      <c r="A1698" t="s">
        <v>629</v>
      </c>
      <c r="B1698" t="s">
        <v>1750</v>
      </c>
      <c r="C1698" t="s">
        <v>95</v>
      </c>
      <c r="D1698" t="s">
        <v>370</v>
      </c>
      <c r="E1698" t="s">
        <v>371</v>
      </c>
      <c r="F1698" t="s">
        <v>6058</v>
      </c>
      <c r="G1698" s="2" t="str">
        <f>HYPERLINK("https://www.facebook.com/1596949007286057/posts/2024672371180383")</f>
        <v>https://www.facebook.com/1596949007286057/posts/2024672371180383</v>
      </c>
      <c r="H1698" t="s">
        <v>6062</v>
      </c>
      <c r="I1698" t="s">
        <v>961</v>
      </c>
      <c r="J1698" s="2" t="str">
        <f t="shared" si="48"/>
        <v>https://www.facebook.com/100011039528305</v>
      </c>
      <c r="K1698">
        <v>69</v>
      </c>
      <c r="L1698" t="s">
        <v>6064</v>
      </c>
      <c r="N1698" t="s">
        <v>13</v>
      </c>
      <c r="O1698" t="s">
        <v>810</v>
      </c>
      <c r="P1698" s="2" t="str">
        <f>HYPERLINK("https://www.facebook.com/1596949007286057")</f>
        <v>https://www.facebook.com/1596949007286057</v>
      </c>
      <c r="R1698" t="s">
        <v>6067</v>
      </c>
    </row>
    <row r="1699" spans="1:18" ht="14.25" customHeight="1" x14ac:dyDescent="0.3">
      <c r="A1699" t="s">
        <v>629</v>
      </c>
      <c r="B1699" t="s">
        <v>1832</v>
      </c>
      <c r="C1699" t="s">
        <v>95</v>
      </c>
      <c r="D1699" t="s">
        <v>370</v>
      </c>
      <c r="E1699" t="s">
        <v>371</v>
      </c>
      <c r="F1699" t="s">
        <v>6058</v>
      </c>
      <c r="G1699" s="2" t="str">
        <f>HYPERLINK("https://www.facebook.com/239038942922840/posts/937573703069357")</f>
        <v>https://www.facebook.com/239038942922840/posts/937573703069357</v>
      </c>
      <c r="H1699" t="s">
        <v>6062</v>
      </c>
      <c r="I1699" t="s">
        <v>961</v>
      </c>
      <c r="J1699" s="2" t="str">
        <f t="shared" si="48"/>
        <v>https://www.facebook.com/100011039528305</v>
      </c>
      <c r="K1699">
        <v>69</v>
      </c>
      <c r="L1699" t="s">
        <v>6064</v>
      </c>
      <c r="N1699" t="s">
        <v>13</v>
      </c>
      <c r="O1699" t="s">
        <v>968</v>
      </c>
      <c r="P1699" s="2" t="str">
        <f>HYPERLINK("https://www.facebook.com/239038942922840")</f>
        <v>https://www.facebook.com/239038942922840</v>
      </c>
      <c r="Q1699">
        <v>4756</v>
      </c>
      <c r="R1699" t="s">
        <v>6067</v>
      </c>
    </row>
    <row r="1700" spans="1:18" ht="14.25" customHeight="1" x14ac:dyDescent="0.3">
      <c r="A1700" t="s">
        <v>629</v>
      </c>
      <c r="B1700" t="s">
        <v>430</v>
      </c>
      <c r="C1700" t="s">
        <v>95</v>
      </c>
      <c r="D1700" t="s">
        <v>370</v>
      </c>
      <c r="E1700" t="s">
        <v>371</v>
      </c>
      <c r="F1700" t="s">
        <v>6058</v>
      </c>
      <c r="G1700" s="2" t="str">
        <f>HYPERLINK("https://www.facebook.com/1455198568104969/posts/1895910367367118")</f>
        <v>https://www.facebook.com/1455198568104969/posts/1895910367367118</v>
      </c>
      <c r="H1700" t="s">
        <v>6062</v>
      </c>
      <c r="I1700" t="s">
        <v>961</v>
      </c>
      <c r="J1700" s="2" t="str">
        <f t="shared" si="48"/>
        <v>https://www.facebook.com/100011039528305</v>
      </c>
      <c r="K1700">
        <v>69</v>
      </c>
      <c r="L1700" t="s">
        <v>6064</v>
      </c>
      <c r="N1700" t="s">
        <v>13</v>
      </c>
      <c r="O1700" t="s">
        <v>1833</v>
      </c>
      <c r="P1700" s="2" t="str">
        <f>HYPERLINK("https://www.facebook.com/1455198568104969")</f>
        <v>https://www.facebook.com/1455198568104969</v>
      </c>
      <c r="R1700" t="s">
        <v>6067</v>
      </c>
    </row>
    <row r="1701" spans="1:18" ht="14.25" customHeight="1" x14ac:dyDescent="0.3">
      <c r="A1701" t="s">
        <v>629</v>
      </c>
      <c r="B1701" t="s">
        <v>430</v>
      </c>
      <c r="C1701" t="s">
        <v>95</v>
      </c>
      <c r="D1701" t="s">
        <v>370</v>
      </c>
      <c r="E1701" t="s">
        <v>371</v>
      </c>
      <c r="F1701" t="s">
        <v>6058</v>
      </c>
      <c r="G1701" s="2" t="str">
        <f>HYPERLINK("https://www.facebook.com/1455198568104969/posts/567132980331348")</f>
        <v>https://www.facebook.com/1455198568104969/posts/567132980331348</v>
      </c>
      <c r="H1701" t="s">
        <v>6062</v>
      </c>
      <c r="I1701" t="s">
        <v>961</v>
      </c>
      <c r="J1701" s="2" t="str">
        <f t="shared" si="48"/>
        <v>https://www.facebook.com/100011039528305</v>
      </c>
      <c r="K1701">
        <v>69</v>
      </c>
      <c r="L1701" t="s">
        <v>6064</v>
      </c>
      <c r="N1701" t="s">
        <v>13</v>
      </c>
      <c r="O1701" t="s">
        <v>1833</v>
      </c>
      <c r="P1701" s="2" t="str">
        <f>HYPERLINK("https://www.facebook.com/1455198568104969")</f>
        <v>https://www.facebook.com/1455198568104969</v>
      </c>
      <c r="R1701" t="s">
        <v>6067</v>
      </c>
    </row>
    <row r="1702" spans="1:18" ht="14.25" customHeight="1" x14ac:dyDescent="0.3">
      <c r="A1702" t="s">
        <v>629</v>
      </c>
      <c r="B1702" t="s">
        <v>430</v>
      </c>
      <c r="C1702" t="s">
        <v>95</v>
      </c>
      <c r="D1702" t="s">
        <v>370</v>
      </c>
      <c r="E1702" t="s">
        <v>371</v>
      </c>
      <c r="F1702" t="s">
        <v>6058</v>
      </c>
      <c r="G1702" s="2" t="str">
        <f>HYPERLINK("https://www.facebook.com/1072144486211293/posts/567132946998018")</f>
        <v>https://www.facebook.com/1072144486211293/posts/567132946998018</v>
      </c>
      <c r="H1702" t="s">
        <v>6062</v>
      </c>
      <c r="I1702" t="s">
        <v>961</v>
      </c>
      <c r="J1702" s="2" t="str">
        <f t="shared" si="48"/>
        <v>https://www.facebook.com/100011039528305</v>
      </c>
      <c r="K1702">
        <v>69</v>
      </c>
      <c r="L1702" t="s">
        <v>6064</v>
      </c>
      <c r="N1702" t="s">
        <v>13</v>
      </c>
      <c r="O1702" t="s">
        <v>1834</v>
      </c>
      <c r="P1702" s="2" t="str">
        <f>HYPERLINK("https://www.facebook.com/1072144486211293")</f>
        <v>https://www.facebook.com/1072144486211293</v>
      </c>
      <c r="R1702" t="s">
        <v>6067</v>
      </c>
    </row>
    <row r="1703" spans="1:18" ht="14.25" customHeight="1" x14ac:dyDescent="0.3">
      <c r="A1703" t="s">
        <v>629</v>
      </c>
      <c r="B1703" t="s">
        <v>430</v>
      </c>
      <c r="C1703" t="s">
        <v>95</v>
      </c>
      <c r="D1703" t="s">
        <v>370</v>
      </c>
      <c r="E1703" t="s">
        <v>371</v>
      </c>
      <c r="F1703" t="s">
        <v>6058</v>
      </c>
      <c r="G1703" s="2" t="str">
        <f>HYPERLINK("https://www.facebook.com/245064575665046/posts/567132923664687")</f>
        <v>https://www.facebook.com/245064575665046/posts/567132923664687</v>
      </c>
      <c r="H1703" t="s">
        <v>6062</v>
      </c>
      <c r="I1703" t="s">
        <v>961</v>
      </c>
      <c r="J1703" s="2" t="str">
        <f t="shared" si="48"/>
        <v>https://www.facebook.com/100011039528305</v>
      </c>
      <c r="K1703">
        <v>69</v>
      </c>
      <c r="L1703" t="s">
        <v>6064</v>
      </c>
      <c r="N1703" t="s">
        <v>13</v>
      </c>
      <c r="O1703" t="s">
        <v>1692</v>
      </c>
      <c r="P1703" s="2" t="str">
        <f>HYPERLINK("https://www.facebook.com/245064575665046")</f>
        <v>https://www.facebook.com/245064575665046</v>
      </c>
      <c r="R1703" t="s">
        <v>6067</v>
      </c>
    </row>
    <row r="1704" spans="1:18" ht="14.25" customHeight="1" x14ac:dyDescent="0.3">
      <c r="A1704" t="s">
        <v>629</v>
      </c>
      <c r="B1704" t="s">
        <v>430</v>
      </c>
      <c r="C1704" t="s">
        <v>95</v>
      </c>
      <c r="D1704" t="s">
        <v>370</v>
      </c>
      <c r="E1704" t="s">
        <v>371</v>
      </c>
      <c r="F1704" t="s">
        <v>6058</v>
      </c>
      <c r="G1704" s="2" t="str">
        <f>HYPERLINK("https://www.facebook.com/1643910255830661/posts/2123590667862615")</f>
        <v>https://www.facebook.com/1643910255830661/posts/2123590667862615</v>
      </c>
      <c r="H1704" t="s">
        <v>6062</v>
      </c>
      <c r="I1704" t="s">
        <v>961</v>
      </c>
      <c r="J1704" s="2" t="str">
        <f t="shared" si="48"/>
        <v>https://www.facebook.com/100011039528305</v>
      </c>
      <c r="K1704">
        <v>69</v>
      </c>
      <c r="L1704" t="s">
        <v>6064</v>
      </c>
      <c r="N1704" t="s">
        <v>13</v>
      </c>
      <c r="O1704" t="s">
        <v>1836</v>
      </c>
      <c r="P1704" s="2" t="str">
        <f>HYPERLINK("https://www.facebook.com/1643910255830661")</f>
        <v>https://www.facebook.com/1643910255830661</v>
      </c>
      <c r="Q1704">
        <v>544</v>
      </c>
      <c r="R1704" t="s">
        <v>6067</v>
      </c>
    </row>
    <row r="1705" spans="1:18" ht="14.25" customHeight="1" x14ac:dyDescent="0.3">
      <c r="A1705" t="s">
        <v>629</v>
      </c>
      <c r="B1705" t="s">
        <v>430</v>
      </c>
      <c r="C1705" t="s">
        <v>95</v>
      </c>
      <c r="D1705" t="s">
        <v>370</v>
      </c>
      <c r="E1705" t="s">
        <v>371</v>
      </c>
      <c r="F1705" t="s">
        <v>6058</v>
      </c>
      <c r="G1705" s="2" t="str">
        <f>HYPERLINK("https://www.facebook.com/1636769093211867/posts/2118511148370990")</f>
        <v>https://www.facebook.com/1636769093211867/posts/2118511148370990</v>
      </c>
      <c r="H1705" t="s">
        <v>6062</v>
      </c>
      <c r="I1705" t="s">
        <v>961</v>
      </c>
      <c r="J1705" s="2" t="str">
        <f t="shared" si="48"/>
        <v>https://www.facebook.com/100011039528305</v>
      </c>
      <c r="K1705">
        <v>69</v>
      </c>
      <c r="L1705" t="s">
        <v>6064</v>
      </c>
      <c r="N1705" t="s">
        <v>13</v>
      </c>
      <c r="O1705" t="s">
        <v>1837</v>
      </c>
      <c r="P1705" s="2" t="str">
        <f>HYPERLINK("https://www.facebook.com/1636769093211867")</f>
        <v>https://www.facebook.com/1636769093211867</v>
      </c>
      <c r="R1705" t="s">
        <v>6067</v>
      </c>
    </row>
    <row r="1706" spans="1:18" ht="14.25" customHeight="1" x14ac:dyDescent="0.3">
      <c r="A1706" t="s">
        <v>629</v>
      </c>
      <c r="B1706" t="s">
        <v>430</v>
      </c>
      <c r="C1706" t="s">
        <v>95</v>
      </c>
      <c r="D1706" t="s">
        <v>370</v>
      </c>
      <c r="E1706" t="s">
        <v>371</v>
      </c>
      <c r="F1706" t="s">
        <v>6058</v>
      </c>
      <c r="G1706" s="2" t="str">
        <f>HYPERLINK("https://www.facebook.com/1636769093211867/posts/567132793664700")</f>
        <v>https://www.facebook.com/1636769093211867/posts/567132793664700</v>
      </c>
      <c r="H1706" t="s">
        <v>6062</v>
      </c>
      <c r="I1706" t="s">
        <v>961</v>
      </c>
      <c r="J1706" s="2" t="str">
        <f t="shared" si="48"/>
        <v>https://www.facebook.com/100011039528305</v>
      </c>
      <c r="K1706">
        <v>69</v>
      </c>
      <c r="L1706" t="s">
        <v>6064</v>
      </c>
      <c r="N1706" t="s">
        <v>13</v>
      </c>
      <c r="O1706" t="s">
        <v>1837</v>
      </c>
      <c r="P1706" s="2" t="str">
        <f>HYPERLINK("https://www.facebook.com/1636769093211867")</f>
        <v>https://www.facebook.com/1636769093211867</v>
      </c>
      <c r="R1706" t="s">
        <v>6067</v>
      </c>
    </row>
    <row r="1707" spans="1:18" ht="14.25" customHeight="1" x14ac:dyDescent="0.3">
      <c r="A1707" t="s">
        <v>629</v>
      </c>
      <c r="B1707" t="s">
        <v>432</v>
      </c>
      <c r="C1707" t="s">
        <v>95</v>
      </c>
      <c r="D1707" t="s">
        <v>370</v>
      </c>
      <c r="E1707" t="s">
        <v>371</v>
      </c>
      <c r="F1707" t="s">
        <v>6058</v>
      </c>
      <c r="G1707" s="2" t="str">
        <f>HYPERLINK("https://www.facebook.com/239038942922840/posts/567132720331374")</f>
        <v>https://www.facebook.com/239038942922840/posts/567132720331374</v>
      </c>
      <c r="H1707" t="s">
        <v>6062</v>
      </c>
      <c r="I1707" t="s">
        <v>961</v>
      </c>
      <c r="J1707" s="2" t="str">
        <f t="shared" si="48"/>
        <v>https://www.facebook.com/100011039528305</v>
      </c>
      <c r="K1707">
        <v>69</v>
      </c>
      <c r="L1707" t="s">
        <v>6064</v>
      </c>
      <c r="N1707" t="s">
        <v>13</v>
      </c>
      <c r="O1707" t="s">
        <v>968</v>
      </c>
      <c r="P1707" s="2" t="str">
        <f>HYPERLINK("https://www.facebook.com/239038942922840")</f>
        <v>https://www.facebook.com/239038942922840</v>
      </c>
      <c r="Q1707">
        <v>4756</v>
      </c>
      <c r="R1707" t="s">
        <v>6067</v>
      </c>
    </row>
    <row r="1708" spans="1:18" ht="14.25" customHeight="1" x14ac:dyDescent="0.3">
      <c r="A1708" t="s">
        <v>629</v>
      </c>
      <c r="B1708" t="s">
        <v>432</v>
      </c>
      <c r="C1708" t="s">
        <v>95</v>
      </c>
      <c r="D1708" t="s">
        <v>370</v>
      </c>
      <c r="E1708" t="s">
        <v>371</v>
      </c>
      <c r="F1708" t="s">
        <v>6058</v>
      </c>
      <c r="G1708" s="2" t="str">
        <f>HYPERLINK("https://www.facebook.com/705629146123581/posts/1877767642243053")</f>
        <v>https://www.facebook.com/705629146123581/posts/1877767642243053</v>
      </c>
      <c r="H1708" t="s">
        <v>6062</v>
      </c>
      <c r="I1708" t="s">
        <v>961</v>
      </c>
      <c r="J1708" s="2" t="str">
        <f t="shared" si="48"/>
        <v>https://www.facebook.com/100011039528305</v>
      </c>
      <c r="K1708">
        <v>69</v>
      </c>
      <c r="L1708" t="s">
        <v>6064</v>
      </c>
      <c r="N1708" t="s">
        <v>13</v>
      </c>
      <c r="O1708" t="s">
        <v>1838</v>
      </c>
      <c r="P1708" s="2" t="str">
        <f>HYPERLINK("https://www.facebook.com/705629146123581")</f>
        <v>https://www.facebook.com/705629146123581</v>
      </c>
      <c r="R1708" t="s">
        <v>6067</v>
      </c>
    </row>
    <row r="1709" spans="1:18" ht="14.25" customHeight="1" x14ac:dyDescent="0.3">
      <c r="A1709" t="s">
        <v>629</v>
      </c>
      <c r="B1709" t="s">
        <v>432</v>
      </c>
      <c r="C1709" t="s">
        <v>95</v>
      </c>
      <c r="D1709" t="s">
        <v>370</v>
      </c>
      <c r="E1709" t="s">
        <v>371</v>
      </c>
      <c r="F1709" t="s">
        <v>6058</v>
      </c>
      <c r="G1709" s="2" t="str">
        <f>HYPERLINK("https://www.facebook.com/705629146123581/posts/567132693664710")</f>
        <v>https://www.facebook.com/705629146123581/posts/567132693664710</v>
      </c>
      <c r="H1709" t="s">
        <v>6062</v>
      </c>
      <c r="I1709" t="s">
        <v>961</v>
      </c>
      <c r="J1709" s="2" t="str">
        <f t="shared" si="48"/>
        <v>https://www.facebook.com/100011039528305</v>
      </c>
      <c r="K1709">
        <v>69</v>
      </c>
      <c r="L1709" t="s">
        <v>6064</v>
      </c>
      <c r="N1709" t="s">
        <v>13</v>
      </c>
      <c r="O1709" t="s">
        <v>1838</v>
      </c>
      <c r="P1709" s="2" t="str">
        <f>HYPERLINK("https://www.facebook.com/705629146123581")</f>
        <v>https://www.facebook.com/705629146123581</v>
      </c>
      <c r="R1709" t="s">
        <v>6067</v>
      </c>
    </row>
    <row r="1710" spans="1:18" ht="14.25" customHeight="1" x14ac:dyDescent="0.3">
      <c r="A1710" t="s">
        <v>629</v>
      </c>
      <c r="B1710" t="s">
        <v>432</v>
      </c>
      <c r="C1710" t="s">
        <v>95</v>
      </c>
      <c r="D1710" t="s">
        <v>370</v>
      </c>
      <c r="E1710" t="s">
        <v>371</v>
      </c>
      <c r="F1710" t="s">
        <v>6058</v>
      </c>
      <c r="G1710" s="2" t="str">
        <f>HYPERLINK("https://www.facebook.com/1596949007286057/posts/567132633664716")</f>
        <v>https://www.facebook.com/1596949007286057/posts/567132633664716</v>
      </c>
      <c r="H1710" t="s">
        <v>6062</v>
      </c>
      <c r="I1710" t="s">
        <v>961</v>
      </c>
      <c r="J1710" s="2" t="str">
        <f t="shared" si="48"/>
        <v>https://www.facebook.com/100011039528305</v>
      </c>
      <c r="K1710">
        <v>69</v>
      </c>
      <c r="L1710" t="s">
        <v>6064</v>
      </c>
      <c r="N1710" t="s">
        <v>13</v>
      </c>
      <c r="O1710" t="s">
        <v>810</v>
      </c>
      <c r="P1710" s="2" t="str">
        <f>HYPERLINK("https://www.facebook.com/1596949007286057")</f>
        <v>https://www.facebook.com/1596949007286057</v>
      </c>
      <c r="R1710" t="s">
        <v>6067</v>
      </c>
    </row>
    <row r="1711" spans="1:18" ht="14.25" customHeight="1" x14ac:dyDescent="0.3">
      <c r="A1711" t="s">
        <v>5409</v>
      </c>
      <c r="B1711" t="s">
        <v>5589</v>
      </c>
      <c r="C1711" t="s">
        <v>3538</v>
      </c>
      <c r="D1711" t="s">
        <v>5187</v>
      </c>
      <c r="E1711" t="s">
        <v>5590</v>
      </c>
      <c r="F1711" t="s">
        <v>6059</v>
      </c>
      <c r="G1711" s="2" t="str">
        <f>HYPERLINK("https://www.facebook.com/100000749205618/posts/1872163949485227?comment_id=1872194069482215")</f>
        <v>https://www.facebook.com/100000749205618/posts/1872163949485227?comment_id=1872194069482215</v>
      </c>
      <c r="H1711" t="s">
        <v>6062</v>
      </c>
      <c r="I1711" t="s">
        <v>5591</v>
      </c>
      <c r="J1711" s="2" t="str">
        <f>HYPERLINK("https://www.facebook.com/100005361345429")</f>
        <v>https://www.facebook.com/100005361345429</v>
      </c>
      <c r="K1711">
        <v>367</v>
      </c>
      <c r="L1711" t="s">
        <v>6063</v>
      </c>
      <c r="N1711" t="s">
        <v>13</v>
      </c>
      <c r="O1711" t="s">
        <v>5189</v>
      </c>
      <c r="P1711" s="2" t="str">
        <f>HYPERLINK("https://www.facebook.com/100000749205618")</f>
        <v>https://www.facebook.com/100000749205618</v>
      </c>
      <c r="Q1711">
        <v>545</v>
      </c>
      <c r="R1711" t="s">
        <v>6067</v>
      </c>
    </row>
    <row r="1712" spans="1:18" ht="14.25" customHeight="1" x14ac:dyDescent="0.3">
      <c r="A1712" t="s">
        <v>629</v>
      </c>
      <c r="B1712" t="s">
        <v>1932</v>
      </c>
      <c r="C1712" t="s">
        <v>95</v>
      </c>
      <c r="D1712" t="s">
        <v>370</v>
      </c>
      <c r="E1712" t="s">
        <v>371</v>
      </c>
      <c r="F1712" t="s">
        <v>6058</v>
      </c>
      <c r="G1712" s="2" t="str">
        <f>HYPERLINK("https://www.facebook.com/100010266193192/posts/617573688594832")</f>
        <v>https://www.facebook.com/100010266193192/posts/617573688594832</v>
      </c>
      <c r="H1712" t="s">
        <v>6062</v>
      </c>
      <c r="I1712" t="s">
        <v>1933</v>
      </c>
      <c r="J1712" s="2" t="str">
        <f>HYPERLINK("https://www.facebook.com/100010266193192")</f>
        <v>https://www.facebook.com/100010266193192</v>
      </c>
      <c r="K1712">
        <v>766</v>
      </c>
      <c r="L1712" t="s">
        <v>6063</v>
      </c>
      <c r="N1712" t="s">
        <v>13</v>
      </c>
      <c r="O1712" t="s">
        <v>1933</v>
      </c>
      <c r="P1712" s="2" t="str">
        <f>HYPERLINK("https://www.facebook.com/100010266193192")</f>
        <v>https://www.facebook.com/100010266193192</v>
      </c>
      <c r="Q1712">
        <v>766</v>
      </c>
      <c r="R1712" t="s">
        <v>6067</v>
      </c>
    </row>
    <row r="1713" spans="1:19" ht="14.25" customHeight="1" x14ac:dyDescent="0.3">
      <c r="A1713" t="s">
        <v>2225</v>
      </c>
      <c r="B1713" t="s">
        <v>173</v>
      </c>
      <c r="C1713" t="s">
        <v>95</v>
      </c>
      <c r="D1713" t="s">
        <v>3315</v>
      </c>
      <c r="E1713" t="s">
        <v>3318</v>
      </c>
      <c r="F1713" t="s">
        <v>6059</v>
      </c>
      <c r="G1713" s="2" t="str">
        <f>HYPERLINK("https://www.facebook.com/100009578475197/posts/1953015918361005?comment_id=1953609504968313")</f>
        <v>https://www.facebook.com/100009578475197/posts/1953015918361005?comment_id=1953609504968313</v>
      </c>
      <c r="H1713" t="s">
        <v>6062</v>
      </c>
      <c r="I1713" t="s">
        <v>3319</v>
      </c>
      <c r="J1713" s="2" t="str">
        <f>HYPERLINK("https://www.facebook.com/100004656634167")</f>
        <v>https://www.facebook.com/100004656634167</v>
      </c>
      <c r="K1713">
        <v>0</v>
      </c>
      <c r="L1713" t="s">
        <v>6064</v>
      </c>
      <c r="N1713" t="s">
        <v>13</v>
      </c>
      <c r="O1713" t="s">
        <v>3317</v>
      </c>
      <c r="P1713" s="2" t="str">
        <f>HYPERLINK("https://www.facebook.com/100009578475197")</f>
        <v>https://www.facebook.com/100009578475197</v>
      </c>
      <c r="Q1713">
        <v>254</v>
      </c>
      <c r="R1713" t="s">
        <v>6067</v>
      </c>
      <c r="S1713" t="s">
        <v>6073</v>
      </c>
    </row>
    <row r="1714" spans="1:19" ht="14.25" customHeight="1" x14ac:dyDescent="0.3">
      <c r="A1714" t="s">
        <v>4439</v>
      </c>
      <c r="B1714" t="s">
        <v>2573</v>
      </c>
      <c r="C1714" t="s">
        <v>3538</v>
      </c>
      <c r="D1714" t="s">
        <v>4171</v>
      </c>
      <c r="E1714" t="s">
        <v>4172</v>
      </c>
      <c r="F1714" t="s">
        <v>6058</v>
      </c>
      <c r="G1714" s="2" t="str">
        <f>HYPERLINK("https://www.facebook.com/100011776686794/posts/495361487533070")</f>
        <v>https://www.facebook.com/100011776686794/posts/495361487533070</v>
      </c>
      <c r="H1714" t="s">
        <v>6062</v>
      </c>
      <c r="I1714" t="s">
        <v>4493</v>
      </c>
      <c r="J1714" s="2" t="str">
        <f>HYPERLINK("https://www.facebook.com/100011776686794")</f>
        <v>https://www.facebook.com/100011776686794</v>
      </c>
      <c r="K1714">
        <v>244</v>
      </c>
      <c r="L1714" t="s">
        <v>6064</v>
      </c>
      <c r="N1714" t="s">
        <v>13</v>
      </c>
      <c r="O1714" t="s">
        <v>4493</v>
      </c>
      <c r="P1714" s="2" t="str">
        <f>HYPERLINK("https://www.facebook.com/100011776686794")</f>
        <v>https://www.facebook.com/100011776686794</v>
      </c>
      <c r="Q1714">
        <v>244</v>
      </c>
      <c r="R1714" t="s">
        <v>6067</v>
      </c>
    </row>
    <row r="1715" spans="1:19" ht="14.25" customHeight="1" x14ac:dyDescent="0.3">
      <c r="A1715" t="s">
        <v>2225</v>
      </c>
      <c r="B1715" t="s">
        <v>1557</v>
      </c>
      <c r="C1715" t="s">
        <v>95</v>
      </c>
      <c r="D1715" t="s">
        <v>3194</v>
      </c>
      <c r="E1715" t="s">
        <v>3195</v>
      </c>
      <c r="F1715" t="s">
        <v>6058</v>
      </c>
      <c r="G1715" s="2" t="str">
        <f>HYPERLINK("https://www.facebook.com/100010482810988/posts/589131204779635")</f>
        <v>https://www.facebook.com/100010482810988/posts/589131204779635</v>
      </c>
      <c r="H1715" t="s">
        <v>6062</v>
      </c>
      <c r="I1715" t="s">
        <v>1583</v>
      </c>
      <c r="J1715" s="2" t="str">
        <f>HYPERLINK("https://www.facebook.com/100010482810988")</f>
        <v>https://www.facebook.com/100010482810988</v>
      </c>
      <c r="K1715">
        <v>0</v>
      </c>
      <c r="L1715" t="s">
        <v>6064</v>
      </c>
      <c r="N1715" t="s">
        <v>13</v>
      </c>
      <c r="O1715" t="s">
        <v>1583</v>
      </c>
      <c r="P1715" s="2" t="str">
        <f>HYPERLINK("https://www.facebook.com/100010482810988")</f>
        <v>https://www.facebook.com/100010482810988</v>
      </c>
      <c r="Q1715">
        <v>0</v>
      </c>
      <c r="R1715" t="s">
        <v>6067</v>
      </c>
    </row>
    <row r="1716" spans="1:19" ht="14.25" customHeight="1" x14ac:dyDescent="0.3">
      <c r="A1716" t="s">
        <v>629</v>
      </c>
      <c r="B1716" t="s">
        <v>1582</v>
      </c>
      <c r="C1716" t="s">
        <v>95</v>
      </c>
      <c r="D1716" t="s">
        <v>370</v>
      </c>
      <c r="E1716" t="s">
        <v>371</v>
      </c>
      <c r="F1716" t="s">
        <v>6058</v>
      </c>
      <c r="G1716" s="2" t="str">
        <f>HYPERLINK("https://www.facebook.com/100010482810988/posts/589608281398594")</f>
        <v>https://www.facebook.com/100010482810988/posts/589608281398594</v>
      </c>
      <c r="H1716" t="s">
        <v>6062</v>
      </c>
      <c r="I1716" t="s">
        <v>1583</v>
      </c>
      <c r="J1716" s="2" t="str">
        <f>HYPERLINK("https://www.facebook.com/100010482810988")</f>
        <v>https://www.facebook.com/100010482810988</v>
      </c>
      <c r="K1716">
        <v>0</v>
      </c>
      <c r="L1716" t="s">
        <v>6064</v>
      </c>
      <c r="N1716" t="s">
        <v>13</v>
      </c>
      <c r="O1716" t="s">
        <v>1583</v>
      </c>
      <c r="P1716" s="2" t="str">
        <f>HYPERLINK("https://www.facebook.com/100010482810988")</f>
        <v>https://www.facebook.com/100010482810988</v>
      </c>
      <c r="Q1716">
        <v>0</v>
      </c>
      <c r="R1716" t="s">
        <v>6067</v>
      </c>
    </row>
    <row r="1717" spans="1:19" ht="14.25" customHeight="1" x14ac:dyDescent="0.3">
      <c r="A1717" t="s">
        <v>629</v>
      </c>
      <c r="B1717" t="s">
        <v>1950</v>
      </c>
      <c r="C1717" t="s">
        <v>95</v>
      </c>
      <c r="D1717" t="s">
        <v>370</v>
      </c>
      <c r="E1717" t="s">
        <v>371</v>
      </c>
      <c r="F1717" t="s">
        <v>6058</v>
      </c>
      <c r="G1717" s="2" t="str">
        <f>HYPERLINK("https://www.facebook.com/100001480467130/posts/1865770116815652")</f>
        <v>https://www.facebook.com/100001480467130/posts/1865770116815652</v>
      </c>
      <c r="H1717" t="s">
        <v>6062</v>
      </c>
      <c r="I1717" t="s">
        <v>1955</v>
      </c>
      <c r="J1717" s="2" t="str">
        <f>HYPERLINK("https://www.facebook.com/100001480467130")</f>
        <v>https://www.facebook.com/100001480467130</v>
      </c>
      <c r="K1717">
        <v>4336</v>
      </c>
      <c r="L1717" t="s">
        <v>6064</v>
      </c>
      <c r="N1717" t="s">
        <v>13</v>
      </c>
      <c r="O1717" t="s">
        <v>1955</v>
      </c>
      <c r="P1717" s="2" t="str">
        <f>HYPERLINK("https://www.facebook.com/100001480467130")</f>
        <v>https://www.facebook.com/100001480467130</v>
      </c>
      <c r="Q1717">
        <v>4336</v>
      </c>
      <c r="R1717" t="s">
        <v>6067</v>
      </c>
      <c r="S1717" t="s">
        <v>6073</v>
      </c>
    </row>
    <row r="1718" spans="1:19" ht="14.25" customHeight="1" x14ac:dyDescent="0.3">
      <c r="A1718" t="s">
        <v>1</v>
      </c>
      <c r="B1718" t="s">
        <v>343</v>
      </c>
      <c r="C1718" t="s">
        <v>95</v>
      </c>
      <c r="D1718" t="s">
        <v>330</v>
      </c>
      <c r="E1718" t="s">
        <v>331</v>
      </c>
      <c r="F1718" t="s">
        <v>6056</v>
      </c>
      <c r="G1718" s="2" t="str">
        <f>HYPERLINK("https://www.facebook.com/137614642919660/posts/2066863826661389")</f>
        <v>https://www.facebook.com/137614642919660/posts/2066863826661389</v>
      </c>
      <c r="H1718" t="s">
        <v>6062</v>
      </c>
      <c r="I1718" t="s">
        <v>344</v>
      </c>
      <c r="J1718" s="2" t="str">
        <f>HYPERLINK("https://www.facebook.com/137614642919660")</f>
        <v>https://www.facebook.com/137614642919660</v>
      </c>
      <c r="K1718">
        <v>237685</v>
      </c>
      <c r="L1718" t="s">
        <v>6065</v>
      </c>
      <c r="N1718" t="s">
        <v>13</v>
      </c>
      <c r="O1718" t="s">
        <v>344</v>
      </c>
      <c r="P1718" s="2" t="str">
        <f>HYPERLINK("https://www.facebook.com/137614642919660")</f>
        <v>https://www.facebook.com/137614642919660</v>
      </c>
      <c r="Q1718">
        <v>237685</v>
      </c>
      <c r="R1718" t="s">
        <v>6067</v>
      </c>
      <c r="S1718" t="s">
        <v>6073</v>
      </c>
    </row>
    <row r="1719" spans="1:19" ht="14.25" customHeight="1" x14ac:dyDescent="0.3">
      <c r="A1719" t="s">
        <v>1</v>
      </c>
      <c r="B1719" t="s">
        <v>329</v>
      </c>
      <c r="C1719" t="s">
        <v>95</v>
      </c>
      <c r="D1719" t="s">
        <v>330</v>
      </c>
      <c r="E1719" t="s">
        <v>331</v>
      </c>
      <c r="F1719" t="s">
        <v>6056</v>
      </c>
      <c r="G1719" s="2" t="str">
        <f>HYPERLINK("https://www.facebook.com/216716628402346/posts/2196700307070625")</f>
        <v>https://www.facebook.com/216716628402346/posts/2196700307070625</v>
      </c>
      <c r="H1719" t="s">
        <v>6062</v>
      </c>
      <c r="I1719" t="s">
        <v>318</v>
      </c>
      <c r="J1719" s="2" t="str">
        <f>HYPERLINK("https://www.facebook.com/216716628402346")</f>
        <v>https://www.facebook.com/216716628402346</v>
      </c>
      <c r="K1719">
        <v>8356</v>
      </c>
      <c r="L1719" t="s">
        <v>6065</v>
      </c>
      <c r="N1719" t="s">
        <v>13</v>
      </c>
      <c r="O1719" t="s">
        <v>318</v>
      </c>
      <c r="P1719" s="2" t="str">
        <f>HYPERLINK("https://www.facebook.com/216716628402346")</f>
        <v>https://www.facebook.com/216716628402346</v>
      </c>
      <c r="Q1719">
        <v>8356</v>
      </c>
      <c r="R1719" t="s">
        <v>6067</v>
      </c>
    </row>
    <row r="1720" spans="1:19" ht="14.25" customHeight="1" x14ac:dyDescent="0.3">
      <c r="A1720" t="s">
        <v>629</v>
      </c>
      <c r="B1720" t="s">
        <v>1682</v>
      </c>
      <c r="C1720" t="s">
        <v>95</v>
      </c>
      <c r="D1720" t="s">
        <v>370</v>
      </c>
      <c r="E1720" t="s">
        <v>371</v>
      </c>
      <c r="F1720" t="s">
        <v>6058</v>
      </c>
      <c r="G1720" s="2" t="str">
        <f>HYPERLINK("https://www.facebook.com/100001760404426/posts/1594906420578023")</f>
        <v>https://www.facebook.com/100001760404426/posts/1594906420578023</v>
      </c>
      <c r="H1720" t="s">
        <v>6062</v>
      </c>
      <c r="I1720" t="s">
        <v>1683</v>
      </c>
      <c r="J1720" s="2" t="str">
        <f>HYPERLINK("https://www.facebook.com/100001760404426")</f>
        <v>https://www.facebook.com/100001760404426</v>
      </c>
      <c r="K1720">
        <v>643</v>
      </c>
      <c r="L1720" t="s">
        <v>6064</v>
      </c>
      <c r="N1720" t="s">
        <v>13</v>
      </c>
      <c r="O1720" t="s">
        <v>1683</v>
      </c>
      <c r="P1720" s="2" t="str">
        <f>HYPERLINK("https://www.facebook.com/100001760404426")</f>
        <v>https://www.facebook.com/100001760404426</v>
      </c>
      <c r="Q1720">
        <v>643</v>
      </c>
      <c r="R1720" t="s">
        <v>6067</v>
      </c>
      <c r="S1720" t="s">
        <v>6073</v>
      </c>
    </row>
    <row r="1721" spans="1:19" ht="14.25" customHeight="1" x14ac:dyDescent="0.3">
      <c r="A1721" t="s">
        <v>5409</v>
      </c>
      <c r="B1721" t="s">
        <v>3516</v>
      </c>
      <c r="C1721" t="s">
        <v>3538</v>
      </c>
      <c r="D1721" t="s">
        <v>5442</v>
      </c>
      <c r="E1721" t="s">
        <v>6035</v>
      </c>
      <c r="F1721" t="s">
        <v>6059</v>
      </c>
      <c r="G1721" s="2" t="str">
        <f>HYPERLINK("https://www.facebook.com/100000480086400/posts/2357605387598774?comment_id=2357796344246345")</f>
        <v>https://www.facebook.com/100000480086400/posts/2357605387598774?comment_id=2357796344246345</v>
      </c>
      <c r="H1721" t="s">
        <v>6062</v>
      </c>
      <c r="I1721" t="s">
        <v>5929</v>
      </c>
      <c r="J1721" s="2" t="str">
        <f>HYPERLINK("https://www.facebook.com/100000721082886")</f>
        <v>https://www.facebook.com/100000721082886</v>
      </c>
      <c r="K1721">
        <v>209</v>
      </c>
      <c r="N1721" t="s">
        <v>13</v>
      </c>
      <c r="O1721" t="s">
        <v>5244</v>
      </c>
      <c r="P1721" s="2" t="str">
        <f>HYPERLINK("https://www.facebook.com/100000480086400")</f>
        <v>https://www.facebook.com/100000480086400</v>
      </c>
      <c r="Q1721">
        <v>6778</v>
      </c>
      <c r="R1721" t="s">
        <v>6067</v>
      </c>
      <c r="S1721" t="s">
        <v>6073</v>
      </c>
    </row>
    <row r="1722" spans="1:19" ht="14.25" customHeight="1" x14ac:dyDescent="0.3">
      <c r="A1722" t="s">
        <v>4995</v>
      </c>
      <c r="B1722" t="s">
        <v>4229</v>
      </c>
      <c r="C1722" t="s">
        <v>3538</v>
      </c>
      <c r="D1722" t="s">
        <v>522</v>
      </c>
      <c r="E1722" t="s">
        <v>4</v>
      </c>
      <c r="F1722" t="s">
        <v>6059</v>
      </c>
      <c r="G1722" s="2" t="str">
        <f>HYPERLINK("https://www.facebook.com/125689264174640/posts/1627782823965269?comment_id=1628555913887960")</f>
        <v>https://www.facebook.com/125689264174640/posts/1627782823965269?comment_id=1628555913887960</v>
      </c>
      <c r="H1722" t="s">
        <v>6062</v>
      </c>
      <c r="I1722" t="s">
        <v>5237</v>
      </c>
      <c r="J1722" s="2" t="str">
        <f>HYPERLINK("https://www.facebook.com/527546900959714")</f>
        <v>https://www.facebook.com/527546900959714</v>
      </c>
      <c r="K1722">
        <v>5</v>
      </c>
      <c r="L1722" t="s">
        <v>6065</v>
      </c>
      <c r="N1722" t="s">
        <v>13</v>
      </c>
      <c r="O1722" t="s">
        <v>4064</v>
      </c>
      <c r="P1722" s="2" t="str">
        <f>HYPERLINK("https://www.facebook.com/125689264174640")</f>
        <v>https://www.facebook.com/125689264174640</v>
      </c>
      <c r="Q1722">
        <v>2625</v>
      </c>
      <c r="R1722" t="s">
        <v>6067</v>
      </c>
    </row>
    <row r="1723" spans="1:19" ht="14.25" customHeight="1" x14ac:dyDescent="0.3">
      <c r="A1723" t="s">
        <v>2225</v>
      </c>
      <c r="B1723" t="s">
        <v>2547</v>
      </c>
      <c r="C1723" t="s">
        <v>95</v>
      </c>
      <c r="D1723" t="s">
        <v>544</v>
      </c>
      <c r="E1723" t="s">
        <v>545</v>
      </c>
      <c r="F1723" t="s">
        <v>6058</v>
      </c>
      <c r="G1723" s="2" t="str">
        <f>HYPERLINK("https://www.facebook.com/100006448789189/posts/1991269687764638")</f>
        <v>https://www.facebook.com/100006448789189/posts/1991269687764638</v>
      </c>
      <c r="H1723" t="s">
        <v>6062</v>
      </c>
      <c r="I1723" t="s">
        <v>1457</v>
      </c>
      <c r="J1723" s="2" t="str">
        <f>HYPERLINK("https://www.facebook.com/100006448789189")</f>
        <v>https://www.facebook.com/100006448789189</v>
      </c>
      <c r="K1723">
        <v>3850</v>
      </c>
      <c r="L1723" t="s">
        <v>6064</v>
      </c>
      <c r="N1723" t="s">
        <v>13</v>
      </c>
      <c r="O1723" t="s">
        <v>1457</v>
      </c>
      <c r="P1723" s="2" t="str">
        <f>HYPERLINK("https://www.facebook.com/100006448789189")</f>
        <v>https://www.facebook.com/100006448789189</v>
      </c>
      <c r="Q1723">
        <v>3850</v>
      </c>
      <c r="R1723" t="s">
        <v>6067</v>
      </c>
      <c r="S1723" t="s">
        <v>6073</v>
      </c>
    </row>
    <row r="1724" spans="1:19" ht="14.25" customHeight="1" x14ac:dyDescent="0.3">
      <c r="A1724" t="s">
        <v>629</v>
      </c>
      <c r="B1724" t="s">
        <v>1456</v>
      </c>
      <c r="C1724" t="s">
        <v>95</v>
      </c>
      <c r="D1724" t="s">
        <v>370</v>
      </c>
      <c r="E1724" t="s">
        <v>371</v>
      </c>
      <c r="F1724" t="s">
        <v>6058</v>
      </c>
      <c r="G1724" s="2" t="str">
        <f>HYPERLINK("https://www.facebook.com/100006448789189/posts/1991512831073657")</f>
        <v>https://www.facebook.com/100006448789189/posts/1991512831073657</v>
      </c>
      <c r="H1724" t="s">
        <v>6062</v>
      </c>
      <c r="I1724" t="s">
        <v>1457</v>
      </c>
      <c r="J1724" s="2" t="str">
        <f>HYPERLINK("https://www.facebook.com/100006448789189")</f>
        <v>https://www.facebook.com/100006448789189</v>
      </c>
      <c r="K1724">
        <v>3850</v>
      </c>
      <c r="L1724" t="s">
        <v>6064</v>
      </c>
      <c r="N1724" t="s">
        <v>13</v>
      </c>
      <c r="O1724" t="s">
        <v>1457</v>
      </c>
      <c r="P1724" s="2" t="str">
        <f>HYPERLINK("https://www.facebook.com/100006448789189")</f>
        <v>https://www.facebook.com/100006448789189</v>
      </c>
      <c r="Q1724">
        <v>3850</v>
      </c>
      <c r="R1724" t="s">
        <v>6067</v>
      </c>
      <c r="S1724" t="s">
        <v>6073</v>
      </c>
    </row>
    <row r="1725" spans="1:19" ht="14.25" customHeight="1" x14ac:dyDescent="0.3">
      <c r="A1725" t="s">
        <v>2225</v>
      </c>
      <c r="B1725" t="s">
        <v>2803</v>
      </c>
      <c r="C1725" t="s">
        <v>95</v>
      </c>
      <c r="D1725" t="s">
        <v>544</v>
      </c>
      <c r="E1725" t="s">
        <v>545</v>
      </c>
      <c r="F1725" t="s">
        <v>6058</v>
      </c>
      <c r="G1725" s="2" t="str">
        <f>HYPERLINK("https://www.facebook.com/100008869038508/posts/1801868670118750")</f>
        <v>https://www.facebook.com/100008869038508/posts/1801868670118750</v>
      </c>
      <c r="H1725" t="s">
        <v>6062</v>
      </c>
      <c r="I1725" t="s">
        <v>2813</v>
      </c>
      <c r="J1725" s="2" t="str">
        <f>HYPERLINK("https://www.facebook.com/100008869038508")</f>
        <v>https://www.facebook.com/100008869038508</v>
      </c>
      <c r="K1725">
        <v>200</v>
      </c>
      <c r="L1725" t="s">
        <v>6064</v>
      </c>
      <c r="N1725" t="s">
        <v>13</v>
      </c>
      <c r="O1725" t="s">
        <v>2813</v>
      </c>
      <c r="P1725" s="2" t="str">
        <f>HYPERLINK("https://www.facebook.com/100008869038508")</f>
        <v>https://www.facebook.com/100008869038508</v>
      </c>
      <c r="Q1725">
        <v>200</v>
      </c>
      <c r="R1725" t="s">
        <v>6067</v>
      </c>
      <c r="S1725" t="s">
        <v>6073</v>
      </c>
    </row>
    <row r="1726" spans="1:19" ht="14.25" customHeight="1" x14ac:dyDescent="0.3">
      <c r="A1726" t="s">
        <v>629</v>
      </c>
      <c r="B1726" t="s">
        <v>411</v>
      </c>
      <c r="C1726" t="s">
        <v>95</v>
      </c>
      <c r="D1726" t="s">
        <v>370</v>
      </c>
      <c r="E1726" t="s">
        <v>371</v>
      </c>
      <c r="F1726" t="s">
        <v>6058</v>
      </c>
      <c r="G1726" s="2" t="str">
        <f>HYPERLINK("https://www.facebook.com/100010660301773/posts/593311804367491")</f>
        <v>https://www.facebook.com/100010660301773/posts/593311804367491</v>
      </c>
      <c r="H1726" t="s">
        <v>6062</v>
      </c>
      <c r="I1726" t="s">
        <v>1775</v>
      </c>
      <c r="J1726" s="2" t="str">
        <f>HYPERLINK("https://www.facebook.com/100010660301773")</f>
        <v>https://www.facebook.com/100010660301773</v>
      </c>
      <c r="K1726">
        <v>202</v>
      </c>
      <c r="L1726" t="s">
        <v>6064</v>
      </c>
      <c r="N1726" t="s">
        <v>13</v>
      </c>
      <c r="O1726" t="s">
        <v>1775</v>
      </c>
      <c r="P1726" s="2" t="str">
        <f>HYPERLINK("https://www.facebook.com/100010660301773")</f>
        <v>https://www.facebook.com/100010660301773</v>
      </c>
      <c r="Q1726">
        <v>202</v>
      </c>
      <c r="R1726" t="s">
        <v>6067</v>
      </c>
    </row>
    <row r="1727" spans="1:19" ht="14.25" customHeight="1" x14ac:dyDescent="0.3">
      <c r="A1727" t="s">
        <v>629</v>
      </c>
      <c r="B1727" t="s">
        <v>413</v>
      </c>
      <c r="C1727" t="s">
        <v>95</v>
      </c>
      <c r="D1727" t="s">
        <v>370</v>
      </c>
      <c r="E1727" t="s">
        <v>371</v>
      </c>
      <c r="F1727" t="s">
        <v>6058</v>
      </c>
      <c r="G1727" s="2" t="str">
        <f>HYPERLINK("https://www.facebook.com/100010660301773/posts/593311621034176")</f>
        <v>https://www.facebook.com/100010660301773/posts/593311621034176</v>
      </c>
      <c r="H1727" t="s">
        <v>6062</v>
      </c>
      <c r="I1727" t="s">
        <v>1775</v>
      </c>
      <c r="J1727" s="2" t="str">
        <f>HYPERLINK("https://www.facebook.com/100010660301773")</f>
        <v>https://www.facebook.com/100010660301773</v>
      </c>
      <c r="K1727">
        <v>202</v>
      </c>
      <c r="L1727" t="s">
        <v>6064</v>
      </c>
      <c r="N1727" t="s">
        <v>13</v>
      </c>
      <c r="O1727" t="s">
        <v>1775</v>
      </c>
      <c r="P1727" s="2" t="str">
        <f>HYPERLINK("https://www.facebook.com/100010660301773")</f>
        <v>https://www.facebook.com/100010660301773</v>
      </c>
      <c r="Q1727">
        <v>202</v>
      </c>
      <c r="R1727" t="s">
        <v>6067</v>
      </c>
    </row>
    <row r="1728" spans="1:19" ht="14.25" customHeight="1" x14ac:dyDescent="0.3">
      <c r="A1728" t="s">
        <v>2225</v>
      </c>
      <c r="B1728" t="s">
        <v>2831</v>
      </c>
      <c r="C1728" t="s">
        <v>95</v>
      </c>
      <c r="D1728" t="s">
        <v>544</v>
      </c>
      <c r="E1728" t="s">
        <v>545</v>
      </c>
      <c r="F1728" t="s">
        <v>6058</v>
      </c>
      <c r="G1728" s="2" t="str">
        <f>HYPERLINK("https://www.facebook.com/100019988290615/posts/156467415029534")</f>
        <v>https://www.facebook.com/100019988290615/posts/156467415029534</v>
      </c>
      <c r="H1728" t="s">
        <v>6062</v>
      </c>
      <c r="I1728" t="s">
        <v>1811</v>
      </c>
      <c r="J1728" s="2" t="str">
        <f>HYPERLINK("https://www.facebook.com/100019988290615")</f>
        <v>https://www.facebook.com/100019988290615</v>
      </c>
      <c r="K1728">
        <v>2233</v>
      </c>
      <c r="L1728" t="s">
        <v>6064</v>
      </c>
      <c r="N1728" t="s">
        <v>13</v>
      </c>
      <c r="O1728" t="s">
        <v>1811</v>
      </c>
      <c r="P1728" s="2" t="str">
        <f>HYPERLINK("https://www.facebook.com/100019988290615")</f>
        <v>https://www.facebook.com/100019988290615</v>
      </c>
      <c r="Q1728">
        <v>2233</v>
      </c>
      <c r="R1728" t="s">
        <v>6067</v>
      </c>
      <c r="S1728" t="s">
        <v>6073</v>
      </c>
    </row>
    <row r="1729" spans="1:19" ht="14.25" customHeight="1" x14ac:dyDescent="0.3">
      <c r="A1729" t="s">
        <v>629</v>
      </c>
      <c r="B1729" t="s">
        <v>1810</v>
      </c>
      <c r="C1729" t="s">
        <v>95</v>
      </c>
      <c r="D1729" t="s">
        <v>370</v>
      </c>
      <c r="E1729" t="s">
        <v>371</v>
      </c>
      <c r="F1729" t="s">
        <v>6058</v>
      </c>
      <c r="G1729" s="2" t="str">
        <f>HYPERLINK("https://www.facebook.com/100019988290615/posts/156574488352160")</f>
        <v>https://www.facebook.com/100019988290615/posts/156574488352160</v>
      </c>
      <c r="H1729" t="s">
        <v>6062</v>
      </c>
      <c r="I1729" t="s">
        <v>1811</v>
      </c>
      <c r="J1729" s="2" t="str">
        <f>HYPERLINK("https://www.facebook.com/100019988290615")</f>
        <v>https://www.facebook.com/100019988290615</v>
      </c>
      <c r="K1729">
        <v>2233</v>
      </c>
      <c r="L1729" t="s">
        <v>6064</v>
      </c>
      <c r="N1729" t="s">
        <v>13</v>
      </c>
      <c r="O1729" t="s">
        <v>1811</v>
      </c>
      <c r="P1729" s="2" t="str">
        <f>HYPERLINK("https://www.facebook.com/100019988290615")</f>
        <v>https://www.facebook.com/100019988290615</v>
      </c>
      <c r="Q1729">
        <v>2233</v>
      </c>
      <c r="R1729" t="s">
        <v>6067</v>
      </c>
      <c r="S1729" t="s">
        <v>6073</v>
      </c>
    </row>
    <row r="1730" spans="1:19" ht="14.25" customHeight="1" x14ac:dyDescent="0.3">
      <c r="A1730" t="s">
        <v>629</v>
      </c>
      <c r="B1730" t="s">
        <v>447</v>
      </c>
      <c r="C1730" t="s">
        <v>95</v>
      </c>
      <c r="D1730" t="s">
        <v>370</v>
      </c>
      <c r="E1730" t="s">
        <v>371</v>
      </c>
      <c r="F1730" t="s">
        <v>6058</v>
      </c>
      <c r="G1730" s="2" t="str">
        <f>HYPERLINK("https://www.facebook.com/100019988290615/posts/156572005019075")</f>
        <v>https://www.facebook.com/100019988290615/posts/156572005019075</v>
      </c>
      <c r="H1730" t="s">
        <v>6062</v>
      </c>
      <c r="I1730" t="s">
        <v>1811</v>
      </c>
      <c r="J1730" s="2" t="str">
        <f>HYPERLINK("https://www.facebook.com/100019988290615")</f>
        <v>https://www.facebook.com/100019988290615</v>
      </c>
      <c r="K1730">
        <v>2233</v>
      </c>
      <c r="L1730" t="s">
        <v>6064</v>
      </c>
      <c r="N1730" t="s">
        <v>13</v>
      </c>
      <c r="O1730" t="s">
        <v>1811</v>
      </c>
      <c r="P1730" s="2" t="str">
        <f>HYPERLINK("https://www.facebook.com/100019988290615")</f>
        <v>https://www.facebook.com/100019988290615</v>
      </c>
      <c r="Q1730">
        <v>2233</v>
      </c>
      <c r="R1730" t="s">
        <v>6067</v>
      </c>
      <c r="S1730" t="s">
        <v>6073</v>
      </c>
    </row>
    <row r="1731" spans="1:19" ht="14.25" customHeight="1" x14ac:dyDescent="0.3">
      <c r="A1731" t="s">
        <v>2225</v>
      </c>
      <c r="B1731" t="s">
        <v>2370</v>
      </c>
      <c r="C1731" t="s">
        <v>95</v>
      </c>
      <c r="D1731" t="s">
        <v>544</v>
      </c>
      <c r="E1731" t="s">
        <v>545</v>
      </c>
      <c r="F1731" t="s">
        <v>6058</v>
      </c>
      <c r="G1731" s="2" t="str">
        <f>HYPERLINK("https://www.facebook.com/100015864871174/posts/268091103729717")</f>
        <v>https://www.facebook.com/100015864871174/posts/268091103729717</v>
      </c>
      <c r="H1731" t="s">
        <v>6062</v>
      </c>
      <c r="I1731" t="s">
        <v>2371</v>
      </c>
      <c r="J1731" s="2" t="str">
        <f>HYPERLINK("https://www.facebook.com/100015864871174")</f>
        <v>https://www.facebook.com/100015864871174</v>
      </c>
      <c r="K1731">
        <v>51</v>
      </c>
      <c r="L1731" t="s">
        <v>6064</v>
      </c>
      <c r="N1731" t="s">
        <v>13</v>
      </c>
      <c r="O1731" t="s">
        <v>2371</v>
      </c>
      <c r="P1731" s="2" t="str">
        <f>HYPERLINK("https://www.facebook.com/100015864871174")</f>
        <v>https://www.facebook.com/100015864871174</v>
      </c>
      <c r="Q1731">
        <v>51</v>
      </c>
      <c r="R1731" t="s">
        <v>6067</v>
      </c>
    </row>
    <row r="1732" spans="1:19" ht="14.25" customHeight="1" x14ac:dyDescent="0.3">
      <c r="A1732" t="s">
        <v>2225</v>
      </c>
      <c r="B1732" t="s">
        <v>2646</v>
      </c>
      <c r="C1732" t="s">
        <v>95</v>
      </c>
      <c r="D1732" t="s">
        <v>544</v>
      </c>
      <c r="E1732" t="s">
        <v>545</v>
      </c>
      <c r="F1732" t="s">
        <v>6058</v>
      </c>
      <c r="G1732" s="2" t="str">
        <f>HYPERLINK("https://www.facebook.com/100004120749288/posts/1004825732998109")</f>
        <v>https://www.facebook.com/100004120749288/posts/1004825732998109</v>
      </c>
      <c r="H1732" t="s">
        <v>6062</v>
      </c>
      <c r="I1732" t="s">
        <v>2647</v>
      </c>
      <c r="J1732" s="2" t="str">
        <f>HYPERLINK("https://www.facebook.com/100004120749288")</f>
        <v>https://www.facebook.com/100004120749288</v>
      </c>
      <c r="K1732">
        <v>511</v>
      </c>
      <c r="L1732" t="s">
        <v>6064</v>
      </c>
      <c r="N1732" t="s">
        <v>13</v>
      </c>
      <c r="O1732" t="s">
        <v>2647</v>
      </c>
      <c r="P1732" s="2" t="str">
        <f>HYPERLINK("https://www.facebook.com/100004120749288")</f>
        <v>https://www.facebook.com/100004120749288</v>
      </c>
      <c r="Q1732">
        <v>511</v>
      </c>
      <c r="R1732" t="s">
        <v>6067</v>
      </c>
      <c r="S1732" t="s">
        <v>6073</v>
      </c>
    </row>
    <row r="1733" spans="1:19" ht="14.25" customHeight="1" x14ac:dyDescent="0.3">
      <c r="A1733" t="s">
        <v>629</v>
      </c>
      <c r="B1733" t="s">
        <v>1640</v>
      </c>
      <c r="C1733" t="s">
        <v>95</v>
      </c>
      <c r="D1733" t="s">
        <v>370</v>
      </c>
      <c r="E1733" t="s">
        <v>371</v>
      </c>
      <c r="F1733" t="s">
        <v>6058</v>
      </c>
      <c r="G1733" s="2" t="str">
        <f>HYPERLINK("https://www.facebook.com/100001627059561/posts/1813212055409679")</f>
        <v>https://www.facebook.com/100001627059561/posts/1813212055409679</v>
      </c>
      <c r="H1733" t="s">
        <v>6062</v>
      </c>
      <c r="I1733" t="s">
        <v>1644</v>
      </c>
      <c r="J1733" s="2" t="str">
        <f>HYPERLINK("https://www.facebook.com/100001627059561")</f>
        <v>https://www.facebook.com/100001627059561</v>
      </c>
      <c r="K1733">
        <v>5025</v>
      </c>
      <c r="L1733" t="s">
        <v>6064</v>
      </c>
      <c r="N1733" t="s">
        <v>13</v>
      </c>
      <c r="O1733" t="s">
        <v>1644</v>
      </c>
      <c r="P1733" s="2" t="str">
        <f>HYPERLINK("https://www.facebook.com/100001627059561")</f>
        <v>https://www.facebook.com/100001627059561</v>
      </c>
      <c r="Q1733">
        <v>5025</v>
      </c>
      <c r="R1733" t="s">
        <v>6067</v>
      </c>
      <c r="S1733" t="s">
        <v>6073</v>
      </c>
    </row>
    <row r="1734" spans="1:19" ht="14.25" customHeight="1" x14ac:dyDescent="0.3">
      <c r="A1734" t="s">
        <v>2225</v>
      </c>
      <c r="B1734" t="s">
        <v>730</v>
      </c>
      <c r="C1734" t="s">
        <v>95</v>
      </c>
      <c r="D1734" t="s">
        <v>544</v>
      </c>
      <c r="E1734" t="s">
        <v>545</v>
      </c>
      <c r="F1734" t="s">
        <v>6058</v>
      </c>
      <c r="G1734" s="2" t="str">
        <f>HYPERLINK("https://www.facebook.com/100007893820048/posts/2055144491425325")</f>
        <v>https://www.facebook.com/100007893820048/posts/2055144491425325</v>
      </c>
      <c r="H1734" t="s">
        <v>6062</v>
      </c>
      <c r="I1734" t="s">
        <v>2466</v>
      </c>
      <c r="J1734" s="2" t="str">
        <f>HYPERLINK("https://www.facebook.com/100007893820048")</f>
        <v>https://www.facebook.com/100007893820048</v>
      </c>
      <c r="K1734">
        <v>865</v>
      </c>
      <c r="L1734" t="s">
        <v>6064</v>
      </c>
      <c r="N1734" t="s">
        <v>13</v>
      </c>
      <c r="O1734" t="s">
        <v>2466</v>
      </c>
      <c r="P1734" s="2" t="str">
        <f>HYPERLINK("https://www.facebook.com/100007893820048")</f>
        <v>https://www.facebook.com/100007893820048</v>
      </c>
      <c r="Q1734">
        <v>865</v>
      </c>
      <c r="R1734" t="s">
        <v>6067</v>
      </c>
      <c r="S1734" t="s">
        <v>6073</v>
      </c>
    </row>
    <row r="1735" spans="1:19" ht="14.25" customHeight="1" x14ac:dyDescent="0.3">
      <c r="A1735" t="s">
        <v>629</v>
      </c>
      <c r="B1735" t="s">
        <v>675</v>
      </c>
      <c r="C1735" t="s">
        <v>95</v>
      </c>
      <c r="D1735" t="s">
        <v>683</v>
      </c>
      <c r="E1735" t="s">
        <v>684</v>
      </c>
      <c r="F1735" t="s">
        <v>6057</v>
      </c>
      <c r="G1735" s="2" t="str">
        <f>HYPERLINK("https://www.facebook.com/100007143846447/posts/2079243692323739")</f>
        <v>https://www.facebook.com/100007143846447/posts/2079243692323739</v>
      </c>
      <c r="H1735" t="s">
        <v>6062</v>
      </c>
      <c r="I1735" t="s">
        <v>685</v>
      </c>
      <c r="J1735" s="2" t="str">
        <f>HYPERLINK("https://www.facebook.com/100007143846447")</f>
        <v>https://www.facebook.com/100007143846447</v>
      </c>
      <c r="K1735">
        <v>697</v>
      </c>
      <c r="L1735" t="s">
        <v>6064</v>
      </c>
      <c r="N1735" t="s">
        <v>13</v>
      </c>
      <c r="O1735" t="s">
        <v>685</v>
      </c>
      <c r="P1735" s="2" t="str">
        <f>HYPERLINK("https://www.facebook.com/100007143846447")</f>
        <v>https://www.facebook.com/100007143846447</v>
      </c>
      <c r="Q1735">
        <v>697</v>
      </c>
      <c r="R1735" t="s">
        <v>6067</v>
      </c>
      <c r="S1735" t="s">
        <v>6073</v>
      </c>
    </row>
    <row r="1736" spans="1:19" ht="14.25" customHeight="1" x14ac:dyDescent="0.3">
      <c r="A1736" t="s">
        <v>2225</v>
      </c>
      <c r="B1736" t="s">
        <v>2847</v>
      </c>
      <c r="C1736" t="s">
        <v>95</v>
      </c>
      <c r="D1736" t="s">
        <v>544</v>
      </c>
      <c r="E1736" t="s">
        <v>545</v>
      </c>
      <c r="F1736" t="s">
        <v>6058</v>
      </c>
      <c r="G1736" s="2" t="str">
        <f>HYPERLINK("https://www.facebook.com/100017413959339/posts/212461546010976")</f>
        <v>https://www.facebook.com/100017413959339/posts/212461546010976</v>
      </c>
      <c r="H1736" t="s">
        <v>6062</v>
      </c>
      <c r="I1736" t="s">
        <v>2859</v>
      </c>
      <c r="J1736" s="2" t="str">
        <f>HYPERLINK("https://www.facebook.com/100017413959339")</f>
        <v>https://www.facebook.com/100017413959339</v>
      </c>
      <c r="K1736">
        <v>115</v>
      </c>
      <c r="L1736" t="s">
        <v>6064</v>
      </c>
      <c r="N1736" t="s">
        <v>13</v>
      </c>
      <c r="O1736" t="s">
        <v>2859</v>
      </c>
      <c r="P1736" s="2" t="str">
        <f>HYPERLINK("https://www.facebook.com/100017413959339")</f>
        <v>https://www.facebook.com/100017413959339</v>
      </c>
      <c r="Q1736">
        <v>115</v>
      </c>
      <c r="R1736" t="s">
        <v>6067</v>
      </c>
    </row>
    <row r="1737" spans="1:19" ht="14.25" customHeight="1" x14ac:dyDescent="0.3">
      <c r="A1737" t="s">
        <v>629</v>
      </c>
      <c r="B1737" t="s">
        <v>271</v>
      </c>
      <c r="C1737" t="s">
        <v>95</v>
      </c>
      <c r="D1737" t="s">
        <v>370</v>
      </c>
      <c r="E1737" t="s">
        <v>371</v>
      </c>
      <c r="F1737" t="s">
        <v>6058</v>
      </c>
      <c r="G1737" s="2" t="str">
        <f>HYPERLINK("https://www.facebook.com/100003051841032/posts/1479863508792030")</f>
        <v>https://www.facebook.com/100003051841032/posts/1479863508792030</v>
      </c>
      <c r="H1737" t="s">
        <v>6062</v>
      </c>
      <c r="I1737" t="s">
        <v>1482</v>
      </c>
      <c r="J1737" s="2" t="str">
        <f>HYPERLINK("https://www.facebook.com/100003051841032")</f>
        <v>https://www.facebook.com/100003051841032</v>
      </c>
      <c r="K1737">
        <v>1233</v>
      </c>
      <c r="L1737" t="s">
        <v>6064</v>
      </c>
      <c r="N1737" t="s">
        <v>13</v>
      </c>
      <c r="O1737" t="s">
        <v>1482</v>
      </c>
      <c r="P1737" s="2" t="str">
        <f>HYPERLINK("https://www.facebook.com/100003051841032")</f>
        <v>https://www.facebook.com/100003051841032</v>
      </c>
      <c r="Q1737">
        <v>1233</v>
      </c>
      <c r="R1737" t="s">
        <v>6067</v>
      </c>
      <c r="S1737" t="s">
        <v>6073</v>
      </c>
    </row>
    <row r="1738" spans="1:19" ht="14.25" customHeight="1" x14ac:dyDescent="0.3">
      <c r="A1738" t="s">
        <v>629</v>
      </c>
      <c r="B1738" t="s">
        <v>1476</v>
      </c>
      <c r="C1738" t="s">
        <v>95</v>
      </c>
      <c r="D1738" t="s">
        <v>667</v>
      </c>
      <c r="E1738" t="s">
        <v>668</v>
      </c>
      <c r="F1738" t="s">
        <v>6058</v>
      </c>
      <c r="G1738" s="2" t="str">
        <f>HYPERLINK("https://www.facebook.com/100003602539206/posts/1266991953430877")</f>
        <v>https://www.facebook.com/100003602539206/posts/1266991953430877</v>
      </c>
      <c r="H1738" t="s">
        <v>6062</v>
      </c>
      <c r="I1738" t="s">
        <v>1477</v>
      </c>
      <c r="J1738" s="2" t="str">
        <f>HYPERLINK("https://www.facebook.com/100003602539206")</f>
        <v>https://www.facebook.com/100003602539206</v>
      </c>
      <c r="K1738">
        <v>165</v>
      </c>
      <c r="L1738" t="s">
        <v>6064</v>
      </c>
      <c r="N1738" t="s">
        <v>13</v>
      </c>
      <c r="O1738" t="s">
        <v>1477</v>
      </c>
      <c r="P1738" s="2" t="str">
        <f>HYPERLINK("https://www.facebook.com/100003602539206")</f>
        <v>https://www.facebook.com/100003602539206</v>
      </c>
      <c r="Q1738">
        <v>165</v>
      </c>
      <c r="R1738" t="s">
        <v>6067</v>
      </c>
      <c r="S1738" t="s">
        <v>6073</v>
      </c>
    </row>
    <row r="1739" spans="1:19" ht="14.25" customHeight="1" x14ac:dyDescent="0.3">
      <c r="A1739" t="s">
        <v>2225</v>
      </c>
      <c r="B1739" t="s">
        <v>2759</v>
      </c>
      <c r="C1739" t="s">
        <v>95</v>
      </c>
      <c r="D1739" t="s">
        <v>853</v>
      </c>
      <c r="E1739" t="s">
        <v>2761</v>
      </c>
      <c r="F1739" t="s">
        <v>6059</v>
      </c>
      <c r="G1739" s="2" t="str">
        <f>HYPERLINK("https://www.facebook.com/100008934274771/posts/1810262525948206?comment_id=1810271875947271")</f>
        <v>https://www.facebook.com/100008934274771/posts/1810262525948206?comment_id=1810271875947271</v>
      </c>
      <c r="H1739" t="s">
        <v>6062</v>
      </c>
      <c r="I1739" t="s">
        <v>940</v>
      </c>
      <c r="J1739" s="2" t="str">
        <f>HYPERLINK("https://www.facebook.com/100024803131188")</f>
        <v>https://www.facebook.com/100024803131188</v>
      </c>
      <c r="K1739">
        <v>0</v>
      </c>
      <c r="L1739" t="s">
        <v>6064</v>
      </c>
      <c r="N1739" t="s">
        <v>13</v>
      </c>
      <c r="O1739" t="s">
        <v>856</v>
      </c>
      <c r="P1739" s="2" t="str">
        <f>HYPERLINK("https://www.facebook.com/100008934274771")</f>
        <v>https://www.facebook.com/100008934274771</v>
      </c>
      <c r="Q1739">
        <v>10395</v>
      </c>
      <c r="R1739" t="s">
        <v>6067</v>
      </c>
      <c r="S1739" t="s">
        <v>6073</v>
      </c>
    </row>
    <row r="1740" spans="1:19" ht="14.25" customHeight="1" x14ac:dyDescent="0.3">
      <c r="A1740" t="s">
        <v>629</v>
      </c>
      <c r="B1740" t="s">
        <v>939</v>
      </c>
      <c r="C1740" t="s">
        <v>95</v>
      </c>
      <c r="D1740" t="s">
        <v>667</v>
      </c>
      <c r="E1740" t="s">
        <v>668</v>
      </c>
      <c r="F1740" t="s">
        <v>6058</v>
      </c>
      <c r="G1740" s="2" t="str">
        <f>HYPERLINK("https://www.facebook.com/100003138533314/posts/1675858389195429")</f>
        <v>https://www.facebook.com/100003138533314/posts/1675858389195429</v>
      </c>
      <c r="H1740" t="s">
        <v>6062</v>
      </c>
      <c r="I1740" t="s">
        <v>940</v>
      </c>
      <c r="J1740" s="2" t="str">
        <f>HYPERLINK("https://www.facebook.com/100003138533314")</f>
        <v>https://www.facebook.com/100003138533314</v>
      </c>
      <c r="K1740">
        <v>249</v>
      </c>
      <c r="L1740" t="s">
        <v>6064</v>
      </c>
      <c r="N1740" t="s">
        <v>13</v>
      </c>
      <c r="O1740" t="s">
        <v>940</v>
      </c>
      <c r="P1740" s="2" t="str">
        <f>HYPERLINK("https://www.facebook.com/100003138533314")</f>
        <v>https://www.facebook.com/100003138533314</v>
      </c>
      <c r="Q1740">
        <v>249</v>
      </c>
      <c r="R1740" t="s">
        <v>6067</v>
      </c>
      <c r="S1740" t="s">
        <v>6073</v>
      </c>
    </row>
    <row r="1741" spans="1:19" ht="14.25" customHeight="1" x14ac:dyDescent="0.3">
      <c r="A1741" t="s">
        <v>629</v>
      </c>
      <c r="B1741" t="s">
        <v>2113</v>
      </c>
      <c r="C1741" t="s">
        <v>95</v>
      </c>
      <c r="D1741" t="s">
        <v>544</v>
      </c>
      <c r="E1741" t="s">
        <v>545</v>
      </c>
      <c r="F1741" t="s">
        <v>6058</v>
      </c>
      <c r="G1741" s="2" t="str">
        <f>HYPERLINK("https://www.facebook.com/100007178596644/posts/1973328106249790")</f>
        <v>https://www.facebook.com/100007178596644/posts/1973328106249790</v>
      </c>
      <c r="H1741" t="s">
        <v>6062</v>
      </c>
      <c r="I1741" t="s">
        <v>2114</v>
      </c>
      <c r="J1741" s="2" t="str">
        <f>HYPERLINK("https://www.facebook.com/100007178596644")</f>
        <v>https://www.facebook.com/100007178596644</v>
      </c>
      <c r="K1741">
        <v>96</v>
      </c>
      <c r="L1741" t="s">
        <v>6064</v>
      </c>
      <c r="N1741" t="s">
        <v>13</v>
      </c>
      <c r="O1741" t="s">
        <v>2114</v>
      </c>
      <c r="P1741" s="2" t="str">
        <f>HYPERLINK("https://www.facebook.com/100007178596644")</f>
        <v>https://www.facebook.com/100007178596644</v>
      </c>
      <c r="Q1741">
        <v>96</v>
      </c>
      <c r="R1741" t="s">
        <v>6067</v>
      </c>
      <c r="S1741" t="s">
        <v>6073</v>
      </c>
    </row>
    <row r="1742" spans="1:19" ht="14.25" customHeight="1" x14ac:dyDescent="0.3">
      <c r="A1742" t="s">
        <v>4439</v>
      </c>
      <c r="B1742" t="s">
        <v>1232</v>
      </c>
      <c r="C1742" t="s">
        <v>3538</v>
      </c>
      <c r="D1742" t="s">
        <v>2419</v>
      </c>
      <c r="E1742" t="s">
        <v>2420</v>
      </c>
      <c r="F1742" t="s">
        <v>6058</v>
      </c>
      <c r="G1742" s="2" t="str">
        <f>HYPERLINK("https://www.facebook.com/100005807165754/posts/851135715089993")</f>
        <v>https://www.facebook.com/100005807165754/posts/851135715089993</v>
      </c>
      <c r="H1742" t="s">
        <v>6062</v>
      </c>
      <c r="I1742" t="s">
        <v>4645</v>
      </c>
      <c r="J1742" s="2" t="str">
        <f>HYPERLINK("https://www.facebook.com/100005807165754")</f>
        <v>https://www.facebook.com/100005807165754</v>
      </c>
      <c r="K1742">
        <v>273</v>
      </c>
      <c r="L1742" t="s">
        <v>6063</v>
      </c>
      <c r="N1742" t="s">
        <v>13</v>
      </c>
      <c r="O1742" t="s">
        <v>4645</v>
      </c>
      <c r="P1742" s="2" t="str">
        <f>HYPERLINK("https://www.facebook.com/100005807165754")</f>
        <v>https://www.facebook.com/100005807165754</v>
      </c>
      <c r="Q1742">
        <v>273</v>
      </c>
      <c r="R1742" t="s">
        <v>6067</v>
      </c>
      <c r="S1742" t="s">
        <v>6073</v>
      </c>
    </row>
    <row r="1743" spans="1:19" ht="14.25" customHeight="1" x14ac:dyDescent="0.3">
      <c r="A1743" t="s">
        <v>2225</v>
      </c>
      <c r="B1743" t="s">
        <v>3446</v>
      </c>
      <c r="C1743" t="s">
        <v>95</v>
      </c>
      <c r="D1743" t="s">
        <v>3447</v>
      </c>
      <c r="E1743" t="s">
        <v>3448</v>
      </c>
      <c r="F1743" t="s">
        <v>6059</v>
      </c>
      <c r="G1743" s="2" t="str">
        <f>HYPERLINK("https://www.facebook.com/100003283365134/posts/1621532204632876?comment_id=1621924774593619")</f>
        <v>https://www.facebook.com/100003283365134/posts/1621532204632876?comment_id=1621924774593619</v>
      </c>
      <c r="H1743" t="s">
        <v>6062</v>
      </c>
      <c r="I1743" t="s">
        <v>3449</v>
      </c>
      <c r="J1743" s="2" t="str">
        <f>HYPERLINK("https://www.facebook.com/100003283365134")</f>
        <v>https://www.facebook.com/100003283365134</v>
      </c>
      <c r="K1743">
        <v>4988</v>
      </c>
      <c r="L1743" t="s">
        <v>6063</v>
      </c>
      <c r="N1743" t="s">
        <v>13</v>
      </c>
      <c r="O1743" t="s">
        <v>3449</v>
      </c>
      <c r="P1743" s="2" t="str">
        <f>HYPERLINK("https://www.facebook.com/100003283365134")</f>
        <v>https://www.facebook.com/100003283365134</v>
      </c>
      <c r="Q1743">
        <v>4988</v>
      </c>
      <c r="R1743" t="s">
        <v>6067</v>
      </c>
      <c r="S1743" t="s">
        <v>6073</v>
      </c>
    </row>
    <row r="1744" spans="1:19" ht="14.25" customHeight="1" x14ac:dyDescent="0.3">
      <c r="A1744" t="s">
        <v>3527</v>
      </c>
      <c r="B1744" t="s">
        <v>3651</v>
      </c>
      <c r="C1744" t="s">
        <v>95</v>
      </c>
      <c r="D1744" t="s">
        <v>3447</v>
      </c>
      <c r="E1744" t="s">
        <v>3652</v>
      </c>
      <c r="F1744" t="s">
        <v>6056</v>
      </c>
      <c r="G1744" s="2" t="str">
        <f>HYPERLINK("https://www.facebook.com/100003283365134/posts/1621532204632876")</f>
        <v>https://www.facebook.com/100003283365134/posts/1621532204632876</v>
      </c>
      <c r="H1744" t="s">
        <v>6062</v>
      </c>
      <c r="I1744" t="s">
        <v>3449</v>
      </c>
      <c r="J1744" s="2" t="str">
        <f>HYPERLINK("https://www.facebook.com/100003283365134")</f>
        <v>https://www.facebook.com/100003283365134</v>
      </c>
      <c r="K1744">
        <v>4988</v>
      </c>
      <c r="L1744" t="s">
        <v>6063</v>
      </c>
      <c r="N1744" t="s">
        <v>13</v>
      </c>
      <c r="O1744" t="s">
        <v>3449</v>
      </c>
      <c r="P1744" s="2" t="str">
        <f>HYPERLINK("https://www.facebook.com/100003283365134")</f>
        <v>https://www.facebook.com/100003283365134</v>
      </c>
      <c r="Q1744">
        <v>4988</v>
      </c>
      <c r="R1744" t="s">
        <v>6067</v>
      </c>
      <c r="S1744" t="s">
        <v>6073</v>
      </c>
    </row>
    <row r="1745" spans="1:19" ht="14.25" customHeight="1" x14ac:dyDescent="0.3">
      <c r="A1745" t="s">
        <v>5409</v>
      </c>
      <c r="B1745" t="s">
        <v>493</v>
      </c>
      <c r="C1745" t="s">
        <v>3538</v>
      </c>
      <c r="D1745" t="s">
        <v>5442</v>
      </c>
      <c r="E1745" t="s">
        <v>5592</v>
      </c>
      <c r="F1745" t="s">
        <v>6058</v>
      </c>
      <c r="G1745" s="2" t="str">
        <f>HYPERLINK("https://www.facebook.com/757684856/posts/10156173210169857")</f>
        <v>https://www.facebook.com/757684856/posts/10156173210169857</v>
      </c>
      <c r="H1745" t="s">
        <v>6062</v>
      </c>
      <c r="I1745" t="s">
        <v>5941</v>
      </c>
      <c r="J1745" s="2" t="str">
        <f>HYPERLINK("https://www.facebook.com/757684856")</f>
        <v>https://www.facebook.com/757684856</v>
      </c>
      <c r="K1745">
        <v>3964</v>
      </c>
      <c r="L1745" t="s">
        <v>6063</v>
      </c>
      <c r="N1745" t="s">
        <v>13</v>
      </c>
      <c r="O1745" t="s">
        <v>5941</v>
      </c>
      <c r="P1745" s="2" t="str">
        <f>HYPERLINK("https://www.facebook.com/757684856")</f>
        <v>https://www.facebook.com/757684856</v>
      </c>
      <c r="Q1745">
        <v>3964</v>
      </c>
      <c r="R1745" t="s">
        <v>6067</v>
      </c>
      <c r="S1745" t="s">
        <v>6073</v>
      </c>
    </row>
    <row r="1746" spans="1:19" ht="14.25" customHeight="1" x14ac:dyDescent="0.3">
      <c r="A1746" t="s">
        <v>3527</v>
      </c>
      <c r="B1746" t="s">
        <v>4231</v>
      </c>
      <c r="C1746" t="s">
        <v>95</v>
      </c>
      <c r="D1746" t="s">
        <v>1593</v>
      </c>
      <c r="E1746" t="s">
        <v>4232</v>
      </c>
      <c r="F1746" t="s">
        <v>6056</v>
      </c>
      <c r="G1746" s="2" t="str">
        <f>HYPERLINK("https://www.facebook.com/100009535370359/posts/1990060717988421")</f>
        <v>https://www.facebook.com/100009535370359/posts/1990060717988421</v>
      </c>
      <c r="H1746" t="s">
        <v>6062</v>
      </c>
      <c r="I1746" t="s">
        <v>4233</v>
      </c>
      <c r="J1746" s="2" t="str">
        <f>HYPERLINK("https://www.facebook.com/100009535370359")</f>
        <v>https://www.facebook.com/100009535370359</v>
      </c>
      <c r="K1746">
        <v>173</v>
      </c>
      <c r="L1746" t="s">
        <v>6063</v>
      </c>
      <c r="N1746" t="s">
        <v>13</v>
      </c>
      <c r="O1746" t="s">
        <v>4233</v>
      </c>
      <c r="P1746" s="2" t="str">
        <f>HYPERLINK("https://www.facebook.com/100009535370359")</f>
        <v>https://www.facebook.com/100009535370359</v>
      </c>
      <c r="Q1746">
        <v>173</v>
      </c>
      <c r="R1746" t="s">
        <v>6067</v>
      </c>
      <c r="S1746" t="s">
        <v>6073</v>
      </c>
    </row>
    <row r="1747" spans="1:19" ht="14.25" customHeight="1" x14ac:dyDescent="0.3">
      <c r="A1747" t="s">
        <v>5409</v>
      </c>
      <c r="B1747" t="s">
        <v>5077</v>
      </c>
      <c r="C1747" t="s">
        <v>3538</v>
      </c>
      <c r="D1747" t="s">
        <v>5514</v>
      </c>
      <c r="E1747" t="s">
        <v>4</v>
      </c>
      <c r="F1747" t="s">
        <v>6059</v>
      </c>
      <c r="G1747" s="2" t="str">
        <f>HYPERLINK("https://www.facebook.com/100000613419440/posts/1899165490113880?comment_id=1913980515299044")</f>
        <v>https://www.facebook.com/100000613419440/posts/1899165490113880?comment_id=1913980515299044</v>
      </c>
      <c r="H1747" t="s">
        <v>6062</v>
      </c>
      <c r="I1747" t="s">
        <v>5515</v>
      </c>
      <c r="J1747" s="2" t="str">
        <f>HYPERLINK("https://www.facebook.com/100002170092092")</f>
        <v>https://www.facebook.com/100002170092092</v>
      </c>
      <c r="K1747">
        <v>418</v>
      </c>
      <c r="L1747" t="s">
        <v>6063</v>
      </c>
      <c r="N1747" t="s">
        <v>13</v>
      </c>
      <c r="O1747" t="s">
        <v>5516</v>
      </c>
      <c r="P1747" s="2" t="str">
        <f>HYPERLINK("https://www.facebook.com/100000613419440")</f>
        <v>https://www.facebook.com/100000613419440</v>
      </c>
      <c r="Q1747">
        <v>0</v>
      </c>
      <c r="R1747" t="s">
        <v>6067</v>
      </c>
      <c r="S1747" t="s">
        <v>6073</v>
      </c>
    </row>
    <row r="1748" spans="1:19" ht="14.25" customHeight="1" x14ac:dyDescent="0.3">
      <c r="A1748" t="s">
        <v>629</v>
      </c>
      <c r="B1748" t="s">
        <v>452</v>
      </c>
      <c r="C1748" t="s">
        <v>95</v>
      </c>
      <c r="D1748" t="s">
        <v>370</v>
      </c>
      <c r="E1748" t="s">
        <v>371</v>
      </c>
      <c r="F1748" t="s">
        <v>6058</v>
      </c>
      <c r="G1748" s="2" t="str">
        <f>HYPERLINK("https://www.facebook.com/100002017573298/posts/1659046180839285")</f>
        <v>https://www.facebook.com/100002017573298/posts/1659046180839285</v>
      </c>
      <c r="H1748" t="s">
        <v>6062</v>
      </c>
      <c r="I1748" t="s">
        <v>1879</v>
      </c>
      <c r="J1748" s="2" t="str">
        <f>HYPERLINK("https://www.facebook.com/100002017573298")</f>
        <v>https://www.facebook.com/100002017573298</v>
      </c>
      <c r="K1748">
        <v>3074</v>
      </c>
      <c r="L1748" t="s">
        <v>6063</v>
      </c>
      <c r="N1748" t="s">
        <v>13</v>
      </c>
      <c r="O1748" t="s">
        <v>1879</v>
      </c>
      <c r="P1748" s="2" t="str">
        <f>HYPERLINK("https://www.facebook.com/100002017573298")</f>
        <v>https://www.facebook.com/100002017573298</v>
      </c>
      <c r="Q1748">
        <v>3074</v>
      </c>
      <c r="R1748" t="s">
        <v>6067</v>
      </c>
    </row>
    <row r="1749" spans="1:19" ht="14.25" customHeight="1" x14ac:dyDescent="0.3">
      <c r="A1749" t="s">
        <v>4439</v>
      </c>
      <c r="B1749" t="s">
        <v>2184</v>
      </c>
      <c r="C1749" t="s">
        <v>3538</v>
      </c>
      <c r="D1749" t="s">
        <v>4468</v>
      </c>
      <c r="E1749" t="s">
        <v>4958</v>
      </c>
      <c r="F1749" t="s">
        <v>6059</v>
      </c>
      <c r="G1749" s="2" t="str">
        <f>HYPERLINK("https://www.facebook.com/1529329267308888/posts/2058827921025684?comment_id=2059427857632357")</f>
        <v>https://www.facebook.com/1529329267308888/posts/2058827921025684?comment_id=2059427857632357</v>
      </c>
      <c r="H1749" t="s">
        <v>6062</v>
      </c>
      <c r="I1749" t="s">
        <v>4959</v>
      </c>
      <c r="J1749" s="2" t="str">
        <f>HYPERLINK("https://www.facebook.com/100000895814839")</f>
        <v>https://www.facebook.com/100000895814839</v>
      </c>
      <c r="K1749">
        <v>129</v>
      </c>
      <c r="L1749" t="s">
        <v>6063</v>
      </c>
      <c r="N1749" t="s">
        <v>13</v>
      </c>
      <c r="O1749" t="s">
        <v>4471</v>
      </c>
      <c r="P1749" s="2" t="str">
        <f>HYPERLINK("https://www.facebook.com/1529329267308888")</f>
        <v>https://www.facebook.com/1529329267308888</v>
      </c>
      <c r="R1749" t="s">
        <v>6067</v>
      </c>
    </row>
    <row r="1750" spans="1:19" ht="14.25" customHeight="1" x14ac:dyDescent="0.3">
      <c r="A1750" t="s">
        <v>4439</v>
      </c>
      <c r="B1750" t="s">
        <v>607</v>
      </c>
      <c r="C1750" t="s">
        <v>3538</v>
      </c>
      <c r="D1750" t="s">
        <v>4468</v>
      </c>
      <c r="E1750" t="s">
        <v>4960</v>
      </c>
      <c r="F1750" t="s">
        <v>6059</v>
      </c>
      <c r="G1750" s="2" t="str">
        <f>HYPERLINK("https://www.facebook.com/1529329267308888/posts/2058827921025684?comment_id=2059427597632383")</f>
        <v>https://www.facebook.com/1529329267308888/posts/2058827921025684?comment_id=2059427597632383</v>
      </c>
      <c r="H1750" t="s">
        <v>6062</v>
      </c>
      <c r="I1750" t="s">
        <v>4959</v>
      </c>
      <c r="J1750" s="2" t="str">
        <f>HYPERLINK("https://www.facebook.com/100000895814839")</f>
        <v>https://www.facebook.com/100000895814839</v>
      </c>
      <c r="K1750">
        <v>129</v>
      </c>
      <c r="L1750" t="s">
        <v>6063</v>
      </c>
      <c r="N1750" t="s">
        <v>13</v>
      </c>
      <c r="O1750" t="s">
        <v>4471</v>
      </c>
      <c r="P1750" s="2" t="str">
        <f>HYPERLINK("https://www.facebook.com/1529329267308888")</f>
        <v>https://www.facebook.com/1529329267308888</v>
      </c>
      <c r="R1750" t="s">
        <v>6067</v>
      </c>
    </row>
    <row r="1751" spans="1:19" ht="14.25" customHeight="1" x14ac:dyDescent="0.3">
      <c r="A1751" t="s">
        <v>1</v>
      </c>
      <c r="B1751" t="s">
        <v>354</v>
      </c>
      <c r="C1751" t="s">
        <v>95</v>
      </c>
      <c r="D1751" t="s">
        <v>227</v>
      </c>
      <c r="E1751" t="s">
        <v>355</v>
      </c>
      <c r="F1751" t="s">
        <v>6059</v>
      </c>
      <c r="G1751" s="2" t="str">
        <f>HYPERLINK("https://www.facebook.com/403681463131864/posts/1009072465926091?comment_id=1009099872590017")</f>
        <v>https://www.facebook.com/403681463131864/posts/1009072465926091?comment_id=1009099872590017</v>
      </c>
      <c r="H1751" t="s">
        <v>6062</v>
      </c>
      <c r="I1751" t="s">
        <v>356</v>
      </c>
      <c r="J1751" s="2" t="str">
        <f>HYPERLINK("https://www.facebook.com/100023990596289")</f>
        <v>https://www.facebook.com/100023990596289</v>
      </c>
      <c r="K1751">
        <v>2628</v>
      </c>
      <c r="L1751" t="s">
        <v>6063</v>
      </c>
      <c r="N1751" t="s">
        <v>13</v>
      </c>
      <c r="O1751" t="s">
        <v>210</v>
      </c>
      <c r="P1751" s="2" t="str">
        <f>HYPERLINK("https://www.facebook.com/403681463131864")</f>
        <v>https://www.facebook.com/403681463131864</v>
      </c>
      <c r="R1751" t="s">
        <v>6067</v>
      </c>
      <c r="S1751" t="s">
        <v>6073</v>
      </c>
    </row>
    <row r="1752" spans="1:19" ht="14.25" customHeight="1" x14ac:dyDescent="0.3">
      <c r="A1752" t="s">
        <v>629</v>
      </c>
      <c r="B1752" t="s">
        <v>21</v>
      </c>
      <c r="C1752" t="s">
        <v>95</v>
      </c>
      <c r="D1752" t="s">
        <v>10</v>
      </c>
      <c r="E1752" t="s">
        <v>1276</v>
      </c>
      <c r="F1752" t="s">
        <v>6059</v>
      </c>
      <c r="G1752" s="2" t="str">
        <f>HYPERLINK("https://www.facebook.com/762053551/posts/10156366210158552?comment_id=10156366224023552")</f>
        <v>https://www.facebook.com/762053551/posts/10156366210158552?comment_id=10156366224023552</v>
      </c>
      <c r="H1752" t="s">
        <v>6062</v>
      </c>
      <c r="I1752" t="s">
        <v>356</v>
      </c>
      <c r="J1752" s="2" t="str">
        <f>HYPERLINK("https://www.facebook.com/100023990596289")</f>
        <v>https://www.facebook.com/100023990596289</v>
      </c>
      <c r="K1752">
        <v>2628</v>
      </c>
      <c r="L1752" t="s">
        <v>6063</v>
      </c>
      <c r="N1752" t="s">
        <v>13</v>
      </c>
      <c r="O1752" t="s">
        <v>14</v>
      </c>
      <c r="P1752" s="2" t="str">
        <f>HYPERLINK("https://www.facebook.com/762053551")</f>
        <v>https://www.facebook.com/762053551</v>
      </c>
      <c r="Q1752">
        <v>102347</v>
      </c>
      <c r="R1752" t="s">
        <v>6067</v>
      </c>
      <c r="S1752" t="s">
        <v>6073</v>
      </c>
    </row>
    <row r="1753" spans="1:19" ht="14.25" customHeight="1" x14ac:dyDescent="0.3">
      <c r="A1753" t="s">
        <v>2225</v>
      </c>
      <c r="B1753" t="s">
        <v>1527</v>
      </c>
      <c r="C1753" t="s">
        <v>95</v>
      </c>
      <c r="D1753" t="s">
        <v>3194</v>
      </c>
      <c r="E1753" t="s">
        <v>3195</v>
      </c>
      <c r="F1753" t="s">
        <v>6058</v>
      </c>
      <c r="G1753" s="2" t="str">
        <f>HYPERLINK("https://www.facebook.com/100010292176926/posts/631690420517358")</f>
        <v>https://www.facebook.com/100010292176926/posts/631690420517358</v>
      </c>
      <c r="H1753" t="s">
        <v>6062</v>
      </c>
      <c r="I1753" t="s">
        <v>356</v>
      </c>
      <c r="J1753" s="2" t="str">
        <f>HYPERLINK("https://www.facebook.com/100010292176926")</f>
        <v>https://www.facebook.com/100010292176926</v>
      </c>
      <c r="K1753">
        <v>728</v>
      </c>
      <c r="L1753" t="s">
        <v>6063</v>
      </c>
      <c r="N1753" t="s">
        <v>13</v>
      </c>
      <c r="O1753" t="s">
        <v>356</v>
      </c>
      <c r="P1753" s="2" t="str">
        <f>HYPERLINK("https://www.facebook.com/100010292176926")</f>
        <v>https://www.facebook.com/100010292176926</v>
      </c>
      <c r="Q1753">
        <v>728</v>
      </c>
      <c r="R1753" t="s">
        <v>6067</v>
      </c>
      <c r="S1753" t="s">
        <v>6073</v>
      </c>
    </row>
    <row r="1754" spans="1:19" ht="14.25" customHeight="1" x14ac:dyDescent="0.3">
      <c r="A1754" t="s">
        <v>629</v>
      </c>
      <c r="B1754" t="s">
        <v>1924</v>
      </c>
      <c r="C1754" t="s">
        <v>95</v>
      </c>
      <c r="D1754" t="s">
        <v>370</v>
      </c>
      <c r="E1754" t="s">
        <v>371</v>
      </c>
      <c r="F1754" t="s">
        <v>6058</v>
      </c>
      <c r="G1754" s="2" t="str">
        <f>HYPERLINK("https://www.facebook.com/100010292176926/posts/632181307134936")</f>
        <v>https://www.facebook.com/100010292176926/posts/632181307134936</v>
      </c>
      <c r="H1754" t="s">
        <v>6062</v>
      </c>
      <c r="I1754" t="s">
        <v>356</v>
      </c>
      <c r="J1754" s="2" t="str">
        <f>HYPERLINK("https://www.facebook.com/100010292176926")</f>
        <v>https://www.facebook.com/100010292176926</v>
      </c>
      <c r="K1754">
        <v>728</v>
      </c>
      <c r="L1754" t="s">
        <v>6063</v>
      </c>
      <c r="N1754" t="s">
        <v>13</v>
      </c>
      <c r="O1754" t="s">
        <v>356</v>
      </c>
      <c r="P1754" s="2" t="str">
        <f>HYPERLINK("https://www.facebook.com/100010292176926")</f>
        <v>https://www.facebook.com/100010292176926</v>
      </c>
      <c r="Q1754">
        <v>728</v>
      </c>
      <c r="R1754" t="s">
        <v>6067</v>
      </c>
      <c r="S1754" t="s">
        <v>6073</v>
      </c>
    </row>
    <row r="1755" spans="1:19" ht="14.25" customHeight="1" x14ac:dyDescent="0.3">
      <c r="A1755" t="s">
        <v>629</v>
      </c>
      <c r="B1755" t="s">
        <v>1930</v>
      </c>
      <c r="C1755" t="s">
        <v>95</v>
      </c>
      <c r="D1755" t="s">
        <v>370</v>
      </c>
      <c r="E1755" t="s">
        <v>371</v>
      </c>
      <c r="F1755" t="s">
        <v>6058</v>
      </c>
      <c r="G1755" s="2" t="str">
        <f>HYPERLINK("https://www.facebook.com/100010292176926/posts/632181237134943")</f>
        <v>https://www.facebook.com/100010292176926/posts/632181237134943</v>
      </c>
      <c r="H1755" t="s">
        <v>6062</v>
      </c>
      <c r="I1755" t="s">
        <v>356</v>
      </c>
      <c r="J1755" s="2" t="str">
        <f>HYPERLINK("https://www.facebook.com/100010292176926")</f>
        <v>https://www.facebook.com/100010292176926</v>
      </c>
      <c r="K1755">
        <v>728</v>
      </c>
      <c r="L1755" t="s">
        <v>6063</v>
      </c>
      <c r="N1755" t="s">
        <v>13</v>
      </c>
      <c r="O1755" t="s">
        <v>356</v>
      </c>
      <c r="P1755" s="2" t="str">
        <f>HYPERLINK("https://www.facebook.com/100010292176926")</f>
        <v>https://www.facebook.com/100010292176926</v>
      </c>
      <c r="Q1755">
        <v>728</v>
      </c>
      <c r="R1755" t="s">
        <v>6067</v>
      </c>
      <c r="S1755" t="s">
        <v>6073</v>
      </c>
    </row>
    <row r="1756" spans="1:19" ht="14.25" customHeight="1" x14ac:dyDescent="0.3">
      <c r="A1756" t="s">
        <v>1</v>
      </c>
      <c r="B1756" t="s">
        <v>388</v>
      </c>
      <c r="C1756" t="s">
        <v>95</v>
      </c>
      <c r="D1756" t="s">
        <v>227</v>
      </c>
      <c r="E1756" t="s">
        <v>389</v>
      </c>
      <c r="F1756" t="s">
        <v>6059</v>
      </c>
      <c r="G1756" s="2" t="str">
        <f>HYPERLINK("https://www.facebook.com/403681463131864/posts/1009072465926091?comment_id=1009092745924063")</f>
        <v>https://www.facebook.com/403681463131864/posts/1009072465926091?comment_id=1009092745924063</v>
      </c>
      <c r="H1756" t="s">
        <v>6062</v>
      </c>
      <c r="I1756" t="s">
        <v>356</v>
      </c>
      <c r="J1756" s="2" t="str">
        <f>HYPERLINK("https://www.facebook.com/100023990596289")</f>
        <v>https://www.facebook.com/100023990596289</v>
      </c>
      <c r="K1756">
        <v>2628</v>
      </c>
      <c r="L1756" t="s">
        <v>6063</v>
      </c>
      <c r="N1756" t="s">
        <v>13</v>
      </c>
      <c r="O1756" t="s">
        <v>210</v>
      </c>
      <c r="P1756" s="2" t="str">
        <f>HYPERLINK("https://www.facebook.com/403681463131864")</f>
        <v>https://www.facebook.com/403681463131864</v>
      </c>
      <c r="R1756" t="s">
        <v>6067</v>
      </c>
      <c r="S1756" t="s">
        <v>6073</v>
      </c>
    </row>
    <row r="1757" spans="1:19" ht="14.25" customHeight="1" x14ac:dyDescent="0.3">
      <c r="A1757" t="s">
        <v>629</v>
      </c>
      <c r="B1757" t="s">
        <v>1744</v>
      </c>
      <c r="C1757" t="s">
        <v>95</v>
      </c>
      <c r="D1757" t="s">
        <v>370</v>
      </c>
      <c r="E1757" t="s">
        <v>371</v>
      </c>
      <c r="F1757" t="s">
        <v>6058</v>
      </c>
      <c r="G1757" s="2" t="str">
        <f>HYPERLINK("https://www.facebook.com/100001833138004/posts/1958652290872523")</f>
        <v>https://www.facebook.com/100001833138004/posts/1958652290872523</v>
      </c>
      <c r="H1757" t="s">
        <v>6062</v>
      </c>
      <c r="I1757" t="s">
        <v>1748</v>
      </c>
      <c r="J1757" s="2" t="str">
        <f>HYPERLINK("https://www.facebook.com/100001833138004")</f>
        <v>https://www.facebook.com/100001833138004</v>
      </c>
      <c r="K1757">
        <v>2758</v>
      </c>
      <c r="L1757" t="s">
        <v>6063</v>
      </c>
      <c r="N1757" t="s">
        <v>13</v>
      </c>
      <c r="O1757" t="s">
        <v>1748</v>
      </c>
      <c r="P1757" s="2" t="str">
        <f>HYPERLINK("https://www.facebook.com/100001833138004")</f>
        <v>https://www.facebook.com/100001833138004</v>
      </c>
      <c r="Q1757">
        <v>2758</v>
      </c>
      <c r="R1757" t="s">
        <v>6067</v>
      </c>
      <c r="S1757" t="s">
        <v>6073</v>
      </c>
    </row>
    <row r="1758" spans="1:19" ht="14.25" customHeight="1" x14ac:dyDescent="0.3">
      <c r="A1758" t="s">
        <v>2225</v>
      </c>
      <c r="B1758" t="s">
        <v>2536</v>
      </c>
      <c r="C1758" t="s">
        <v>95</v>
      </c>
      <c r="D1758" t="s">
        <v>853</v>
      </c>
      <c r="E1758" t="s">
        <v>2546</v>
      </c>
      <c r="F1758" t="s">
        <v>6059</v>
      </c>
      <c r="G1758" s="2" t="str">
        <f>HYPERLINK("https://www.facebook.com/100008934274771/posts/1810262525948206?comment_id=1810290325945426")</f>
        <v>https://www.facebook.com/100008934274771/posts/1810262525948206?comment_id=1810290325945426</v>
      </c>
      <c r="H1758" t="s">
        <v>6062</v>
      </c>
      <c r="I1758" t="s">
        <v>1890</v>
      </c>
      <c r="J1758" s="2" t="str">
        <f>HYPERLINK("https://www.facebook.com/100001286626465")</f>
        <v>https://www.facebook.com/100001286626465</v>
      </c>
      <c r="K1758">
        <v>50</v>
      </c>
      <c r="L1758" t="s">
        <v>6064</v>
      </c>
      <c r="N1758" t="s">
        <v>13</v>
      </c>
      <c r="O1758" t="s">
        <v>856</v>
      </c>
      <c r="P1758" s="2" t="str">
        <f>HYPERLINK("https://www.facebook.com/100008934274771")</f>
        <v>https://www.facebook.com/100008934274771</v>
      </c>
      <c r="Q1758">
        <v>10395</v>
      </c>
      <c r="R1758" t="s">
        <v>6067</v>
      </c>
      <c r="S1758" t="s">
        <v>6078</v>
      </c>
    </row>
    <row r="1759" spans="1:19" ht="14.25" customHeight="1" x14ac:dyDescent="0.3">
      <c r="A1759" t="s">
        <v>2225</v>
      </c>
      <c r="B1759" t="s">
        <v>2556</v>
      </c>
      <c r="C1759" t="s">
        <v>95</v>
      </c>
      <c r="D1759" t="s">
        <v>544</v>
      </c>
      <c r="E1759" t="s">
        <v>545</v>
      </c>
      <c r="F1759" t="s">
        <v>6058</v>
      </c>
      <c r="G1759" s="2" t="str">
        <f>HYPERLINK("https://www.facebook.com/100001286626465/posts/1844813898904813")</f>
        <v>https://www.facebook.com/100001286626465/posts/1844813898904813</v>
      </c>
      <c r="H1759" t="s">
        <v>6062</v>
      </c>
      <c r="I1759" t="s">
        <v>1890</v>
      </c>
      <c r="J1759" s="2" t="str">
        <f>HYPERLINK("https://www.facebook.com/100001286626465")</f>
        <v>https://www.facebook.com/100001286626465</v>
      </c>
      <c r="K1759">
        <v>50</v>
      </c>
      <c r="L1759" t="s">
        <v>6064</v>
      </c>
      <c r="N1759" t="s">
        <v>13</v>
      </c>
      <c r="O1759" t="s">
        <v>1890</v>
      </c>
      <c r="P1759" s="2" t="str">
        <f>HYPERLINK("https://www.facebook.com/100001286626465")</f>
        <v>https://www.facebook.com/100001286626465</v>
      </c>
      <c r="Q1759">
        <v>50</v>
      </c>
      <c r="R1759" t="s">
        <v>6067</v>
      </c>
      <c r="S1759" t="s">
        <v>6078</v>
      </c>
    </row>
    <row r="1760" spans="1:19" ht="14.25" customHeight="1" x14ac:dyDescent="0.3">
      <c r="A1760" t="s">
        <v>629</v>
      </c>
      <c r="B1760" t="s">
        <v>457</v>
      </c>
      <c r="C1760" t="s">
        <v>95</v>
      </c>
      <c r="D1760" t="s">
        <v>370</v>
      </c>
      <c r="E1760" t="s">
        <v>371</v>
      </c>
      <c r="F1760" t="s">
        <v>6058</v>
      </c>
      <c r="G1760" s="2" t="str">
        <f>HYPERLINK("https://www.facebook.com/100001286626465/posts/1845283695524500")</f>
        <v>https://www.facebook.com/100001286626465/posts/1845283695524500</v>
      </c>
      <c r="H1760" t="s">
        <v>6062</v>
      </c>
      <c r="I1760" t="s">
        <v>1890</v>
      </c>
      <c r="J1760" s="2" t="str">
        <f>HYPERLINK("https://www.facebook.com/100001286626465")</f>
        <v>https://www.facebook.com/100001286626465</v>
      </c>
      <c r="K1760">
        <v>50</v>
      </c>
      <c r="L1760" t="s">
        <v>6064</v>
      </c>
      <c r="N1760" t="s">
        <v>13</v>
      </c>
      <c r="O1760" t="s">
        <v>1890</v>
      </c>
      <c r="P1760" s="2" t="str">
        <f>HYPERLINK("https://www.facebook.com/100001286626465")</f>
        <v>https://www.facebook.com/100001286626465</v>
      </c>
      <c r="Q1760">
        <v>50</v>
      </c>
      <c r="R1760" t="s">
        <v>6067</v>
      </c>
      <c r="S1760" t="s">
        <v>6078</v>
      </c>
    </row>
    <row r="1761" spans="1:19" ht="14.25" customHeight="1" x14ac:dyDescent="0.3">
      <c r="A1761" t="s">
        <v>2225</v>
      </c>
      <c r="B1761" t="s">
        <v>2516</v>
      </c>
      <c r="C1761" t="s">
        <v>95</v>
      </c>
      <c r="D1761" t="s">
        <v>853</v>
      </c>
      <c r="E1761" t="s">
        <v>2468</v>
      </c>
      <c r="F1761" t="s">
        <v>6059</v>
      </c>
      <c r="G1761" s="2" t="str">
        <f>HYPERLINK("https://www.facebook.com/100008934274771/posts/1810262525948206?comment_id=1810291202612005")</f>
        <v>https://www.facebook.com/100008934274771/posts/1810262525948206?comment_id=1810291202612005</v>
      </c>
      <c r="H1761" t="s">
        <v>6062</v>
      </c>
      <c r="I1761" t="s">
        <v>1890</v>
      </c>
      <c r="J1761" s="2" t="str">
        <f>HYPERLINK("https://www.facebook.com/100001286626465")</f>
        <v>https://www.facebook.com/100001286626465</v>
      </c>
      <c r="K1761">
        <v>50</v>
      </c>
      <c r="L1761" t="s">
        <v>6064</v>
      </c>
      <c r="N1761" t="s">
        <v>13</v>
      </c>
      <c r="O1761" t="s">
        <v>856</v>
      </c>
      <c r="P1761" s="2" t="str">
        <f t="shared" ref="P1761:P1767" si="49">HYPERLINK("https://www.facebook.com/100008934274771")</f>
        <v>https://www.facebook.com/100008934274771</v>
      </c>
      <c r="Q1761">
        <v>10395</v>
      </c>
      <c r="R1761" t="s">
        <v>6067</v>
      </c>
      <c r="S1761" t="s">
        <v>6078</v>
      </c>
    </row>
    <row r="1762" spans="1:19" ht="14.25" customHeight="1" x14ac:dyDescent="0.3">
      <c r="A1762" t="s">
        <v>2225</v>
      </c>
      <c r="B1762" t="s">
        <v>2588</v>
      </c>
      <c r="C1762" t="s">
        <v>95</v>
      </c>
      <c r="D1762" t="s">
        <v>853</v>
      </c>
      <c r="E1762" t="s">
        <v>2593</v>
      </c>
      <c r="F1762" t="s">
        <v>6059</v>
      </c>
      <c r="G1762" s="2" t="str">
        <f>HYPERLINK("https://www.facebook.com/100008934274771/posts/1810262525948206?comment_id=1810287302612395")</f>
        <v>https://www.facebook.com/100008934274771/posts/1810262525948206?comment_id=1810287302612395</v>
      </c>
      <c r="H1762" t="s">
        <v>6062</v>
      </c>
      <c r="I1762" t="s">
        <v>2513</v>
      </c>
      <c r="J1762" s="2" t="str">
        <f>HYPERLINK("https://www.facebook.com/100004352718648")</f>
        <v>https://www.facebook.com/100004352718648</v>
      </c>
      <c r="K1762">
        <v>1155</v>
      </c>
      <c r="L1762" t="s">
        <v>6064</v>
      </c>
      <c r="N1762" t="s">
        <v>13</v>
      </c>
      <c r="O1762" t="s">
        <v>856</v>
      </c>
      <c r="P1762" s="2" t="str">
        <f t="shared" si="49"/>
        <v>https://www.facebook.com/100008934274771</v>
      </c>
      <c r="Q1762">
        <v>10395</v>
      </c>
      <c r="R1762" t="s">
        <v>6067</v>
      </c>
      <c r="S1762" t="s">
        <v>6073</v>
      </c>
    </row>
    <row r="1763" spans="1:19" ht="14.25" customHeight="1" x14ac:dyDescent="0.3">
      <c r="A1763" t="s">
        <v>2225</v>
      </c>
      <c r="B1763" t="s">
        <v>2564</v>
      </c>
      <c r="C1763" t="s">
        <v>95</v>
      </c>
      <c r="D1763" t="s">
        <v>853</v>
      </c>
      <c r="E1763" t="s">
        <v>2568</v>
      </c>
      <c r="F1763" t="s">
        <v>6059</v>
      </c>
      <c r="G1763" s="2" t="str">
        <f>HYPERLINK("https://www.facebook.com/100008934274771/posts/1810262525948206?comment_id=1810288955945563")</f>
        <v>https://www.facebook.com/100008934274771/posts/1810262525948206?comment_id=1810288955945563</v>
      </c>
      <c r="H1763" t="s">
        <v>6062</v>
      </c>
      <c r="I1763" t="s">
        <v>2513</v>
      </c>
      <c r="J1763" s="2" t="str">
        <f>HYPERLINK("https://www.facebook.com/100004352718648")</f>
        <v>https://www.facebook.com/100004352718648</v>
      </c>
      <c r="K1763">
        <v>1155</v>
      </c>
      <c r="L1763" t="s">
        <v>6064</v>
      </c>
      <c r="N1763" t="s">
        <v>13</v>
      </c>
      <c r="O1763" t="s">
        <v>856</v>
      </c>
      <c r="P1763" s="2" t="str">
        <f t="shared" si="49"/>
        <v>https://www.facebook.com/100008934274771</v>
      </c>
      <c r="Q1763">
        <v>10395</v>
      </c>
      <c r="R1763" t="s">
        <v>6067</v>
      </c>
      <c r="S1763" t="s">
        <v>6073</v>
      </c>
    </row>
    <row r="1764" spans="1:19" ht="14.25" customHeight="1" x14ac:dyDescent="0.3">
      <c r="A1764" t="s">
        <v>2225</v>
      </c>
      <c r="B1764" t="s">
        <v>2556</v>
      </c>
      <c r="C1764" t="s">
        <v>95</v>
      </c>
      <c r="D1764" t="s">
        <v>853</v>
      </c>
      <c r="E1764" t="s">
        <v>2557</v>
      </c>
      <c r="F1764" t="s">
        <v>6059</v>
      </c>
      <c r="G1764" s="2" t="str">
        <f>HYPERLINK("https://www.facebook.com/100008934274771/posts/1810262525948206?comment_id=1810289572612168")</f>
        <v>https://www.facebook.com/100008934274771/posts/1810262525948206?comment_id=1810289572612168</v>
      </c>
      <c r="H1764" t="s">
        <v>6062</v>
      </c>
      <c r="I1764" t="s">
        <v>2513</v>
      </c>
      <c r="J1764" s="2" t="str">
        <f>HYPERLINK("https://www.facebook.com/100004352718648")</f>
        <v>https://www.facebook.com/100004352718648</v>
      </c>
      <c r="K1764">
        <v>1155</v>
      </c>
      <c r="L1764" t="s">
        <v>6064</v>
      </c>
      <c r="N1764" t="s">
        <v>13</v>
      </c>
      <c r="O1764" t="s">
        <v>856</v>
      </c>
      <c r="P1764" s="2" t="str">
        <f t="shared" si="49"/>
        <v>https://www.facebook.com/100008934274771</v>
      </c>
      <c r="Q1764">
        <v>10395</v>
      </c>
      <c r="R1764" t="s">
        <v>6067</v>
      </c>
      <c r="S1764" t="s">
        <v>6073</v>
      </c>
    </row>
    <row r="1765" spans="1:19" ht="14.25" customHeight="1" x14ac:dyDescent="0.3">
      <c r="A1765" t="s">
        <v>2225</v>
      </c>
      <c r="B1765" t="s">
        <v>2536</v>
      </c>
      <c r="C1765" t="s">
        <v>95</v>
      </c>
      <c r="D1765" t="s">
        <v>853</v>
      </c>
      <c r="E1765" t="s">
        <v>2541</v>
      </c>
      <c r="F1765" t="s">
        <v>6059</v>
      </c>
      <c r="G1765" s="2" t="str">
        <f>HYPERLINK("https://www.facebook.com/100008934274771/posts/1810262525948206?comment_id=1810290485945410")</f>
        <v>https://www.facebook.com/100008934274771/posts/1810262525948206?comment_id=1810290485945410</v>
      </c>
      <c r="H1765" t="s">
        <v>6062</v>
      </c>
      <c r="I1765" t="s">
        <v>2513</v>
      </c>
      <c r="J1765" s="2" t="str">
        <f>HYPERLINK("https://www.facebook.com/100004352718648")</f>
        <v>https://www.facebook.com/100004352718648</v>
      </c>
      <c r="K1765">
        <v>1155</v>
      </c>
      <c r="L1765" t="s">
        <v>6064</v>
      </c>
      <c r="N1765" t="s">
        <v>13</v>
      </c>
      <c r="O1765" t="s">
        <v>856</v>
      </c>
      <c r="P1765" s="2" t="str">
        <f t="shared" si="49"/>
        <v>https://www.facebook.com/100008934274771</v>
      </c>
      <c r="Q1765">
        <v>10395</v>
      </c>
      <c r="R1765" t="s">
        <v>6067</v>
      </c>
      <c r="S1765" t="s">
        <v>6073</v>
      </c>
    </row>
    <row r="1766" spans="1:19" ht="14.25" customHeight="1" x14ac:dyDescent="0.3">
      <c r="A1766" t="s">
        <v>2225</v>
      </c>
      <c r="B1766" t="s">
        <v>2494</v>
      </c>
      <c r="C1766" t="s">
        <v>95</v>
      </c>
      <c r="D1766" t="s">
        <v>853</v>
      </c>
      <c r="E1766" t="s">
        <v>2512</v>
      </c>
      <c r="F1766" t="s">
        <v>6059</v>
      </c>
      <c r="G1766" s="2" t="str">
        <f>HYPERLINK("https://www.facebook.com/100008934274771/posts/1810262525948206?comment_id=1810291632611962")</f>
        <v>https://www.facebook.com/100008934274771/posts/1810262525948206?comment_id=1810291632611962</v>
      </c>
      <c r="H1766" t="s">
        <v>6062</v>
      </c>
      <c r="I1766" t="s">
        <v>2513</v>
      </c>
      <c r="J1766" s="2" t="str">
        <f>HYPERLINK("https://www.facebook.com/100004352718648")</f>
        <v>https://www.facebook.com/100004352718648</v>
      </c>
      <c r="K1766">
        <v>1155</v>
      </c>
      <c r="L1766" t="s">
        <v>6064</v>
      </c>
      <c r="N1766" t="s">
        <v>13</v>
      </c>
      <c r="O1766" t="s">
        <v>856</v>
      </c>
      <c r="P1766" s="2" t="str">
        <f t="shared" si="49"/>
        <v>https://www.facebook.com/100008934274771</v>
      </c>
      <c r="Q1766">
        <v>10395</v>
      </c>
      <c r="R1766" t="s">
        <v>6067</v>
      </c>
      <c r="S1766" t="s">
        <v>6073</v>
      </c>
    </row>
    <row r="1767" spans="1:19" ht="14.25" customHeight="1" x14ac:dyDescent="0.3">
      <c r="A1767" t="s">
        <v>2225</v>
      </c>
      <c r="B1767" t="s">
        <v>2803</v>
      </c>
      <c r="C1767" t="s">
        <v>95</v>
      </c>
      <c r="D1767" t="s">
        <v>853</v>
      </c>
      <c r="E1767" t="s">
        <v>2809</v>
      </c>
      <c r="F1767" t="s">
        <v>6059</v>
      </c>
      <c r="G1767" s="2" t="str">
        <f>HYPERLINK("https://www.facebook.com/100008934274771/posts/1810262525948206?comment_id=1810268359280956")</f>
        <v>https://www.facebook.com/100008934274771/posts/1810262525948206?comment_id=1810268359280956</v>
      </c>
      <c r="H1767" t="s">
        <v>6062</v>
      </c>
      <c r="I1767" t="s">
        <v>2810</v>
      </c>
      <c r="J1767" s="2" t="str">
        <f>HYPERLINK("https://www.facebook.com/100000705879232")</f>
        <v>https://www.facebook.com/100000705879232</v>
      </c>
      <c r="K1767">
        <v>110</v>
      </c>
      <c r="L1767" t="s">
        <v>6064</v>
      </c>
      <c r="N1767" t="s">
        <v>13</v>
      </c>
      <c r="O1767" t="s">
        <v>856</v>
      </c>
      <c r="P1767" s="2" t="str">
        <f t="shared" si="49"/>
        <v>https://www.facebook.com/100008934274771</v>
      </c>
      <c r="Q1767">
        <v>10395</v>
      </c>
      <c r="R1767" t="s">
        <v>6067</v>
      </c>
      <c r="S1767" t="s">
        <v>6073</v>
      </c>
    </row>
    <row r="1768" spans="1:19" ht="14.25" customHeight="1" x14ac:dyDescent="0.3">
      <c r="A1768" t="s">
        <v>4995</v>
      </c>
      <c r="B1768" t="s">
        <v>324</v>
      </c>
      <c r="C1768" t="s">
        <v>3538</v>
      </c>
      <c r="D1768" t="s">
        <v>5078</v>
      </c>
      <c r="E1768" t="s">
        <v>5293</v>
      </c>
      <c r="F1768" t="s">
        <v>6059</v>
      </c>
      <c r="G1768" s="2" t="str">
        <f>HYPERLINK("https://www.facebook.com/100001929668660/posts/1891490270925277?comment_id=1892005117540459")</f>
        <v>https://www.facebook.com/100001929668660/posts/1891490270925277?comment_id=1892005117540459</v>
      </c>
      <c r="H1768" t="s">
        <v>6062</v>
      </c>
      <c r="I1768" t="s">
        <v>5080</v>
      </c>
      <c r="J1768" s="2" t="str">
        <f>HYPERLINK("https://www.facebook.com/100007209038605")</f>
        <v>https://www.facebook.com/100007209038605</v>
      </c>
      <c r="K1768">
        <v>645</v>
      </c>
      <c r="L1768" t="s">
        <v>6064</v>
      </c>
      <c r="N1768" t="s">
        <v>13</v>
      </c>
      <c r="O1768" t="s">
        <v>5081</v>
      </c>
      <c r="P1768" s="2" t="str">
        <f>HYPERLINK("https://www.facebook.com/100001929668660")</f>
        <v>https://www.facebook.com/100001929668660</v>
      </c>
      <c r="Q1768">
        <v>2652</v>
      </c>
      <c r="R1768" t="s">
        <v>6067</v>
      </c>
      <c r="S1768" t="s">
        <v>6072</v>
      </c>
    </row>
    <row r="1769" spans="1:19" ht="14.25" customHeight="1" x14ac:dyDescent="0.3">
      <c r="A1769" t="s">
        <v>1</v>
      </c>
      <c r="B1769" t="s">
        <v>369</v>
      </c>
      <c r="C1769" t="s">
        <v>95</v>
      </c>
      <c r="D1769" t="s">
        <v>370</v>
      </c>
      <c r="E1769" t="s">
        <v>371</v>
      </c>
      <c r="F1769" t="s">
        <v>6058</v>
      </c>
      <c r="G1769" s="2" t="str">
        <f>HYPERLINK("https://www.facebook.com/100012291999162/posts/447577548995308")</f>
        <v>https://www.facebook.com/100012291999162/posts/447577548995308</v>
      </c>
      <c r="H1769" t="s">
        <v>6062</v>
      </c>
      <c r="I1769" t="s">
        <v>372</v>
      </c>
      <c r="J1769" s="2" t="str">
        <f>HYPERLINK("https://www.facebook.com/100012291999162")</f>
        <v>https://www.facebook.com/100012291999162</v>
      </c>
      <c r="K1769">
        <v>0</v>
      </c>
      <c r="L1769" t="s">
        <v>6064</v>
      </c>
      <c r="M1769">
        <v>33</v>
      </c>
      <c r="N1769" t="s">
        <v>13</v>
      </c>
      <c r="O1769" t="s">
        <v>372</v>
      </c>
      <c r="P1769" s="2" t="str">
        <f>HYPERLINK("https://www.facebook.com/100012291999162")</f>
        <v>https://www.facebook.com/100012291999162</v>
      </c>
      <c r="Q1769">
        <v>0</v>
      </c>
      <c r="R1769" t="s">
        <v>6067</v>
      </c>
    </row>
    <row r="1770" spans="1:19" ht="14.25" customHeight="1" x14ac:dyDescent="0.3">
      <c r="A1770" t="s">
        <v>2225</v>
      </c>
      <c r="B1770" t="s">
        <v>2312</v>
      </c>
      <c r="C1770" t="s">
        <v>95</v>
      </c>
      <c r="D1770" t="s">
        <v>853</v>
      </c>
      <c r="E1770" t="s">
        <v>2314</v>
      </c>
      <c r="F1770" t="s">
        <v>6059</v>
      </c>
      <c r="G1770" s="2" t="str">
        <f>HYPERLINK("https://www.facebook.com/100008934274771/posts/1810262525948206?comment_id=1810307112610414")</f>
        <v>https://www.facebook.com/100008934274771/posts/1810262525948206?comment_id=1810307112610414</v>
      </c>
      <c r="H1770" t="s">
        <v>6062</v>
      </c>
      <c r="I1770" t="s">
        <v>1797</v>
      </c>
      <c r="J1770" s="2" t="str">
        <f t="shared" ref="J1770:J1782" si="50">HYPERLINK("https://www.facebook.com/100012290618719")</f>
        <v>https://www.facebook.com/100012290618719</v>
      </c>
      <c r="K1770">
        <v>204</v>
      </c>
      <c r="L1770" t="s">
        <v>6064</v>
      </c>
      <c r="N1770" t="s">
        <v>13</v>
      </c>
      <c r="O1770" t="s">
        <v>856</v>
      </c>
      <c r="P1770" s="2" t="str">
        <f>HYPERLINK("https://www.facebook.com/100008934274771")</f>
        <v>https://www.facebook.com/100008934274771</v>
      </c>
      <c r="Q1770">
        <v>10395</v>
      </c>
      <c r="R1770" t="s">
        <v>6067</v>
      </c>
      <c r="S1770" t="s">
        <v>6073</v>
      </c>
    </row>
    <row r="1771" spans="1:19" ht="14.25" customHeight="1" x14ac:dyDescent="0.3">
      <c r="A1771" t="s">
        <v>2225</v>
      </c>
      <c r="B1771" t="s">
        <v>2329</v>
      </c>
      <c r="C1771" t="s">
        <v>95</v>
      </c>
      <c r="D1771" t="s">
        <v>853</v>
      </c>
      <c r="E1771" t="s">
        <v>2330</v>
      </c>
      <c r="F1771" t="s">
        <v>6059</v>
      </c>
      <c r="G1771" s="2" t="str">
        <f>HYPERLINK("https://www.facebook.com/100008934274771/posts/1810262525948206?comment_id=1810304439277348")</f>
        <v>https://www.facebook.com/100008934274771/posts/1810262525948206?comment_id=1810304439277348</v>
      </c>
      <c r="H1771" t="s">
        <v>6062</v>
      </c>
      <c r="I1771" t="s">
        <v>1797</v>
      </c>
      <c r="J1771" s="2" t="str">
        <f t="shared" si="50"/>
        <v>https://www.facebook.com/100012290618719</v>
      </c>
      <c r="K1771">
        <v>204</v>
      </c>
      <c r="L1771" t="s">
        <v>6064</v>
      </c>
      <c r="N1771" t="s">
        <v>13</v>
      </c>
      <c r="O1771" t="s">
        <v>856</v>
      </c>
      <c r="P1771" s="2" t="str">
        <f>HYPERLINK("https://www.facebook.com/100008934274771")</f>
        <v>https://www.facebook.com/100008934274771</v>
      </c>
      <c r="Q1771">
        <v>10395</v>
      </c>
      <c r="R1771" t="s">
        <v>6067</v>
      </c>
      <c r="S1771" t="s">
        <v>6073</v>
      </c>
    </row>
    <row r="1772" spans="1:19" ht="14.25" customHeight="1" x14ac:dyDescent="0.3">
      <c r="A1772" t="s">
        <v>2225</v>
      </c>
      <c r="B1772" t="s">
        <v>2302</v>
      </c>
      <c r="C1772" t="s">
        <v>95</v>
      </c>
      <c r="D1772" t="s">
        <v>544</v>
      </c>
      <c r="E1772" t="s">
        <v>545</v>
      </c>
      <c r="F1772" t="s">
        <v>6058</v>
      </c>
      <c r="G1772" s="2" t="str">
        <f>HYPERLINK("https://www.facebook.com/1429806137344391/posts/2037483426576656")</f>
        <v>https://www.facebook.com/1429806137344391/posts/2037483426576656</v>
      </c>
      <c r="H1772" t="s">
        <v>6062</v>
      </c>
      <c r="I1772" t="s">
        <v>1797</v>
      </c>
      <c r="J1772" s="2" t="str">
        <f t="shared" si="50"/>
        <v>https://www.facebook.com/100012290618719</v>
      </c>
      <c r="K1772">
        <v>204</v>
      </c>
      <c r="L1772" t="s">
        <v>6064</v>
      </c>
      <c r="N1772" t="s">
        <v>13</v>
      </c>
      <c r="O1772" t="s">
        <v>2303</v>
      </c>
      <c r="P1772" s="2" t="str">
        <f>HYPERLINK("https://www.facebook.com/1429806137344391")</f>
        <v>https://www.facebook.com/1429806137344391</v>
      </c>
      <c r="R1772" t="s">
        <v>6067</v>
      </c>
    </row>
    <row r="1773" spans="1:19" ht="14.25" customHeight="1" x14ac:dyDescent="0.3">
      <c r="A1773" t="s">
        <v>2225</v>
      </c>
      <c r="B1773" t="s">
        <v>2389</v>
      </c>
      <c r="C1773" t="s">
        <v>95</v>
      </c>
      <c r="D1773" t="s">
        <v>544</v>
      </c>
      <c r="E1773" t="s">
        <v>545</v>
      </c>
      <c r="F1773" t="s">
        <v>6058</v>
      </c>
      <c r="G1773" s="2" t="str">
        <f>HYPERLINK("https://www.facebook.com/1429806137344391/posts/455677584851925")</f>
        <v>https://www.facebook.com/1429806137344391/posts/455677584851925</v>
      </c>
      <c r="H1773" t="s">
        <v>6062</v>
      </c>
      <c r="I1773" t="s">
        <v>1797</v>
      </c>
      <c r="J1773" s="2" t="str">
        <f t="shared" si="50"/>
        <v>https://www.facebook.com/100012290618719</v>
      </c>
      <c r="K1773">
        <v>204</v>
      </c>
      <c r="L1773" t="s">
        <v>6064</v>
      </c>
      <c r="N1773" t="s">
        <v>13</v>
      </c>
      <c r="O1773" t="s">
        <v>2303</v>
      </c>
      <c r="P1773" s="2" t="str">
        <f>HYPERLINK("https://www.facebook.com/1429806137344391")</f>
        <v>https://www.facebook.com/1429806137344391</v>
      </c>
      <c r="R1773" t="s">
        <v>6067</v>
      </c>
    </row>
    <row r="1774" spans="1:19" ht="14.25" customHeight="1" x14ac:dyDescent="0.3">
      <c r="A1774" t="s">
        <v>2225</v>
      </c>
      <c r="B1774" t="s">
        <v>2392</v>
      </c>
      <c r="C1774" t="s">
        <v>95</v>
      </c>
      <c r="D1774" t="s">
        <v>544</v>
      </c>
      <c r="E1774" t="s">
        <v>545</v>
      </c>
      <c r="F1774" t="s">
        <v>6058</v>
      </c>
      <c r="G1774" s="2" t="str">
        <f>HYPERLINK("https://www.facebook.com/1992668177639609/posts/455677524851931")</f>
        <v>https://www.facebook.com/1992668177639609/posts/455677524851931</v>
      </c>
      <c r="H1774" t="s">
        <v>6062</v>
      </c>
      <c r="I1774" t="s">
        <v>1797</v>
      </c>
      <c r="J1774" s="2" t="str">
        <f t="shared" si="50"/>
        <v>https://www.facebook.com/100012290618719</v>
      </c>
      <c r="K1774">
        <v>204</v>
      </c>
      <c r="L1774" t="s">
        <v>6064</v>
      </c>
      <c r="N1774" t="s">
        <v>13</v>
      </c>
      <c r="O1774" t="s">
        <v>1727</v>
      </c>
      <c r="P1774" s="2" t="str">
        <f>HYPERLINK("https://www.facebook.com/1992668177639609")</f>
        <v>https://www.facebook.com/1992668177639609</v>
      </c>
      <c r="R1774" t="s">
        <v>6067</v>
      </c>
    </row>
    <row r="1775" spans="1:19" ht="14.25" customHeight="1" x14ac:dyDescent="0.3">
      <c r="A1775" t="s">
        <v>629</v>
      </c>
      <c r="B1775" t="s">
        <v>1795</v>
      </c>
      <c r="C1775" t="s">
        <v>95</v>
      </c>
      <c r="D1775" t="s">
        <v>370</v>
      </c>
      <c r="E1775" t="s">
        <v>371</v>
      </c>
      <c r="F1775" t="s">
        <v>6058</v>
      </c>
      <c r="G1775" s="2" t="str">
        <f>HYPERLINK("https://www.facebook.com/1992668177639609/posts/455852434834440")</f>
        <v>https://www.facebook.com/1992668177639609/posts/455852434834440</v>
      </c>
      <c r="H1775" t="s">
        <v>6062</v>
      </c>
      <c r="I1775" t="s">
        <v>1797</v>
      </c>
      <c r="J1775" s="2" t="str">
        <f t="shared" si="50"/>
        <v>https://www.facebook.com/100012290618719</v>
      </c>
      <c r="K1775">
        <v>204</v>
      </c>
      <c r="L1775" t="s">
        <v>6064</v>
      </c>
      <c r="N1775" t="s">
        <v>13</v>
      </c>
      <c r="O1775" t="s">
        <v>1727</v>
      </c>
      <c r="P1775" s="2" t="str">
        <f>HYPERLINK("https://www.facebook.com/1992668177639609")</f>
        <v>https://www.facebook.com/1992668177639609</v>
      </c>
      <c r="R1775" t="s">
        <v>6067</v>
      </c>
    </row>
    <row r="1776" spans="1:19" ht="14.25" customHeight="1" x14ac:dyDescent="0.3">
      <c r="A1776" t="s">
        <v>2225</v>
      </c>
      <c r="B1776" t="s">
        <v>2372</v>
      </c>
      <c r="C1776" t="s">
        <v>95</v>
      </c>
      <c r="D1776" t="s">
        <v>853</v>
      </c>
      <c r="E1776" t="s">
        <v>2373</v>
      </c>
      <c r="F1776" t="s">
        <v>6059</v>
      </c>
      <c r="G1776" s="2" t="str">
        <f>HYPERLINK("https://www.facebook.com/100008934274771/posts/1810262525948206?comment_id=1810299149277877")</f>
        <v>https://www.facebook.com/100008934274771/posts/1810262525948206?comment_id=1810299149277877</v>
      </c>
      <c r="H1776" t="s">
        <v>6062</v>
      </c>
      <c r="I1776" t="s">
        <v>1797</v>
      </c>
      <c r="J1776" s="2" t="str">
        <f t="shared" si="50"/>
        <v>https://www.facebook.com/100012290618719</v>
      </c>
      <c r="K1776">
        <v>204</v>
      </c>
      <c r="L1776" t="s">
        <v>6064</v>
      </c>
      <c r="N1776" t="s">
        <v>13</v>
      </c>
      <c r="O1776" t="s">
        <v>856</v>
      </c>
      <c r="P1776" s="2" t="str">
        <f t="shared" ref="P1776:P1782" si="51">HYPERLINK("https://www.facebook.com/100008934274771")</f>
        <v>https://www.facebook.com/100008934274771</v>
      </c>
      <c r="Q1776">
        <v>10395</v>
      </c>
      <c r="R1776" t="s">
        <v>6067</v>
      </c>
      <c r="S1776" t="s">
        <v>6073</v>
      </c>
    </row>
    <row r="1777" spans="1:19" ht="14.25" customHeight="1" x14ac:dyDescent="0.3">
      <c r="A1777" t="s">
        <v>2225</v>
      </c>
      <c r="B1777" t="s">
        <v>2364</v>
      </c>
      <c r="C1777" t="s">
        <v>95</v>
      </c>
      <c r="D1777" t="s">
        <v>853</v>
      </c>
      <c r="E1777" t="s">
        <v>2365</v>
      </c>
      <c r="F1777" t="s">
        <v>6059</v>
      </c>
      <c r="G1777" s="2" t="str">
        <f>HYPERLINK("https://www.facebook.com/100008934274771/posts/1810262525948206?comment_id=1810300035944455")</f>
        <v>https://www.facebook.com/100008934274771/posts/1810262525948206?comment_id=1810300035944455</v>
      </c>
      <c r="H1777" t="s">
        <v>6062</v>
      </c>
      <c r="I1777" t="s">
        <v>1797</v>
      </c>
      <c r="J1777" s="2" t="str">
        <f t="shared" si="50"/>
        <v>https://www.facebook.com/100012290618719</v>
      </c>
      <c r="K1777">
        <v>204</v>
      </c>
      <c r="L1777" t="s">
        <v>6064</v>
      </c>
      <c r="N1777" t="s">
        <v>13</v>
      </c>
      <c r="O1777" t="s">
        <v>856</v>
      </c>
      <c r="P1777" s="2" t="str">
        <f t="shared" si="51"/>
        <v>https://www.facebook.com/100008934274771</v>
      </c>
      <c r="Q1777">
        <v>10395</v>
      </c>
      <c r="R1777" t="s">
        <v>6067</v>
      </c>
      <c r="S1777" t="s">
        <v>6073</v>
      </c>
    </row>
    <row r="1778" spans="1:19" ht="14.25" customHeight="1" x14ac:dyDescent="0.3">
      <c r="A1778" t="s">
        <v>2225</v>
      </c>
      <c r="B1778" t="s">
        <v>2392</v>
      </c>
      <c r="C1778" t="s">
        <v>95</v>
      </c>
      <c r="D1778" t="s">
        <v>853</v>
      </c>
      <c r="E1778" t="s">
        <v>2396</v>
      </c>
      <c r="F1778" t="s">
        <v>6059</v>
      </c>
      <c r="G1778" s="2" t="str">
        <f>HYPERLINK("https://www.facebook.com/100008934274771/posts/1810262525948206?comment_id=1810297662611359")</f>
        <v>https://www.facebook.com/100008934274771/posts/1810262525948206?comment_id=1810297662611359</v>
      </c>
      <c r="H1778" t="s">
        <v>6062</v>
      </c>
      <c r="I1778" t="s">
        <v>1797</v>
      </c>
      <c r="J1778" s="2" t="str">
        <f t="shared" si="50"/>
        <v>https://www.facebook.com/100012290618719</v>
      </c>
      <c r="K1778">
        <v>204</v>
      </c>
      <c r="L1778" t="s">
        <v>6064</v>
      </c>
      <c r="N1778" t="s">
        <v>13</v>
      </c>
      <c r="O1778" t="s">
        <v>856</v>
      </c>
      <c r="P1778" s="2" t="str">
        <f t="shared" si="51"/>
        <v>https://www.facebook.com/100008934274771</v>
      </c>
      <c r="Q1778">
        <v>10395</v>
      </c>
      <c r="R1778" t="s">
        <v>6067</v>
      </c>
      <c r="S1778" t="s">
        <v>6073</v>
      </c>
    </row>
    <row r="1779" spans="1:19" ht="14.25" customHeight="1" x14ac:dyDescent="0.3">
      <c r="A1779" t="s">
        <v>2225</v>
      </c>
      <c r="B1779" t="s">
        <v>2381</v>
      </c>
      <c r="C1779" t="s">
        <v>95</v>
      </c>
      <c r="D1779" t="s">
        <v>853</v>
      </c>
      <c r="E1779" t="s">
        <v>2385</v>
      </c>
      <c r="F1779" t="s">
        <v>6059</v>
      </c>
      <c r="G1779" s="2" t="str">
        <f>HYPERLINK("https://www.facebook.com/100008934274771/posts/1810262525948206?comment_id=1810298062611319")</f>
        <v>https://www.facebook.com/100008934274771/posts/1810262525948206?comment_id=1810298062611319</v>
      </c>
      <c r="H1779" t="s">
        <v>6062</v>
      </c>
      <c r="I1779" t="s">
        <v>1797</v>
      </c>
      <c r="J1779" s="2" t="str">
        <f t="shared" si="50"/>
        <v>https://www.facebook.com/100012290618719</v>
      </c>
      <c r="K1779">
        <v>204</v>
      </c>
      <c r="L1779" t="s">
        <v>6064</v>
      </c>
      <c r="N1779" t="s">
        <v>13</v>
      </c>
      <c r="O1779" t="s">
        <v>856</v>
      </c>
      <c r="P1779" s="2" t="str">
        <f t="shared" si="51"/>
        <v>https://www.facebook.com/100008934274771</v>
      </c>
      <c r="Q1779">
        <v>10395</v>
      </c>
      <c r="R1779" t="s">
        <v>6067</v>
      </c>
      <c r="S1779" t="s">
        <v>6073</v>
      </c>
    </row>
    <row r="1780" spans="1:19" ht="14.25" customHeight="1" x14ac:dyDescent="0.3">
      <c r="A1780" t="s">
        <v>2225</v>
      </c>
      <c r="B1780" t="s">
        <v>2352</v>
      </c>
      <c r="C1780" t="s">
        <v>95</v>
      </c>
      <c r="D1780" t="s">
        <v>853</v>
      </c>
      <c r="E1780" t="s">
        <v>2353</v>
      </c>
      <c r="F1780" t="s">
        <v>6059</v>
      </c>
      <c r="G1780" s="2" t="str">
        <f>HYPERLINK("https://www.facebook.com/100008934274771/posts/1810262525948206?comment_id=1810302012610924")</f>
        <v>https://www.facebook.com/100008934274771/posts/1810262525948206?comment_id=1810302012610924</v>
      </c>
      <c r="H1780" t="s">
        <v>6062</v>
      </c>
      <c r="I1780" t="s">
        <v>1797</v>
      </c>
      <c r="J1780" s="2" t="str">
        <f t="shared" si="50"/>
        <v>https://www.facebook.com/100012290618719</v>
      </c>
      <c r="K1780">
        <v>204</v>
      </c>
      <c r="L1780" t="s">
        <v>6064</v>
      </c>
      <c r="N1780" t="s">
        <v>13</v>
      </c>
      <c r="O1780" t="s">
        <v>856</v>
      </c>
      <c r="P1780" s="2" t="str">
        <f t="shared" si="51"/>
        <v>https://www.facebook.com/100008934274771</v>
      </c>
      <c r="Q1780">
        <v>10395</v>
      </c>
      <c r="R1780" t="s">
        <v>6067</v>
      </c>
      <c r="S1780" t="s">
        <v>6073</v>
      </c>
    </row>
    <row r="1781" spans="1:19" ht="14.25" customHeight="1" x14ac:dyDescent="0.3">
      <c r="A1781" t="s">
        <v>2225</v>
      </c>
      <c r="B1781" t="s">
        <v>713</v>
      </c>
      <c r="C1781" t="s">
        <v>95</v>
      </c>
      <c r="D1781" t="s">
        <v>853</v>
      </c>
      <c r="E1781" t="s">
        <v>2363</v>
      </c>
      <c r="F1781" t="s">
        <v>6059</v>
      </c>
      <c r="G1781" s="2" t="str">
        <f>HYPERLINK("https://www.facebook.com/100008934274771/posts/1810262525948206?comment_id=1810300475944411")</f>
        <v>https://www.facebook.com/100008934274771/posts/1810262525948206?comment_id=1810300475944411</v>
      </c>
      <c r="H1781" t="s">
        <v>6062</v>
      </c>
      <c r="I1781" t="s">
        <v>1797</v>
      </c>
      <c r="J1781" s="2" t="str">
        <f t="shared" si="50"/>
        <v>https://www.facebook.com/100012290618719</v>
      </c>
      <c r="K1781">
        <v>204</v>
      </c>
      <c r="L1781" t="s">
        <v>6064</v>
      </c>
      <c r="N1781" t="s">
        <v>13</v>
      </c>
      <c r="O1781" t="s">
        <v>856</v>
      </c>
      <c r="P1781" s="2" t="str">
        <f t="shared" si="51"/>
        <v>https://www.facebook.com/100008934274771</v>
      </c>
      <c r="Q1781">
        <v>10395</v>
      </c>
      <c r="R1781" t="s">
        <v>6067</v>
      </c>
      <c r="S1781" t="s">
        <v>6073</v>
      </c>
    </row>
    <row r="1782" spans="1:19" ht="14.25" customHeight="1" x14ac:dyDescent="0.3">
      <c r="A1782" t="s">
        <v>2225</v>
      </c>
      <c r="B1782" t="s">
        <v>711</v>
      </c>
      <c r="C1782" t="s">
        <v>95</v>
      </c>
      <c r="D1782" t="s">
        <v>853</v>
      </c>
      <c r="E1782" t="s">
        <v>2344</v>
      </c>
      <c r="F1782" t="s">
        <v>6059</v>
      </c>
      <c r="G1782" s="2" t="str">
        <f>HYPERLINK("https://www.facebook.com/100008934274771/posts/1810262525948206?comment_id=1810303419277450")</f>
        <v>https://www.facebook.com/100008934274771/posts/1810262525948206?comment_id=1810303419277450</v>
      </c>
      <c r="H1782" t="s">
        <v>6062</v>
      </c>
      <c r="I1782" t="s">
        <v>1797</v>
      </c>
      <c r="J1782" s="2" t="str">
        <f t="shared" si="50"/>
        <v>https://www.facebook.com/100012290618719</v>
      </c>
      <c r="K1782">
        <v>204</v>
      </c>
      <c r="L1782" t="s">
        <v>6064</v>
      </c>
      <c r="N1782" t="s">
        <v>13</v>
      </c>
      <c r="O1782" t="s">
        <v>856</v>
      </c>
      <c r="P1782" s="2" t="str">
        <f t="shared" si="51"/>
        <v>https://www.facebook.com/100008934274771</v>
      </c>
      <c r="Q1782">
        <v>10395</v>
      </c>
      <c r="R1782" t="s">
        <v>6067</v>
      </c>
      <c r="S1782" t="s">
        <v>6073</v>
      </c>
    </row>
    <row r="1783" spans="1:19" ht="14.25" customHeight="1" x14ac:dyDescent="0.3">
      <c r="A1783" t="s">
        <v>629</v>
      </c>
      <c r="B1783" t="s">
        <v>711</v>
      </c>
      <c r="C1783" t="s">
        <v>95</v>
      </c>
      <c r="D1783" t="s">
        <v>370</v>
      </c>
      <c r="E1783" t="s">
        <v>371</v>
      </c>
      <c r="F1783" t="s">
        <v>6058</v>
      </c>
      <c r="G1783" s="2" t="str">
        <f>HYPERLINK("https://www.facebook.com/100022407020664/posts/212849169471982")</f>
        <v>https://www.facebook.com/100022407020664/posts/212849169471982</v>
      </c>
      <c r="H1783" t="s">
        <v>6062</v>
      </c>
      <c r="I1783" t="s">
        <v>712</v>
      </c>
      <c r="J1783" s="2" t="str">
        <f>HYPERLINK("https://www.facebook.com/100022407020664")</f>
        <v>https://www.facebook.com/100022407020664</v>
      </c>
      <c r="K1783">
        <v>55</v>
      </c>
      <c r="L1783" t="s">
        <v>6064</v>
      </c>
      <c r="N1783" t="s">
        <v>13</v>
      </c>
      <c r="O1783" t="s">
        <v>712</v>
      </c>
      <c r="P1783" s="2" t="str">
        <f>HYPERLINK("https://www.facebook.com/100022407020664")</f>
        <v>https://www.facebook.com/100022407020664</v>
      </c>
      <c r="Q1783">
        <v>55</v>
      </c>
      <c r="R1783" t="s">
        <v>6067</v>
      </c>
    </row>
    <row r="1784" spans="1:19" ht="14.25" customHeight="1" x14ac:dyDescent="0.3">
      <c r="A1784" t="s">
        <v>629</v>
      </c>
      <c r="B1784" t="s">
        <v>405</v>
      </c>
      <c r="C1784" t="s">
        <v>95</v>
      </c>
      <c r="D1784" t="s">
        <v>370</v>
      </c>
      <c r="E1784" t="s">
        <v>371</v>
      </c>
      <c r="F1784" t="s">
        <v>6058</v>
      </c>
      <c r="G1784" s="2" t="str">
        <f>HYPERLINK("https://www.facebook.com/100024408378858/posts/154339922056286")</f>
        <v>https://www.facebook.com/100024408378858/posts/154339922056286</v>
      </c>
      <c r="H1784" t="s">
        <v>6062</v>
      </c>
      <c r="I1784" t="s">
        <v>1768</v>
      </c>
      <c r="J1784" s="2" t="str">
        <f>HYPERLINK("https://www.facebook.com/100024408378858")</f>
        <v>https://www.facebook.com/100024408378858</v>
      </c>
      <c r="K1784">
        <v>1435</v>
      </c>
      <c r="L1784" t="s">
        <v>6064</v>
      </c>
      <c r="N1784" t="s">
        <v>13</v>
      </c>
      <c r="O1784" t="s">
        <v>1768</v>
      </c>
      <c r="P1784" s="2" t="str">
        <f>HYPERLINK("https://www.facebook.com/100024408378858")</f>
        <v>https://www.facebook.com/100024408378858</v>
      </c>
      <c r="Q1784">
        <v>1435</v>
      </c>
      <c r="R1784" t="s">
        <v>6067</v>
      </c>
      <c r="S1784" t="s">
        <v>6086</v>
      </c>
    </row>
    <row r="1785" spans="1:19" ht="14.25" customHeight="1" x14ac:dyDescent="0.3">
      <c r="A1785" t="s">
        <v>2225</v>
      </c>
      <c r="B1785" t="s">
        <v>2588</v>
      </c>
      <c r="C1785" t="s">
        <v>95</v>
      </c>
      <c r="D1785" t="s">
        <v>544</v>
      </c>
      <c r="E1785" t="s">
        <v>545</v>
      </c>
      <c r="F1785" t="s">
        <v>6058</v>
      </c>
      <c r="G1785" s="2" t="str">
        <f>HYPERLINK("https://www.facebook.com/100010268597716/posts/571601733192108")</f>
        <v>https://www.facebook.com/100010268597716/posts/571601733192108</v>
      </c>
      <c r="H1785" t="s">
        <v>6062</v>
      </c>
      <c r="I1785" t="s">
        <v>2592</v>
      </c>
      <c r="J1785" s="2" t="str">
        <f>HYPERLINK("https://www.facebook.com/100010268597716")</f>
        <v>https://www.facebook.com/100010268597716</v>
      </c>
      <c r="K1785">
        <v>0</v>
      </c>
      <c r="L1785" t="s">
        <v>6064</v>
      </c>
      <c r="N1785" t="s">
        <v>13</v>
      </c>
      <c r="O1785" t="s">
        <v>2592</v>
      </c>
      <c r="P1785" s="2" t="str">
        <f>HYPERLINK("https://www.facebook.com/100010268597716")</f>
        <v>https://www.facebook.com/100010268597716</v>
      </c>
      <c r="Q1785">
        <v>0</v>
      </c>
      <c r="R1785" t="s">
        <v>6067</v>
      </c>
    </row>
    <row r="1786" spans="1:19" ht="14.25" customHeight="1" x14ac:dyDescent="0.3">
      <c r="A1786" t="s">
        <v>5409</v>
      </c>
      <c r="B1786" t="s">
        <v>583</v>
      </c>
      <c r="C1786" t="s">
        <v>3538</v>
      </c>
      <c r="D1786" t="s">
        <v>3780</v>
      </c>
      <c r="E1786" t="s">
        <v>3781</v>
      </c>
      <c r="F1786" t="s">
        <v>6058</v>
      </c>
      <c r="G1786" s="2" t="str">
        <f>HYPERLINK("https://www.facebook.com/100008111764950/posts/2083158571964515")</f>
        <v>https://www.facebook.com/100008111764950/posts/2083158571964515</v>
      </c>
      <c r="H1786" t="s">
        <v>6062</v>
      </c>
      <c r="I1786" t="s">
        <v>2643</v>
      </c>
      <c r="J1786" s="2" t="str">
        <f>HYPERLINK("https://www.facebook.com/100008111764950")</f>
        <v>https://www.facebook.com/100008111764950</v>
      </c>
      <c r="K1786">
        <v>1008</v>
      </c>
      <c r="L1786" t="s">
        <v>6064</v>
      </c>
      <c r="N1786" t="s">
        <v>13</v>
      </c>
      <c r="O1786" t="s">
        <v>2643</v>
      </c>
      <c r="P1786" s="2" t="str">
        <f>HYPERLINK("https://www.facebook.com/100008111764950")</f>
        <v>https://www.facebook.com/100008111764950</v>
      </c>
      <c r="Q1786">
        <v>1008</v>
      </c>
      <c r="R1786" t="s">
        <v>6067</v>
      </c>
      <c r="S1786" t="s">
        <v>6091</v>
      </c>
    </row>
    <row r="1787" spans="1:19" ht="14.25" customHeight="1" x14ac:dyDescent="0.3">
      <c r="A1787" t="s">
        <v>5409</v>
      </c>
      <c r="B1787" t="s">
        <v>4946</v>
      </c>
      <c r="C1787" t="s">
        <v>3538</v>
      </c>
      <c r="D1787" t="s">
        <v>3780</v>
      </c>
      <c r="E1787" t="s">
        <v>5696</v>
      </c>
      <c r="F1787" t="s">
        <v>6058</v>
      </c>
      <c r="G1787" s="2" t="str">
        <f>HYPERLINK("https://www.facebook.com/100008111764950/posts/2083159831964389")</f>
        <v>https://www.facebook.com/100008111764950/posts/2083159831964389</v>
      </c>
      <c r="H1787" t="s">
        <v>6062</v>
      </c>
      <c r="I1787" t="s">
        <v>2643</v>
      </c>
      <c r="J1787" s="2" t="str">
        <f>HYPERLINK("https://www.facebook.com/100008111764950")</f>
        <v>https://www.facebook.com/100008111764950</v>
      </c>
      <c r="K1787">
        <v>1008</v>
      </c>
      <c r="L1787" t="s">
        <v>6064</v>
      </c>
      <c r="N1787" t="s">
        <v>13</v>
      </c>
      <c r="O1787" t="s">
        <v>2643</v>
      </c>
      <c r="P1787" s="2" t="str">
        <f>HYPERLINK("https://www.facebook.com/100008111764950")</f>
        <v>https://www.facebook.com/100008111764950</v>
      </c>
      <c r="Q1787">
        <v>1008</v>
      </c>
      <c r="R1787" t="s">
        <v>6067</v>
      </c>
      <c r="S1787" t="s">
        <v>6091</v>
      </c>
    </row>
    <row r="1788" spans="1:19" ht="14.25" customHeight="1" x14ac:dyDescent="0.3">
      <c r="A1788" t="s">
        <v>5409</v>
      </c>
      <c r="B1788" t="s">
        <v>2381</v>
      </c>
      <c r="C1788" t="s">
        <v>3538</v>
      </c>
      <c r="D1788" t="s">
        <v>3780</v>
      </c>
      <c r="E1788" t="s">
        <v>4672</v>
      </c>
      <c r="F1788" t="s">
        <v>6058</v>
      </c>
      <c r="G1788" s="2" t="str">
        <f>HYPERLINK("https://www.facebook.com/100008111764950/posts/2083701968576842")</f>
        <v>https://www.facebook.com/100008111764950/posts/2083701968576842</v>
      </c>
      <c r="H1788" t="s">
        <v>6062</v>
      </c>
      <c r="I1788" t="s">
        <v>2643</v>
      </c>
      <c r="J1788" s="2" t="str">
        <f>HYPERLINK("https://www.facebook.com/100008111764950")</f>
        <v>https://www.facebook.com/100008111764950</v>
      </c>
      <c r="K1788">
        <v>1008</v>
      </c>
      <c r="L1788" t="s">
        <v>6064</v>
      </c>
      <c r="N1788" t="s">
        <v>13</v>
      </c>
      <c r="O1788" t="s">
        <v>2643</v>
      </c>
      <c r="P1788" s="2" t="str">
        <f>HYPERLINK("https://www.facebook.com/100008111764950")</f>
        <v>https://www.facebook.com/100008111764950</v>
      </c>
      <c r="Q1788">
        <v>1008</v>
      </c>
      <c r="R1788" t="s">
        <v>6067</v>
      </c>
      <c r="S1788" t="s">
        <v>6091</v>
      </c>
    </row>
    <row r="1789" spans="1:19" ht="14.25" customHeight="1" x14ac:dyDescent="0.3">
      <c r="A1789" t="s">
        <v>2225</v>
      </c>
      <c r="B1789" t="s">
        <v>2639</v>
      </c>
      <c r="C1789" t="s">
        <v>95</v>
      </c>
      <c r="D1789" t="s">
        <v>544</v>
      </c>
      <c r="E1789" t="s">
        <v>545</v>
      </c>
      <c r="F1789" t="s">
        <v>6058</v>
      </c>
      <c r="G1789" s="2" t="str">
        <f>HYPERLINK("https://www.facebook.com/100008111764950/posts/2085879408359098")</f>
        <v>https://www.facebook.com/100008111764950/posts/2085879408359098</v>
      </c>
      <c r="H1789" t="s">
        <v>6062</v>
      </c>
      <c r="I1789" t="s">
        <v>2643</v>
      </c>
      <c r="J1789" s="2" t="str">
        <f>HYPERLINK("https://www.facebook.com/100008111764950")</f>
        <v>https://www.facebook.com/100008111764950</v>
      </c>
      <c r="K1789">
        <v>1008</v>
      </c>
      <c r="L1789" t="s">
        <v>6064</v>
      </c>
      <c r="N1789" t="s">
        <v>13</v>
      </c>
      <c r="O1789" t="s">
        <v>2643</v>
      </c>
      <c r="P1789" s="2" t="str">
        <f>HYPERLINK("https://www.facebook.com/100008111764950")</f>
        <v>https://www.facebook.com/100008111764950</v>
      </c>
      <c r="Q1789">
        <v>1008</v>
      </c>
      <c r="R1789" t="s">
        <v>6067</v>
      </c>
      <c r="S1789" t="s">
        <v>6091</v>
      </c>
    </row>
    <row r="1790" spans="1:19" ht="14.25" customHeight="1" x14ac:dyDescent="0.3">
      <c r="A1790" t="s">
        <v>2225</v>
      </c>
      <c r="B1790" t="s">
        <v>742</v>
      </c>
      <c r="C1790" t="s">
        <v>95</v>
      </c>
      <c r="D1790" t="s">
        <v>853</v>
      </c>
      <c r="E1790" t="s">
        <v>2662</v>
      </c>
      <c r="F1790" t="s">
        <v>6059</v>
      </c>
      <c r="G1790" s="2" t="str">
        <f>HYPERLINK("https://www.facebook.com/100008934274771/posts/1810262525948206?comment_id=1810281472612978")</f>
        <v>https://www.facebook.com/100008934274771/posts/1810262525948206?comment_id=1810281472612978</v>
      </c>
      <c r="H1790" t="s">
        <v>6062</v>
      </c>
      <c r="I1790" t="s">
        <v>2560</v>
      </c>
      <c r="J1790" s="2" t="str">
        <f>HYPERLINK("https://www.facebook.com/100003596231813")</f>
        <v>https://www.facebook.com/100003596231813</v>
      </c>
      <c r="K1790">
        <v>9</v>
      </c>
      <c r="L1790" t="s">
        <v>6064</v>
      </c>
      <c r="N1790" t="s">
        <v>13</v>
      </c>
      <c r="O1790" t="s">
        <v>856</v>
      </c>
      <c r="P1790" s="2" t="str">
        <f>HYPERLINK("https://www.facebook.com/100008934274771")</f>
        <v>https://www.facebook.com/100008934274771</v>
      </c>
      <c r="Q1790">
        <v>10395</v>
      </c>
      <c r="R1790" t="s">
        <v>6067</v>
      </c>
      <c r="S1790" t="s">
        <v>6073</v>
      </c>
    </row>
    <row r="1791" spans="1:19" ht="14.25" customHeight="1" x14ac:dyDescent="0.3">
      <c r="A1791" t="s">
        <v>2225</v>
      </c>
      <c r="B1791" t="s">
        <v>2564</v>
      </c>
      <c r="C1791" t="s">
        <v>95</v>
      </c>
      <c r="D1791" t="s">
        <v>853</v>
      </c>
      <c r="E1791" t="s">
        <v>2571</v>
      </c>
      <c r="F1791" t="s">
        <v>6059</v>
      </c>
      <c r="G1791" s="2" t="str">
        <f>HYPERLINK("https://www.facebook.com/100008934274771/posts/1810262525948206?comment_id=1810288885945570")</f>
        <v>https://www.facebook.com/100008934274771/posts/1810262525948206?comment_id=1810288885945570</v>
      </c>
      <c r="H1791" t="s">
        <v>6062</v>
      </c>
      <c r="I1791" t="s">
        <v>2560</v>
      </c>
      <c r="J1791" s="2" t="str">
        <f>HYPERLINK("https://www.facebook.com/100003596231813")</f>
        <v>https://www.facebook.com/100003596231813</v>
      </c>
      <c r="K1791">
        <v>9</v>
      </c>
      <c r="L1791" t="s">
        <v>6064</v>
      </c>
      <c r="N1791" t="s">
        <v>13</v>
      </c>
      <c r="O1791" t="s">
        <v>856</v>
      </c>
      <c r="P1791" s="2" t="str">
        <f>HYPERLINK("https://www.facebook.com/100008934274771")</f>
        <v>https://www.facebook.com/100008934274771</v>
      </c>
      <c r="Q1791">
        <v>10395</v>
      </c>
      <c r="R1791" t="s">
        <v>6067</v>
      </c>
      <c r="S1791" t="s">
        <v>6073</v>
      </c>
    </row>
    <row r="1792" spans="1:19" ht="14.25" customHeight="1" x14ac:dyDescent="0.3">
      <c r="A1792" t="s">
        <v>2225</v>
      </c>
      <c r="B1792" t="s">
        <v>767</v>
      </c>
      <c r="C1792" t="s">
        <v>95</v>
      </c>
      <c r="D1792" t="s">
        <v>853</v>
      </c>
      <c r="E1792" t="s">
        <v>2879</v>
      </c>
      <c r="F1792" t="s">
        <v>6059</v>
      </c>
      <c r="G1792" s="2" t="str">
        <f>HYPERLINK("https://www.facebook.com/100008934274771/posts/1810262525948206?comment_id=1810265342614591")</f>
        <v>https://www.facebook.com/100008934274771/posts/1810262525948206?comment_id=1810265342614591</v>
      </c>
      <c r="H1792" t="s">
        <v>6062</v>
      </c>
      <c r="I1792" t="s">
        <v>2560</v>
      </c>
      <c r="J1792" s="2" t="str">
        <f>HYPERLINK("https://www.facebook.com/100003596231813")</f>
        <v>https://www.facebook.com/100003596231813</v>
      </c>
      <c r="K1792">
        <v>9</v>
      </c>
      <c r="L1792" t="s">
        <v>6064</v>
      </c>
      <c r="N1792" t="s">
        <v>13</v>
      </c>
      <c r="O1792" t="s">
        <v>856</v>
      </c>
      <c r="P1792" s="2" t="str">
        <f>HYPERLINK("https://www.facebook.com/100008934274771")</f>
        <v>https://www.facebook.com/100008934274771</v>
      </c>
      <c r="Q1792">
        <v>10395</v>
      </c>
      <c r="R1792" t="s">
        <v>6067</v>
      </c>
      <c r="S1792" t="s">
        <v>6073</v>
      </c>
    </row>
    <row r="1793" spans="1:19" ht="14.25" customHeight="1" x14ac:dyDescent="0.3">
      <c r="A1793" t="s">
        <v>2225</v>
      </c>
      <c r="B1793" t="s">
        <v>2556</v>
      </c>
      <c r="C1793" t="s">
        <v>95</v>
      </c>
      <c r="D1793" t="s">
        <v>853</v>
      </c>
      <c r="E1793" t="s">
        <v>2559</v>
      </c>
      <c r="F1793" t="s">
        <v>6059</v>
      </c>
      <c r="G1793" s="2" t="str">
        <f>HYPERLINK("https://www.facebook.com/100008934274771/posts/1810262525948206?comment_id=1810289359278856")</f>
        <v>https://www.facebook.com/100008934274771/posts/1810262525948206?comment_id=1810289359278856</v>
      </c>
      <c r="H1793" t="s">
        <v>6062</v>
      </c>
      <c r="I1793" t="s">
        <v>2560</v>
      </c>
      <c r="J1793" s="2" t="str">
        <f>HYPERLINK("https://www.facebook.com/100003596231813")</f>
        <v>https://www.facebook.com/100003596231813</v>
      </c>
      <c r="K1793">
        <v>9</v>
      </c>
      <c r="L1793" t="s">
        <v>6064</v>
      </c>
      <c r="N1793" t="s">
        <v>13</v>
      </c>
      <c r="O1793" t="s">
        <v>856</v>
      </c>
      <c r="P1793" s="2" t="str">
        <f>HYPERLINK("https://www.facebook.com/100008934274771")</f>
        <v>https://www.facebook.com/100008934274771</v>
      </c>
      <c r="Q1793">
        <v>10395</v>
      </c>
      <c r="R1793" t="s">
        <v>6067</v>
      </c>
      <c r="S1793" t="s">
        <v>6073</v>
      </c>
    </row>
    <row r="1794" spans="1:19" ht="14.25" customHeight="1" x14ac:dyDescent="0.3">
      <c r="A1794" t="s">
        <v>2225</v>
      </c>
      <c r="B1794" t="s">
        <v>2803</v>
      </c>
      <c r="C1794" t="s">
        <v>95</v>
      </c>
      <c r="D1794" t="s">
        <v>853</v>
      </c>
      <c r="E1794" t="s">
        <v>2806</v>
      </c>
      <c r="F1794" t="s">
        <v>6059</v>
      </c>
      <c r="G1794" s="2" t="str">
        <f>HYPERLINK("https://www.facebook.com/100008934274771/posts/1810262525948206?comment_id=1810268439280948")</f>
        <v>https://www.facebook.com/100008934274771/posts/1810262525948206?comment_id=1810268439280948</v>
      </c>
      <c r="H1794" t="s">
        <v>6062</v>
      </c>
      <c r="I1794" t="s">
        <v>2560</v>
      </c>
      <c r="J1794" s="2" t="str">
        <f>HYPERLINK("https://www.facebook.com/100003596231813")</f>
        <v>https://www.facebook.com/100003596231813</v>
      </c>
      <c r="K1794">
        <v>9</v>
      </c>
      <c r="L1794" t="s">
        <v>6064</v>
      </c>
      <c r="N1794" t="s">
        <v>13</v>
      </c>
      <c r="O1794" t="s">
        <v>856</v>
      </c>
      <c r="P1794" s="2" t="str">
        <f>HYPERLINK("https://www.facebook.com/100008934274771")</f>
        <v>https://www.facebook.com/100008934274771</v>
      </c>
      <c r="Q1794">
        <v>10395</v>
      </c>
      <c r="R1794" t="s">
        <v>6067</v>
      </c>
      <c r="S1794" t="s">
        <v>6073</v>
      </c>
    </row>
    <row r="1795" spans="1:19" ht="14.25" customHeight="1" x14ac:dyDescent="0.3">
      <c r="A1795" t="s">
        <v>2225</v>
      </c>
      <c r="B1795" t="s">
        <v>2824</v>
      </c>
      <c r="C1795" t="s">
        <v>95</v>
      </c>
      <c r="D1795" t="s">
        <v>544</v>
      </c>
      <c r="E1795" t="s">
        <v>545</v>
      </c>
      <c r="F1795" t="s">
        <v>6058</v>
      </c>
      <c r="G1795" s="2" t="str">
        <f>HYPERLINK("https://www.facebook.com/100002164560660/posts/1711200422295427")</f>
        <v>https://www.facebook.com/100002164560660/posts/1711200422295427</v>
      </c>
      <c r="H1795" t="s">
        <v>6062</v>
      </c>
      <c r="I1795" t="s">
        <v>1773</v>
      </c>
      <c r="J1795" s="2" t="str">
        <f>HYPERLINK("https://www.facebook.com/100002164560660")</f>
        <v>https://www.facebook.com/100002164560660</v>
      </c>
      <c r="K1795">
        <v>0</v>
      </c>
      <c r="L1795" t="s">
        <v>6063</v>
      </c>
      <c r="N1795" t="s">
        <v>13</v>
      </c>
      <c r="O1795" t="s">
        <v>1773</v>
      </c>
      <c r="P1795" s="2" t="str">
        <f>HYPERLINK("https://www.facebook.com/100002164560660")</f>
        <v>https://www.facebook.com/100002164560660</v>
      </c>
      <c r="Q1795">
        <v>0</v>
      </c>
      <c r="R1795" t="s">
        <v>6067</v>
      </c>
      <c r="S1795" t="s">
        <v>6073</v>
      </c>
    </row>
    <row r="1796" spans="1:19" ht="14.25" customHeight="1" x14ac:dyDescent="0.3">
      <c r="A1796" t="s">
        <v>629</v>
      </c>
      <c r="B1796" t="s">
        <v>1772</v>
      </c>
      <c r="C1796" t="s">
        <v>95</v>
      </c>
      <c r="D1796" t="s">
        <v>370</v>
      </c>
      <c r="E1796" t="s">
        <v>371</v>
      </c>
      <c r="F1796" t="s">
        <v>6058</v>
      </c>
      <c r="G1796" s="2" t="str">
        <f>HYPERLINK("https://www.facebook.com/100002164560660/posts/1711707498911386")</f>
        <v>https://www.facebook.com/100002164560660/posts/1711707498911386</v>
      </c>
      <c r="H1796" t="s">
        <v>6062</v>
      </c>
      <c r="I1796" t="s">
        <v>1773</v>
      </c>
      <c r="J1796" s="2" t="str">
        <f>HYPERLINK("https://www.facebook.com/100002164560660")</f>
        <v>https://www.facebook.com/100002164560660</v>
      </c>
      <c r="K1796">
        <v>0</v>
      </c>
      <c r="L1796" t="s">
        <v>6063</v>
      </c>
      <c r="N1796" t="s">
        <v>13</v>
      </c>
      <c r="O1796" t="s">
        <v>1773</v>
      </c>
      <c r="P1796" s="2" t="str">
        <f>HYPERLINK("https://www.facebook.com/100002164560660")</f>
        <v>https://www.facebook.com/100002164560660</v>
      </c>
      <c r="Q1796">
        <v>0</v>
      </c>
      <c r="R1796" t="s">
        <v>6067</v>
      </c>
      <c r="S1796" t="s">
        <v>6073</v>
      </c>
    </row>
    <row r="1797" spans="1:19" ht="14.25" customHeight="1" x14ac:dyDescent="0.3">
      <c r="A1797" t="s">
        <v>629</v>
      </c>
      <c r="B1797" t="s">
        <v>1208</v>
      </c>
      <c r="C1797" t="s">
        <v>95</v>
      </c>
      <c r="D1797" t="s">
        <v>370</v>
      </c>
      <c r="E1797" t="s">
        <v>371</v>
      </c>
      <c r="F1797" t="s">
        <v>6058</v>
      </c>
      <c r="G1797" s="2" t="str">
        <f>HYPERLINK("https://www.facebook.com/100008041173595/posts/2101480836796602")</f>
        <v>https://www.facebook.com/100008041173595/posts/2101480836796602</v>
      </c>
      <c r="H1797" t="s">
        <v>6062</v>
      </c>
      <c r="I1797" t="s">
        <v>1212</v>
      </c>
      <c r="J1797" s="2" t="str">
        <f>HYPERLINK("https://www.facebook.com/100008041173595")</f>
        <v>https://www.facebook.com/100008041173595</v>
      </c>
      <c r="K1797">
        <v>79</v>
      </c>
      <c r="L1797" t="s">
        <v>6063</v>
      </c>
      <c r="N1797" t="s">
        <v>13</v>
      </c>
      <c r="O1797" t="s">
        <v>1212</v>
      </c>
      <c r="P1797" s="2" t="str">
        <f>HYPERLINK("https://www.facebook.com/100008041173595")</f>
        <v>https://www.facebook.com/100008041173595</v>
      </c>
      <c r="Q1797">
        <v>79</v>
      </c>
      <c r="R1797" t="s">
        <v>6067</v>
      </c>
    </row>
    <row r="1798" spans="1:19" ht="14.25" customHeight="1" x14ac:dyDescent="0.3">
      <c r="A1798" t="s">
        <v>2225</v>
      </c>
      <c r="B1798" t="s">
        <v>740</v>
      </c>
      <c r="C1798" t="s">
        <v>95</v>
      </c>
      <c r="D1798" t="s">
        <v>544</v>
      </c>
      <c r="E1798" t="s">
        <v>545</v>
      </c>
      <c r="F1798" t="s">
        <v>6058</v>
      </c>
      <c r="G1798" s="2" t="str">
        <f>HYPERLINK("https://www.facebook.com/1351115110/posts/10215687620887481")</f>
        <v>https://www.facebook.com/1351115110/posts/10215687620887481</v>
      </c>
      <c r="H1798" t="s">
        <v>6062</v>
      </c>
      <c r="I1798" t="s">
        <v>2619</v>
      </c>
      <c r="J1798" s="2" t="str">
        <f>HYPERLINK("https://www.facebook.com/1351115110")</f>
        <v>https://www.facebook.com/1351115110</v>
      </c>
      <c r="K1798">
        <v>508</v>
      </c>
      <c r="L1798" t="s">
        <v>6063</v>
      </c>
      <c r="N1798" t="s">
        <v>13</v>
      </c>
      <c r="O1798" t="s">
        <v>2619</v>
      </c>
      <c r="P1798" s="2" t="str">
        <f>HYPERLINK("https://www.facebook.com/1351115110")</f>
        <v>https://www.facebook.com/1351115110</v>
      </c>
      <c r="Q1798">
        <v>508</v>
      </c>
      <c r="R1798" t="s">
        <v>6067</v>
      </c>
    </row>
    <row r="1799" spans="1:19" ht="14.25" customHeight="1" x14ac:dyDescent="0.3">
      <c r="A1799" t="s">
        <v>629</v>
      </c>
      <c r="B1799" t="s">
        <v>1596</v>
      </c>
      <c r="C1799" t="s">
        <v>95</v>
      </c>
      <c r="D1799" t="s">
        <v>370</v>
      </c>
      <c r="E1799" t="s">
        <v>371</v>
      </c>
      <c r="F1799" t="s">
        <v>6058</v>
      </c>
      <c r="G1799" s="2" t="str">
        <f>HYPERLINK("https://www.facebook.com/100007394136373/posts/2072741146315670")</f>
        <v>https://www.facebook.com/100007394136373/posts/2072741146315670</v>
      </c>
      <c r="H1799" t="s">
        <v>6062</v>
      </c>
      <c r="I1799" t="s">
        <v>1598</v>
      </c>
      <c r="J1799" s="2" t="str">
        <f>HYPERLINK("https://www.facebook.com/100007394136373")</f>
        <v>https://www.facebook.com/100007394136373</v>
      </c>
      <c r="K1799">
        <v>246</v>
      </c>
      <c r="L1799" t="s">
        <v>6063</v>
      </c>
      <c r="N1799" t="s">
        <v>13</v>
      </c>
      <c r="O1799" t="s">
        <v>1598</v>
      </c>
      <c r="P1799" s="2" t="str">
        <f>HYPERLINK("https://www.facebook.com/100007394136373")</f>
        <v>https://www.facebook.com/100007394136373</v>
      </c>
      <c r="Q1799">
        <v>246</v>
      </c>
      <c r="R1799" t="s">
        <v>6067</v>
      </c>
      <c r="S1799" t="s">
        <v>6073</v>
      </c>
    </row>
    <row r="1800" spans="1:19" ht="14.25" customHeight="1" x14ac:dyDescent="0.3">
      <c r="A1800" t="s">
        <v>629</v>
      </c>
      <c r="B1800" t="s">
        <v>1912</v>
      </c>
      <c r="C1800" t="s">
        <v>95</v>
      </c>
      <c r="D1800" t="s">
        <v>370</v>
      </c>
      <c r="E1800" t="s">
        <v>371</v>
      </c>
      <c r="F1800" t="s">
        <v>6058</v>
      </c>
      <c r="G1800" s="2" t="str">
        <f>HYPERLINK("https://www.facebook.com/100007394136373/posts/2072707099652408")</f>
        <v>https://www.facebook.com/100007394136373/posts/2072707099652408</v>
      </c>
      <c r="H1800" t="s">
        <v>6062</v>
      </c>
      <c r="I1800" t="s">
        <v>1598</v>
      </c>
      <c r="J1800" s="2" t="str">
        <f>HYPERLINK("https://www.facebook.com/100007394136373")</f>
        <v>https://www.facebook.com/100007394136373</v>
      </c>
      <c r="K1800">
        <v>246</v>
      </c>
      <c r="L1800" t="s">
        <v>6063</v>
      </c>
      <c r="N1800" t="s">
        <v>13</v>
      </c>
      <c r="O1800" t="s">
        <v>1598</v>
      </c>
      <c r="P1800" s="2" t="str">
        <f>HYPERLINK("https://www.facebook.com/100007394136373")</f>
        <v>https://www.facebook.com/100007394136373</v>
      </c>
      <c r="Q1800">
        <v>246</v>
      </c>
      <c r="R1800" t="s">
        <v>6067</v>
      </c>
      <c r="S1800" t="s">
        <v>6073</v>
      </c>
    </row>
    <row r="1801" spans="1:19" ht="14.25" customHeight="1" x14ac:dyDescent="0.3">
      <c r="A1801" t="s">
        <v>629</v>
      </c>
      <c r="B1801" t="s">
        <v>1511</v>
      </c>
      <c r="C1801" t="s">
        <v>95</v>
      </c>
      <c r="D1801" t="s">
        <v>370</v>
      </c>
      <c r="E1801" t="s">
        <v>371</v>
      </c>
      <c r="F1801" t="s">
        <v>6058</v>
      </c>
      <c r="G1801" s="2" t="str">
        <f>HYPERLINK("https://www.facebook.com/100007709010355/posts/2044527045814243")</f>
        <v>https://www.facebook.com/100007709010355/posts/2044527045814243</v>
      </c>
      <c r="H1801" t="s">
        <v>6062</v>
      </c>
      <c r="I1801" t="s">
        <v>1512</v>
      </c>
      <c r="J1801" s="2" t="str">
        <f>HYPERLINK("https://www.facebook.com/100007709010355")</f>
        <v>https://www.facebook.com/100007709010355</v>
      </c>
      <c r="K1801">
        <v>0</v>
      </c>
      <c r="L1801" t="s">
        <v>6064</v>
      </c>
      <c r="N1801" t="s">
        <v>13</v>
      </c>
      <c r="O1801" t="s">
        <v>1512</v>
      </c>
      <c r="P1801" s="2" t="str">
        <f>HYPERLINK("https://www.facebook.com/100007709010355")</f>
        <v>https://www.facebook.com/100007709010355</v>
      </c>
      <c r="Q1801">
        <v>0</v>
      </c>
      <c r="R1801" t="s">
        <v>6067</v>
      </c>
    </row>
    <row r="1802" spans="1:19" ht="14.25" customHeight="1" x14ac:dyDescent="0.3">
      <c r="A1802" t="s">
        <v>2225</v>
      </c>
      <c r="B1802" t="s">
        <v>2588</v>
      </c>
      <c r="C1802" t="s">
        <v>95</v>
      </c>
      <c r="D1802" t="s">
        <v>853</v>
      </c>
      <c r="E1802" t="s">
        <v>2590</v>
      </c>
      <c r="F1802" t="s">
        <v>6059</v>
      </c>
      <c r="G1802" s="2" t="str">
        <f>HYPERLINK("https://www.facebook.com/100008934274771/posts/1810262525948206?comment_id=1810287562612369")</f>
        <v>https://www.facebook.com/100008934274771/posts/1810262525948206?comment_id=1810287562612369</v>
      </c>
      <c r="H1802" t="s">
        <v>6062</v>
      </c>
      <c r="I1802" t="s">
        <v>2478</v>
      </c>
      <c r="J1802" s="2" t="str">
        <f>HYPERLINK("https://www.facebook.com/100014033104705")</f>
        <v>https://www.facebook.com/100014033104705</v>
      </c>
      <c r="K1802">
        <v>105</v>
      </c>
      <c r="L1802" t="s">
        <v>6064</v>
      </c>
      <c r="N1802" t="s">
        <v>13</v>
      </c>
      <c r="O1802" t="s">
        <v>856</v>
      </c>
      <c r="P1802" s="2" t="str">
        <f>HYPERLINK("https://www.facebook.com/100008934274771")</f>
        <v>https://www.facebook.com/100008934274771</v>
      </c>
      <c r="Q1802">
        <v>10395</v>
      </c>
      <c r="R1802" t="s">
        <v>6067</v>
      </c>
      <c r="S1802" t="s">
        <v>6073</v>
      </c>
    </row>
    <row r="1803" spans="1:19" ht="14.25" customHeight="1" x14ac:dyDescent="0.3">
      <c r="A1803" t="s">
        <v>2225</v>
      </c>
      <c r="B1803" t="s">
        <v>2605</v>
      </c>
      <c r="C1803" t="s">
        <v>95</v>
      </c>
      <c r="D1803" t="s">
        <v>853</v>
      </c>
      <c r="E1803" t="s">
        <v>2609</v>
      </c>
      <c r="F1803" t="s">
        <v>6059</v>
      </c>
      <c r="G1803" s="2" t="str">
        <f>HYPERLINK("https://www.facebook.com/100008934274771/posts/1810262525948206?comment_id=1810285305945928")</f>
        <v>https://www.facebook.com/100008934274771/posts/1810262525948206?comment_id=1810285305945928</v>
      </c>
      <c r="H1803" t="s">
        <v>6062</v>
      </c>
      <c r="I1803" t="s">
        <v>2478</v>
      </c>
      <c r="J1803" s="2" t="str">
        <f>HYPERLINK("https://www.facebook.com/100014033104705")</f>
        <v>https://www.facebook.com/100014033104705</v>
      </c>
      <c r="K1803">
        <v>105</v>
      </c>
      <c r="L1803" t="s">
        <v>6064</v>
      </c>
      <c r="N1803" t="s">
        <v>13</v>
      </c>
      <c r="O1803" t="s">
        <v>856</v>
      </c>
      <c r="P1803" s="2" t="str">
        <f>HYPERLINK("https://www.facebook.com/100008934274771")</f>
        <v>https://www.facebook.com/100008934274771</v>
      </c>
      <c r="Q1803">
        <v>10395</v>
      </c>
      <c r="R1803" t="s">
        <v>6067</v>
      </c>
      <c r="S1803" t="s">
        <v>6073</v>
      </c>
    </row>
    <row r="1804" spans="1:19" ht="14.25" customHeight="1" x14ac:dyDescent="0.3">
      <c r="A1804" t="s">
        <v>2225</v>
      </c>
      <c r="B1804" t="s">
        <v>2471</v>
      </c>
      <c r="C1804" t="s">
        <v>95</v>
      </c>
      <c r="D1804" t="s">
        <v>853</v>
      </c>
      <c r="E1804" t="s">
        <v>2477</v>
      </c>
      <c r="F1804" t="s">
        <v>6059</v>
      </c>
      <c r="G1804" s="2" t="str">
        <f>HYPERLINK("https://www.facebook.com/100008934274771/posts/1810262525948206?comment_id=1810292905945168")</f>
        <v>https://www.facebook.com/100008934274771/posts/1810262525948206?comment_id=1810292905945168</v>
      </c>
      <c r="H1804" t="s">
        <v>6062</v>
      </c>
      <c r="I1804" t="s">
        <v>2478</v>
      </c>
      <c r="J1804" s="2" t="str">
        <f>HYPERLINK("https://www.facebook.com/100014033104705")</f>
        <v>https://www.facebook.com/100014033104705</v>
      </c>
      <c r="K1804">
        <v>105</v>
      </c>
      <c r="L1804" t="s">
        <v>6064</v>
      </c>
      <c r="N1804" t="s">
        <v>13</v>
      </c>
      <c r="O1804" t="s">
        <v>856</v>
      </c>
      <c r="P1804" s="2" t="str">
        <f>HYPERLINK("https://www.facebook.com/100008934274771")</f>
        <v>https://www.facebook.com/100008934274771</v>
      </c>
      <c r="Q1804">
        <v>10395</v>
      </c>
      <c r="R1804" t="s">
        <v>6067</v>
      </c>
      <c r="S1804" t="s">
        <v>6073</v>
      </c>
    </row>
    <row r="1805" spans="1:19" ht="14.25" customHeight="1" x14ac:dyDescent="0.3">
      <c r="A1805" t="s">
        <v>629</v>
      </c>
      <c r="B1805" t="s">
        <v>1151</v>
      </c>
      <c r="C1805" t="s">
        <v>95</v>
      </c>
      <c r="D1805" t="s">
        <v>10</v>
      </c>
      <c r="E1805" t="s">
        <v>1152</v>
      </c>
      <c r="F1805" t="s">
        <v>6059</v>
      </c>
      <c r="G1805" s="2" t="str">
        <f>HYPERLINK("https://www.facebook.com/762053551/posts/10156366210158552?comment_id=10156366280033552")</f>
        <v>https://www.facebook.com/762053551/posts/10156366210158552?comment_id=10156366280033552</v>
      </c>
      <c r="H1805" t="s">
        <v>6062</v>
      </c>
      <c r="I1805" t="s">
        <v>1153</v>
      </c>
      <c r="J1805" s="2" t="str">
        <f>HYPERLINK("https://www.facebook.com/100001266076050")</f>
        <v>https://www.facebook.com/100001266076050</v>
      </c>
      <c r="K1805">
        <v>289</v>
      </c>
      <c r="L1805" t="s">
        <v>6063</v>
      </c>
      <c r="N1805" t="s">
        <v>13</v>
      </c>
      <c r="O1805" t="s">
        <v>14</v>
      </c>
      <c r="P1805" s="2" t="str">
        <f>HYPERLINK("https://www.facebook.com/762053551")</f>
        <v>https://www.facebook.com/762053551</v>
      </c>
      <c r="Q1805">
        <v>102347</v>
      </c>
      <c r="R1805" t="s">
        <v>6067</v>
      </c>
      <c r="S1805" t="s">
        <v>6073</v>
      </c>
    </row>
    <row r="1806" spans="1:19" ht="14.25" customHeight="1" x14ac:dyDescent="0.3">
      <c r="A1806" t="s">
        <v>5409</v>
      </c>
      <c r="B1806" t="s">
        <v>199</v>
      </c>
      <c r="C1806" t="s">
        <v>3538</v>
      </c>
      <c r="D1806" t="s">
        <v>4318</v>
      </c>
      <c r="E1806" t="s">
        <v>5429</v>
      </c>
      <c r="F1806" t="s">
        <v>6058</v>
      </c>
      <c r="G1806" s="2" t="str">
        <f>HYPERLINK("https://www.facebook.com/100017196104880/posts/217716505478218")</f>
        <v>https://www.facebook.com/100017196104880/posts/217716505478218</v>
      </c>
      <c r="H1806" t="s">
        <v>6062</v>
      </c>
      <c r="I1806" t="s">
        <v>5782</v>
      </c>
      <c r="J1806" s="2" t="str">
        <f>HYPERLINK("https://www.facebook.com/100017196104880")</f>
        <v>https://www.facebook.com/100017196104880</v>
      </c>
      <c r="K1806">
        <v>0</v>
      </c>
      <c r="L1806" t="s">
        <v>6063</v>
      </c>
      <c r="N1806" t="s">
        <v>13</v>
      </c>
      <c r="O1806" t="s">
        <v>5782</v>
      </c>
      <c r="P1806" s="2" t="str">
        <f>HYPERLINK("https://www.facebook.com/100017196104880")</f>
        <v>https://www.facebook.com/100017196104880</v>
      </c>
      <c r="Q1806">
        <v>0</v>
      </c>
      <c r="R1806" t="s">
        <v>6067</v>
      </c>
      <c r="S1806" t="s">
        <v>6073</v>
      </c>
    </row>
    <row r="1807" spans="1:19" ht="14.25" customHeight="1" x14ac:dyDescent="0.3">
      <c r="A1807" t="s">
        <v>629</v>
      </c>
      <c r="B1807" t="s">
        <v>1224</v>
      </c>
      <c r="C1807" t="s">
        <v>95</v>
      </c>
      <c r="D1807" t="s">
        <v>667</v>
      </c>
      <c r="E1807" t="s">
        <v>668</v>
      </c>
      <c r="F1807" t="s">
        <v>6058</v>
      </c>
      <c r="G1807" s="2" t="str">
        <f>HYPERLINK("https://www.facebook.com/100000844978946/posts/1723898500981632")</f>
        <v>https://www.facebook.com/100000844978946/posts/1723898500981632</v>
      </c>
      <c r="H1807" t="s">
        <v>6062</v>
      </c>
      <c r="I1807" t="s">
        <v>1231</v>
      </c>
      <c r="J1807" s="2" t="str">
        <f>HYPERLINK("https://www.facebook.com/100000844978946")</f>
        <v>https://www.facebook.com/100000844978946</v>
      </c>
      <c r="K1807">
        <v>2703</v>
      </c>
      <c r="L1807" t="s">
        <v>6063</v>
      </c>
      <c r="N1807" t="s">
        <v>13</v>
      </c>
      <c r="O1807" t="s">
        <v>1231</v>
      </c>
      <c r="P1807" s="2" t="str">
        <f>HYPERLINK("https://www.facebook.com/100000844978946")</f>
        <v>https://www.facebook.com/100000844978946</v>
      </c>
      <c r="Q1807">
        <v>2703</v>
      </c>
      <c r="R1807" t="s">
        <v>6067</v>
      </c>
      <c r="S1807" t="s">
        <v>6073</v>
      </c>
    </row>
    <row r="1808" spans="1:19" ht="14.25" customHeight="1" x14ac:dyDescent="0.3">
      <c r="A1808" t="s">
        <v>629</v>
      </c>
      <c r="B1808" t="s">
        <v>2018</v>
      </c>
      <c r="C1808" t="s">
        <v>95</v>
      </c>
      <c r="D1808" t="s">
        <v>370</v>
      </c>
      <c r="E1808" t="s">
        <v>371</v>
      </c>
      <c r="F1808" t="s">
        <v>6058</v>
      </c>
      <c r="G1808" s="2" t="str">
        <f>HYPERLINK("https://www.facebook.com/100000633511763/posts/1923792574318508")</f>
        <v>https://www.facebook.com/100000633511763/posts/1923792574318508</v>
      </c>
      <c r="H1808" t="s">
        <v>6062</v>
      </c>
      <c r="I1808" t="s">
        <v>2020</v>
      </c>
      <c r="J1808" s="2" t="str">
        <f>HYPERLINK("https://www.facebook.com/100000633511763")</f>
        <v>https://www.facebook.com/100000633511763</v>
      </c>
      <c r="K1808">
        <v>2693</v>
      </c>
      <c r="L1808" t="s">
        <v>6063</v>
      </c>
      <c r="N1808" t="s">
        <v>13</v>
      </c>
      <c r="O1808" t="s">
        <v>2020</v>
      </c>
      <c r="P1808" s="2" t="str">
        <f>HYPERLINK("https://www.facebook.com/100000633511763")</f>
        <v>https://www.facebook.com/100000633511763</v>
      </c>
      <c r="Q1808">
        <v>2693</v>
      </c>
      <c r="R1808" t="s">
        <v>6067</v>
      </c>
      <c r="S1808" t="s">
        <v>6073</v>
      </c>
    </row>
    <row r="1809" spans="1:19" ht="14.25" customHeight="1" x14ac:dyDescent="0.3">
      <c r="A1809" t="s">
        <v>629</v>
      </c>
      <c r="B1809" t="s">
        <v>1672</v>
      </c>
      <c r="C1809" t="s">
        <v>95</v>
      </c>
      <c r="D1809" t="s">
        <v>370</v>
      </c>
      <c r="E1809" t="s">
        <v>371</v>
      </c>
      <c r="F1809" t="s">
        <v>6058</v>
      </c>
      <c r="G1809" s="2" t="str">
        <f>HYPERLINK("https://www.facebook.com/100011159534644/posts/567693460279300")</f>
        <v>https://www.facebook.com/100011159534644/posts/567693460279300</v>
      </c>
      <c r="H1809" t="s">
        <v>6062</v>
      </c>
      <c r="I1809" t="s">
        <v>1673</v>
      </c>
      <c r="J1809" s="2" t="str">
        <f>HYPERLINK("https://www.facebook.com/100011159534644")</f>
        <v>https://www.facebook.com/100011159534644</v>
      </c>
      <c r="K1809">
        <v>30</v>
      </c>
      <c r="L1809" t="s">
        <v>6063</v>
      </c>
      <c r="N1809" t="s">
        <v>13</v>
      </c>
      <c r="O1809" t="s">
        <v>1673</v>
      </c>
      <c r="P1809" s="2" t="str">
        <f>HYPERLINK("https://www.facebook.com/100011159534644")</f>
        <v>https://www.facebook.com/100011159534644</v>
      </c>
      <c r="Q1809">
        <v>30</v>
      </c>
      <c r="R1809" t="s">
        <v>6067</v>
      </c>
    </row>
    <row r="1810" spans="1:19" ht="14.25" customHeight="1" x14ac:dyDescent="0.3">
      <c r="A1810" t="s">
        <v>4439</v>
      </c>
      <c r="B1810" t="s">
        <v>2556</v>
      </c>
      <c r="C1810" t="s">
        <v>3538</v>
      </c>
      <c r="D1810" t="s">
        <v>4171</v>
      </c>
      <c r="E1810" t="s">
        <v>4172</v>
      </c>
      <c r="F1810" t="s">
        <v>6058</v>
      </c>
      <c r="G1810" s="2" t="str">
        <f>HYPERLINK("https://www.facebook.com/100003252015953/posts/1614156772036041")</f>
        <v>https://www.facebook.com/100003252015953/posts/1614156772036041</v>
      </c>
      <c r="H1810" t="s">
        <v>6062</v>
      </c>
      <c r="I1810" t="s">
        <v>4492</v>
      </c>
      <c r="J1810" s="2" t="str">
        <f>HYPERLINK("https://www.facebook.com/100003252015953")</f>
        <v>https://www.facebook.com/100003252015953</v>
      </c>
      <c r="K1810">
        <v>103</v>
      </c>
      <c r="L1810" t="s">
        <v>6063</v>
      </c>
      <c r="N1810" t="s">
        <v>13</v>
      </c>
      <c r="O1810" t="s">
        <v>4492</v>
      </c>
      <c r="P1810" s="2" t="str">
        <f>HYPERLINK("https://www.facebook.com/100003252015953")</f>
        <v>https://www.facebook.com/100003252015953</v>
      </c>
      <c r="Q1810">
        <v>103</v>
      </c>
      <c r="R1810" t="s">
        <v>6067</v>
      </c>
    </row>
    <row r="1811" spans="1:19" ht="14.25" customHeight="1" x14ac:dyDescent="0.3">
      <c r="A1811" t="s">
        <v>2225</v>
      </c>
      <c r="B1811" t="s">
        <v>2836</v>
      </c>
      <c r="C1811" t="s">
        <v>95</v>
      </c>
      <c r="D1811" t="s">
        <v>544</v>
      </c>
      <c r="E1811" t="s">
        <v>545</v>
      </c>
      <c r="F1811" t="s">
        <v>6058</v>
      </c>
      <c r="G1811" s="2" t="str">
        <f>HYPERLINK("https://www.facebook.com/100001719808567/posts/1784606814939961")</f>
        <v>https://www.facebook.com/100001719808567/posts/1784606814939961</v>
      </c>
      <c r="H1811" t="s">
        <v>6062</v>
      </c>
      <c r="I1811" t="s">
        <v>2846</v>
      </c>
      <c r="J1811" s="2" t="str">
        <f>HYPERLINK("https://www.facebook.com/100001719808567")</f>
        <v>https://www.facebook.com/100001719808567</v>
      </c>
      <c r="K1811">
        <v>14</v>
      </c>
      <c r="L1811" t="s">
        <v>6063</v>
      </c>
      <c r="N1811" t="s">
        <v>13</v>
      </c>
      <c r="O1811" t="s">
        <v>2846</v>
      </c>
      <c r="P1811" s="2" t="str">
        <f>HYPERLINK("https://www.facebook.com/100001719808567")</f>
        <v>https://www.facebook.com/100001719808567</v>
      </c>
      <c r="Q1811">
        <v>14</v>
      </c>
      <c r="R1811" t="s">
        <v>6067</v>
      </c>
      <c r="S1811" t="s">
        <v>6073</v>
      </c>
    </row>
    <row r="1812" spans="1:19" ht="14.25" customHeight="1" x14ac:dyDescent="0.3">
      <c r="A1812" t="s">
        <v>4439</v>
      </c>
      <c r="B1812" t="s">
        <v>4881</v>
      </c>
      <c r="C1812" t="s">
        <v>3538</v>
      </c>
      <c r="D1812" t="s">
        <v>4882</v>
      </c>
      <c r="E1812" t="s">
        <v>4883</v>
      </c>
      <c r="F1812" t="s">
        <v>6059</v>
      </c>
      <c r="G1812" s="2" t="str">
        <f>HYPERLINK("https://www.facebook.com/100000281516575/posts/1889322687753763?comment_id=1889508197735212")</f>
        <v>https://www.facebook.com/100000281516575/posts/1889322687753763?comment_id=1889508197735212</v>
      </c>
      <c r="H1812" t="s">
        <v>6062</v>
      </c>
      <c r="I1812" t="s">
        <v>4884</v>
      </c>
      <c r="J1812" s="2" t="str">
        <f>HYPERLINK("https://www.facebook.com/100001947556407")</f>
        <v>https://www.facebook.com/100001947556407</v>
      </c>
      <c r="K1812">
        <v>0</v>
      </c>
      <c r="L1812" t="s">
        <v>6063</v>
      </c>
      <c r="N1812" t="s">
        <v>13</v>
      </c>
      <c r="O1812" t="s">
        <v>4885</v>
      </c>
      <c r="P1812" s="2" t="str">
        <f>HYPERLINK("https://www.facebook.com/100000281516575")</f>
        <v>https://www.facebook.com/100000281516575</v>
      </c>
      <c r="Q1812">
        <v>717</v>
      </c>
      <c r="R1812" t="s">
        <v>6067</v>
      </c>
      <c r="S1812" t="s">
        <v>6073</v>
      </c>
    </row>
    <row r="1813" spans="1:19" ht="14.25" customHeight="1" x14ac:dyDescent="0.3">
      <c r="A1813" t="s">
        <v>2225</v>
      </c>
      <c r="B1813" t="s">
        <v>2803</v>
      </c>
      <c r="C1813" t="s">
        <v>95</v>
      </c>
      <c r="D1813" t="s">
        <v>544</v>
      </c>
      <c r="E1813" t="s">
        <v>545</v>
      </c>
      <c r="F1813" t="s">
        <v>6058</v>
      </c>
      <c r="G1813" s="2" t="str">
        <f>HYPERLINK("https://www.facebook.com/100022258746794/posts/214551342630156")</f>
        <v>https://www.facebook.com/100022258746794/posts/214551342630156</v>
      </c>
      <c r="H1813" t="s">
        <v>6062</v>
      </c>
      <c r="I1813" t="s">
        <v>2815</v>
      </c>
      <c r="J1813" s="2" t="str">
        <f>HYPERLINK("https://www.facebook.com/100022258746794")</f>
        <v>https://www.facebook.com/100022258746794</v>
      </c>
      <c r="K1813">
        <v>342</v>
      </c>
      <c r="L1813" t="s">
        <v>6063</v>
      </c>
      <c r="N1813" t="s">
        <v>13</v>
      </c>
      <c r="O1813" t="s">
        <v>2815</v>
      </c>
      <c r="P1813" s="2" t="str">
        <f>HYPERLINK("https://www.facebook.com/100022258746794")</f>
        <v>https://www.facebook.com/100022258746794</v>
      </c>
      <c r="Q1813">
        <v>342</v>
      </c>
      <c r="R1813" t="s">
        <v>6067</v>
      </c>
    </row>
    <row r="1814" spans="1:19" ht="14.25" customHeight="1" x14ac:dyDescent="0.3">
      <c r="A1814" t="s">
        <v>629</v>
      </c>
      <c r="B1814" t="s">
        <v>862</v>
      </c>
      <c r="C1814" t="s">
        <v>95</v>
      </c>
      <c r="D1814" t="s">
        <v>853</v>
      </c>
      <c r="E1814" t="s">
        <v>863</v>
      </c>
      <c r="F1814" t="s">
        <v>6059</v>
      </c>
      <c r="G1814" s="2" t="str">
        <f>HYPERLINK("https://www.facebook.com/100008934274771/posts/1810262525948206?comment_id=1810807792560346")</f>
        <v>https://www.facebook.com/100008934274771/posts/1810262525948206?comment_id=1810807792560346</v>
      </c>
      <c r="H1814" t="s">
        <v>6062</v>
      </c>
      <c r="I1814" t="s">
        <v>855</v>
      </c>
      <c r="J1814" s="2" t="str">
        <f>HYPERLINK("https://www.facebook.com/100017249199493")</f>
        <v>https://www.facebook.com/100017249199493</v>
      </c>
      <c r="K1814">
        <v>1602</v>
      </c>
      <c r="L1814" t="s">
        <v>6063</v>
      </c>
      <c r="N1814" t="s">
        <v>13</v>
      </c>
      <c r="O1814" t="s">
        <v>856</v>
      </c>
      <c r="P1814" s="2" t="str">
        <f>HYPERLINK("https://www.facebook.com/100008934274771")</f>
        <v>https://www.facebook.com/100008934274771</v>
      </c>
      <c r="Q1814">
        <v>10395</v>
      </c>
      <c r="R1814" t="s">
        <v>6067</v>
      </c>
      <c r="S1814" t="s">
        <v>6073</v>
      </c>
    </row>
    <row r="1815" spans="1:19" ht="14.25" customHeight="1" x14ac:dyDescent="0.3">
      <c r="A1815" t="s">
        <v>629</v>
      </c>
      <c r="B1815" t="s">
        <v>852</v>
      </c>
      <c r="C1815" t="s">
        <v>95</v>
      </c>
      <c r="D1815" t="s">
        <v>853</v>
      </c>
      <c r="E1815" t="s">
        <v>854</v>
      </c>
      <c r="F1815" t="s">
        <v>6059</v>
      </c>
      <c r="G1815" s="2" t="str">
        <f>HYPERLINK("https://www.facebook.com/100008934274771/posts/1810262525948206?comment_id=1810808695893589")</f>
        <v>https://www.facebook.com/100008934274771/posts/1810262525948206?comment_id=1810808695893589</v>
      </c>
      <c r="H1815" t="s">
        <v>6062</v>
      </c>
      <c r="I1815" t="s">
        <v>855</v>
      </c>
      <c r="J1815" s="2" t="str">
        <f>HYPERLINK("https://www.facebook.com/100017249199493")</f>
        <v>https://www.facebook.com/100017249199493</v>
      </c>
      <c r="K1815">
        <v>1602</v>
      </c>
      <c r="L1815" t="s">
        <v>6063</v>
      </c>
      <c r="N1815" t="s">
        <v>13</v>
      </c>
      <c r="O1815" t="s">
        <v>856</v>
      </c>
      <c r="P1815" s="2" t="str">
        <f>HYPERLINK("https://www.facebook.com/100008934274771")</f>
        <v>https://www.facebook.com/100008934274771</v>
      </c>
      <c r="Q1815">
        <v>10395</v>
      </c>
      <c r="R1815" t="s">
        <v>6067</v>
      </c>
      <c r="S1815" t="s">
        <v>6073</v>
      </c>
    </row>
    <row r="1816" spans="1:19" ht="14.25" customHeight="1" x14ac:dyDescent="0.3">
      <c r="A1816" t="s">
        <v>629</v>
      </c>
      <c r="B1816" t="s">
        <v>864</v>
      </c>
      <c r="C1816" t="s">
        <v>95</v>
      </c>
      <c r="D1816" t="s">
        <v>853</v>
      </c>
      <c r="E1816" t="s">
        <v>866</v>
      </c>
      <c r="F1816" t="s">
        <v>6059</v>
      </c>
      <c r="G1816" s="2" t="str">
        <f>HYPERLINK("https://www.facebook.com/100008934274771/posts/1810262525948206?comment_id=1810807345893724")</f>
        <v>https://www.facebook.com/100008934274771/posts/1810262525948206?comment_id=1810807345893724</v>
      </c>
      <c r="H1816" t="s">
        <v>6062</v>
      </c>
      <c r="I1816" t="s">
        <v>855</v>
      </c>
      <c r="J1816" s="2" t="str">
        <f>HYPERLINK("https://www.facebook.com/100017249199493")</f>
        <v>https://www.facebook.com/100017249199493</v>
      </c>
      <c r="K1816">
        <v>1602</v>
      </c>
      <c r="L1816" t="s">
        <v>6063</v>
      </c>
      <c r="N1816" t="s">
        <v>13</v>
      </c>
      <c r="O1816" t="s">
        <v>856</v>
      </c>
      <c r="P1816" s="2" t="str">
        <f>HYPERLINK("https://www.facebook.com/100008934274771")</f>
        <v>https://www.facebook.com/100008934274771</v>
      </c>
      <c r="Q1816">
        <v>10395</v>
      </c>
      <c r="R1816" t="s">
        <v>6067</v>
      </c>
      <c r="S1816" t="s">
        <v>6073</v>
      </c>
    </row>
    <row r="1817" spans="1:19" ht="14.25" customHeight="1" x14ac:dyDescent="0.3">
      <c r="A1817" t="s">
        <v>1</v>
      </c>
      <c r="B1817" t="s">
        <v>206</v>
      </c>
      <c r="C1817" t="s">
        <v>95</v>
      </c>
      <c r="D1817" t="s">
        <v>207</v>
      </c>
      <c r="E1817" t="s">
        <v>208</v>
      </c>
      <c r="F1817" t="s">
        <v>6059</v>
      </c>
      <c r="G1817" s="2" t="str">
        <f>HYPERLINK("https://www.facebook.com/403681463131864/posts/980909985409006?comment_id=1009133209253350")</f>
        <v>https://www.facebook.com/403681463131864/posts/980909985409006?comment_id=1009133209253350</v>
      </c>
      <c r="H1817" t="s">
        <v>6062</v>
      </c>
      <c r="I1817" t="s">
        <v>209</v>
      </c>
      <c r="J1817" s="2" t="str">
        <f>HYPERLINK("https://www.facebook.com/100005313463528")</f>
        <v>https://www.facebook.com/100005313463528</v>
      </c>
      <c r="K1817">
        <v>265</v>
      </c>
      <c r="L1817" t="s">
        <v>6063</v>
      </c>
      <c r="N1817" t="s">
        <v>13</v>
      </c>
      <c r="O1817" t="s">
        <v>210</v>
      </c>
      <c r="P1817" s="2" t="str">
        <f>HYPERLINK("https://www.facebook.com/403681463131864")</f>
        <v>https://www.facebook.com/403681463131864</v>
      </c>
      <c r="R1817" t="s">
        <v>6067</v>
      </c>
      <c r="S1817" t="s">
        <v>6073</v>
      </c>
    </row>
    <row r="1818" spans="1:19" ht="14.25" customHeight="1" x14ac:dyDescent="0.3">
      <c r="A1818" t="s">
        <v>1</v>
      </c>
      <c r="B1818" t="s">
        <v>216</v>
      </c>
      <c r="C1818" t="s">
        <v>95</v>
      </c>
      <c r="D1818" t="s">
        <v>217</v>
      </c>
      <c r="E1818" t="s">
        <v>208</v>
      </c>
      <c r="F1818" t="s">
        <v>6059</v>
      </c>
      <c r="G1818" s="2" t="str">
        <f>HYPERLINK("https://www.facebook.com/403681463131864/posts/995942140572457?comment_id=1009133039253367")</f>
        <v>https://www.facebook.com/403681463131864/posts/995942140572457?comment_id=1009133039253367</v>
      </c>
      <c r="H1818" t="s">
        <v>6062</v>
      </c>
      <c r="I1818" t="s">
        <v>209</v>
      </c>
      <c r="J1818" s="2" t="str">
        <f>HYPERLINK("https://www.facebook.com/100005313463528")</f>
        <v>https://www.facebook.com/100005313463528</v>
      </c>
      <c r="K1818">
        <v>265</v>
      </c>
      <c r="L1818" t="s">
        <v>6063</v>
      </c>
      <c r="N1818" t="s">
        <v>13</v>
      </c>
      <c r="O1818" t="s">
        <v>210</v>
      </c>
      <c r="P1818" s="2" t="str">
        <f>HYPERLINK("https://www.facebook.com/403681463131864")</f>
        <v>https://www.facebook.com/403681463131864</v>
      </c>
      <c r="R1818" t="s">
        <v>6067</v>
      </c>
      <c r="S1818" t="s">
        <v>6073</v>
      </c>
    </row>
    <row r="1819" spans="1:19" ht="14.25" customHeight="1" x14ac:dyDescent="0.3">
      <c r="A1819" t="s">
        <v>1</v>
      </c>
      <c r="B1819" t="s">
        <v>226</v>
      </c>
      <c r="C1819" t="s">
        <v>95</v>
      </c>
      <c r="D1819" t="s">
        <v>227</v>
      </c>
      <c r="E1819" t="s">
        <v>208</v>
      </c>
      <c r="F1819" t="s">
        <v>6059</v>
      </c>
      <c r="G1819" s="2" t="str">
        <f>HYPERLINK("https://www.facebook.com/403681463131864/posts/1009072465926091?comment_id=1009131952586809")</f>
        <v>https://www.facebook.com/403681463131864/posts/1009072465926091?comment_id=1009131952586809</v>
      </c>
      <c r="H1819" t="s">
        <v>6062</v>
      </c>
      <c r="I1819" t="s">
        <v>209</v>
      </c>
      <c r="J1819" s="2" t="str">
        <f>HYPERLINK("https://www.facebook.com/100005313463528")</f>
        <v>https://www.facebook.com/100005313463528</v>
      </c>
      <c r="K1819">
        <v>265</v>
      </c>
      <c r="L1819" t="s">
        <v>6063</v>
      </c>
      <c r="N1819" t="s">
        <v>13</v>
      </c>
      <c r="O1819" t="s">
        <v>210</v>
      </c>
      <c r="P1819" s="2" t="str">
        <f>HYPERLINK("https://www.facebook.com/403681463131864")</f>
        <v>https://www.facebook.com/403681463131864</v>
      </c>
      <c r="R1819" t="s">
        <v>6067</v>
      </c>
      <c r="S1819" t="s">
        <v>6073</v>
      </c>
    </row>
    <row r="1820" spans="1:19" ht="14.25" customHeight="1" x14ac:dyDescent="0.3">
      <c r="A1820" t="s">
        <v>2225</v>
      </c>
      <c r="B1820" t="s">
        <v>2639</v>
      </c>
      <c r="C1820" t="s">
        <v>95</v>
      </c>
      <c r="D1820" t="s">
        <v>544</v>
      </c>
      <c r="E1820" t="s">
        <v>545</v>
      </c>
      <c r="F1820" t="s">
        <v>6058</v>
      </c>
      <c r="G1820" s="2" t="str">
        <f>HYPERLINK("https://www.facebook.com/100001715556888/posts/1671784656222037")</f>
        <v>https://www.facebook.com/100001715556888/posts/1671784656222037</v>
      </c>
      <c r="H1820" t="s">
        <v>6062</v>
      </c>
      <c r="I1820" t="s">
        <v>1522</v>
      </c>
      <c r="J1820" s="2" t="str">
        <f>HYPERLINK("https://www.facebook.com/100001715556888")</f>
        <v>https://www.facebook.com/100001715556888</v>
      </c>
      <c r="K1820">
        <v>225</v>
      </c>
      <c r="L1820" t="s">
        <v>6064</v>
      </c>
      <c r="N1820" t="s">
        <v>13</v>
      </c>
      <c r="O1820" t="s">
        <v>1522</v>
      </c>
      <c r="P1820" s="2" t="str">
        <f>HYPERLINK("https://www.facebook.com/100001715556888")</f>
        <v>https://www.facebook.com/100001715556888</v>
      </c>
      <c r="Q1820">
        <v>225</v>
      </c>
      <c r="R1820" t="s">
        <v>6067</v>
      </c>
      <c r="S1820" t="s">
        <v>6073</v>
      </c>
    </row>
    <row r="1821" spans="1:19" ht="14.25" customHeight="1" x14ac:dyDescent="0.3">
      <c r="A1821" t="s">
        <v>629</v>
      </c>
      <c r="B1821" t="s">
        <v>1520</v>
      </c>
      <c r="C1821" t="s">
        <v>95</v>
      </c>
      <c r="D1821" t="s">
        <v>370</v>
      </c>
      <c r="E1821" t="s">
        <v>371</v>
      </c>
      <c r="F1821" t="s">
        <v>6058</v>
      </c>
      <c r="G1821" s="2" t="str">
        <f>HYPERLINK("https://www.facebook.com/100001715556888/posts/1672309652836204")</f>
        <v>https://www.facebook.com/100001715556888/posts/1672309652836204</v>
      </c>
      <c r="H1821" t="s">
        <v>6062</v>
      </c>
      <c r="I1821" t="s">
        <v>1522</v>
      </c>
      <c r="J1821" s="2" t="str">
        <f>HYPERLINK("https://www.facebook.com/100001715556888")</f>
        <v>https://www.facebook.com/100001715556888</v>
      </c>
      <c r="K1821">
        <v>225</v>
      </c>
      <c r="L1821" t="s">
        <v>6064</v>
      </c>
      <c r="N1821" t="s">
        <v>13</v>
      </c>
      <c r="O1821" t="s">
        <v>1522</v>
      </c>
      <c r="P1821" s="2" t="str">
        <f>HYPERLINK("https://www.facebook.com/100001715556888")</f>
        <v>https://www.facebook.com/100001715556888</v>
      </c>
      <c r="Q1821">
        <v>225</v>
      </c>
      <c r="R1821" t="s">
        <v>6067</v>
      </c>
      <c r="S1821" t="s">
        <v>6073</v>
      </c>
    </row>
    <row r="1822" spans="1:19" ht="14.25" customHeight="1" x14ac:dyDescent="0.3">
      <c r="A1822" t="s">
        <v>3527</v>
      </c>
      <c r="B1822" t="s">
        <v>3870</v>
      </c>
      <c r="C1822" t="s">
        <v>95</v>
      </c>
      <c r="D1822" t="s">
        <v>3871</v>
      </c>
      <c r="E1822" t="s">
        <v>3872</v>
      </c>
      <c r="F1822" t="s">
        <v>6057</v>
      </c>
      <c r="G1822" s="2" t="str">
        <f>HYPERLINK("https://www.facebook.com/100000809570879/posts/1672432849460351")</f>
        <v>https://www.facebook.com/100000809570879/posts/1672432849460351</v>
      </c>
      <c r="H1822" t="s">
        <v>6062</v>
      </c>
      <c r="I1822" t="s">
        <v>3873</v>
      </c>
      <c r="J1822" s="2" t="str">
        <f>HYPERLINK("https://www.facebook.com/100000809570879")</f>
        <v>https://www.facebook.com/100000809570879</v>
      </c>
      <c r="K1822">
        <v>997</v>
      </c>
      <c r="L1822" t="s">
        <v>6064</v>
      </c>
      <c r="N1822" t="s">
        <v>13</v>
      </c>
      <c r="O1822" t="s">
        <v>3873</v>
      </c>
      <c r="P1822" s="2" t="str">
        <f>HYPERLINK("https://www.facebook.com/100000809570879")</f>
        <v>https://www.facebook.com/100000809570879</v>
      </c>
      <c r="Q1822">
        <v>997</v>
      </c>
      <c r="R1822" t="s">
        <v>6067</v>
      </c>
      <c r="S1822" t="s">
        <v>6073</v>
      </c>
    </row>
    <row r="1823" spans="1:19" ht="14.25" customHeight="1" x14ac:dyDescent="0.3">
      <c r="A1823" t="s">
        <v>2225</v>
      </c>
      <c r="B1823" t="s">
        <v>764</v>
      </c>
      <c r="C1823" t="s">
        <v>95</v>
      </c>
      <c r="D1823" t="s">
        <v>544</v>
      </c>
      <c r="E1823" t="s">
        <v>545</v>
      </c>
      <c r="F1823" t="s">
        <v>6058</v>
      </c>
      <c r="G1823" s="2" t="str">
        <f>HYPERLINK("https://www.facebook.com/100008635815427/posts/1845223962442113")</f>
        <v>https://www.facebook.com/100008635815427/posts/1845223962442113</v>
      </c>
      <c r="H1823" t="s">
        <v>6062</v>
      </c>
      <c r="I1823" t="s">
        <v>2869</v>
      </c>
      <c r="J1823" s="2" t="str">
        <f>HYPERLINK("https://www.facebook.com/100008635815427")</f>
        <v>https://www.facebook.com/100008635815427</v>
      </c>
      <c r="K1823">
        <v>1201</v>
      </c>
      <c r="L1823" t="s">
        <v>6064</v>
      </c>
      <c r="N1823" t="s">
        <v>13</v>
      </c>
      <c r="O1823" t="s">
        <v>2869</v>
      </c>
      <c r="P1823" s="2" t="str">
        <f>HYPERLINK("https://www.facebook.com/100008635815427")</f>
        <v>https://www.facebook.com/100008635815427</v>
      </c>
      <c r="Q1823">
        <v>1201</v>
      </c>
      <c r="R1823" t="s">
        <v>6067</v>
      </c>
    </row>
    <row r="1824" spans="1:19" ht="14.25" customHeight="1" x14ac:dyDescent="0.3">
      <c r="A1824" t="s">
        <v>629</v>
      </c>
      <c r="B1824" t="s">
        <v>977</v>
      </c>
      <c r="C1824" t="s">
        <v>95</v>
      </c>
      <c r="D1824" t="s">
        <v>370</v>
      </c>
      <c r="E1824" t="s">
        <v>371</v>
      </c>
      <c r="F1824" t="s">
        <v>6058</v>
      </c>
      <c r="G1824" s="2" t="str">
        <f>HYPERLINK("https://www.facebook.com/1430886610533040/posts/2052618435026518")</f>
        <v>https://www.facebook.com/1430886610533040/posts/2052618435026518</v>
      </c>
      <c r="H1824" t="s">
        <v>6062</v>
      </c>
      <c r="I1824" t="s">
        <v>978</v>
      </c>
      <c r="J1824" s="2" t="str">
        <f t="shared" ref="J1824:J1836" si="52">HYPERLINK("https://www.facebook.com/100023004108393")</f>
        <v>https://www.facebook.com/100023004108393</v>
      </c>
      <c r="K1824">
        <v>65</v>
      </c>
      <c r="L1824" t="s">
        <v>6064</v>
      </c>
      <c r="N1824" t="s">
        <v>13</v>
      </c>
      <c r="O1824" t="s">
        <v>979</v>
      </c>
      <c r="P1824" s="2" t="str">
        <f>HYPERLINK("https://www.facebook.com/1430886610533040")</f>
        <v>https://www.facebook.com/1430886610533040</v>
      </c>
      <c r="R1824" t="s">
        <v>6067</v>
      </c>
    </row>
    <row r="1825" spans="1:19" ht="14.25" customHeight="1" x14ac:dyDescent="0.3">
      <c r="A1825" t="s">
        <v>629</v>
      </c>
      <c r="B1825" t="s">
        <v>1036</v>
      </c>
      <c r="C1825" t="s">
        <v>95</v>
      </c>
      <c r="D1825" t="s">
        <v>370</v>
      </c>
      <c r="E1825" t="s">
        <v>371</v>
      </c>
      <c r="F1825" t="s">
        <v>6058</v>
      </c>
      <c r="G1825" s="2" t="str">
        <f>HYPERLINK("https://www.facebook.com/323356447873138/posts/835858899956221")</f>
        <v>https://www.facebook.com/323356447873138/posts/835858899956221</v>
      </c>
      <c r="H1825" t="s">
        <v>6062</v>
      </c>
      <c r="I1825" t="s">
        <v>978</v>
      </c>
      <c r="J1825" s="2" t="str">
        <f t="shared" si="52"/>
        <v>https://www.facebook.com/100023004108393</v>
      </c>
      <c r="K1825">
        <v>65</v>
      </c>
      <c r="L1825" t="s">
        <v>6064</v>
      </c>
      <c r="N1825" t="s">
        <v>13</v>
      </c>
      <c r="O1825" t="s">
        <v>1037</v>
      </c>
      <c r="P1825" s="2" t="str">
        <f>HYPERLINK("https://www.facebook.com/323356447873138")</f>
        <v>https://www.facebook.com/323356447873138</v>
      </c>
      <c r="R1825" t="s">
        <v>6067</v>
      </c>
    </row>
    <row r="1826" spans="1:19" ht="14.25" customHeight="1" x14ac:dyDescent="0.3">
      <c r="A1826" t="s">
        <v>629</v>
      </c>
      <c r="B1826" t="s">
        <v>1036</v>
      </c>
      <c r="C1826" t="s">
        <v>95</v>
      </c>
      <c r="D1826" t="s">
        <v>370</v>
      </c>
      <c r="E1826" t="s">
        <v>371</v>
      </c>
      <c r="F1826" t="s">
        <v>6058</v>
      </c>
      <c r="G1826" s="2" t="str">
        <f>HYPERLINK("https://www.facebook.com/323356447873138/posts/199753390801463")</f>
        <v>https://www.facebook.com/323356447873138/posts/199753390801463</v>
      </c>
      <c r="H1826" t="s">
        <v>6062</v>
      </c>
      <c r="I1826" t="s">
        <v>978</v>
      </c>
      <c r="J1826" s="2" t="str">
        <f t="shared" si="52"/>
        <v>https://www.facebook.com/100023004108393</v>
      </c>
      <c r="K1826">
        <v>65</v>
      </c>
      <c r="L1826" t="s">
        <v>6064</v>
      </c>
      <c r="N1826" t="s">
        <v>13</v>
      </c>
      <c r="O1826" t="s">
        <v>1037</v>
      </c>
      <c r="P1826" s="2" t="str">
        <f>HYPERLINK("https://www.facebook.com/323356447873138")</f>
        <v>https://www.facebook.com/323356447873138</v>
      </c>
      <c r="R1826" t="s">
        <v>6067</v>
      </c>
    </row>
    <row r="1827" spans="1:19" ht="14.25" customHeight="1" x14ac:dyDescent="0.3">
      <c r="A1827" t="s">
        <v>629</v>
      </c>
      <c r="B1827" t="s">
        <v>1036</v>
      </c>
      <c r="C1827" t="s">
        <v>95</v>
      </c>
      <c r="D1827" t="s">
        <v>370</v>
      </c>
      <c r="E1827" t="s">
        <v>371</v>
      </c>
      <c r="F1827" t="s">
        <v>6058</v>
      </c>
      <c r="G1827" s="2" t="str">
        <f>HYPERLINK("https://www.facebook.com/1430886610533040/posts/199753364134799")</f>
        <v>https://www.facebook.com/1430886610533040/posts/199753364134799</v>
      </c>
      <c r="H1827" t="s">
        <v>6062</v>
      </c>
      <c r="I1827" t="s">
        <v>978</v>
      </c>
      <c r="J1827" s="2" t="str">
        <f t="shared" si="52"/>
        <v>https://www.facebook.com/100023004108393</v>
      </c>
      <c r="K1827">
        <v>65</v>
      </c>
      <c r="L1827" t="s">
        <v>6064</v>
      </c>
      <c r="N1827" t="s">
        <v>13</v>
      </c>
      <c r="O1827" t="s">
        <v>979</v>
      </c>
      <c r="P1827" s="2" t="str">
        <f>HYPERLINK("https://www.facebook.com/1430886610533040")</f>
        <v>https://www.facebook.com/1430886610533040</v>
      </c>
      <c r="R1827" t="s">
        <v>6067</v>
      </c>
    </row>
    <row r="1828" spans="1:19" ht="14.25" customHeight="1" x14ac:dyDescent="0.3">
      <c r="A1828" t="s">
        <v>629</v>
      </c>
      <c r="B1828" t="s">
        <v>1036</v>
      </c>
      <c r="C1828" t="s">
        <v>95</v>
      </c>
      <c r="D1828" t="s">
        <v>370</v>
      </c>
      <c r="E1828" t="s">
        <v>371</v>
      </c>
      <c r="F1828" t="s">
        <v>6058</v>
      </c>
      <c r="G1828" s="2" t="str">
        <f>HYPERLINK("https://www.facebook.com/1508960049428785/posts/2081332585524859")</f>
        <v>https://www.facebook.com/1508960049428785/posts/2081332585524859</v>
      </c>
      <c r="H1828" t="s">
        <v>6062</v>
      </c>
      <c r="I1828" t="s">
        <v>978</v>
      </c>
      <c r="J1828" s="2" t="str">
        <f t="shared" si="52"/>
        <v>https://www.facebook.com/100023004108393</v>
      </c>
      <c r="K1828">
        <v>65</v>
      </c>
      <c r="L1828" t="s">
        <v>6064</v>
      </c>
      <c r="N1828" t="s">
        <v>13</v>
      </c>
      <c r="O1828" t="s">
        <v>1038</v>
      </c>
      <c r="P1828" s="2" t="str">
        <f>HYPERLINK("https://www.facebook.com/1508960049428785")</f>
        <v>https://www.facebook.com/1508960049428785</v>
      </c>
      <c r="R1828" t="s">
        <v>6067</v>
      </c>
    </row>
    <row r="1829" spans="1:19" ht="14.25" customHeight="1" x14ac:dyDescent="0.3">
      <c r="A1829" t="s">
        <v>629</v>
      </c>
      <c r="B1829" t="s">
        <v>1036</v>
      </c>
      <c r="C1829" t="s">
        <v>95</v>
      </c>
      <c r="D1829" t="s">
        <v>370</v>
      </c>
      <c r="E1829" t="s">
        <v>371</v>
      </c>
      <c r="F1829" t="s">
        <v>6058</v>
      </c>
      <c r="G1829" s="2" t="str">
        <f>HYPERLINK("https://www.facebook.com/1508960049428785/posts/199753330801469")</f>
        <v>https://www.facebook.com/1508960049428785/posts/199753330801469</v>
      </c>
      <c r="H1829" t="s">
        <v>6062</v>
      </c>
      <c r="I1829" t="s">
        <v>978</v>
      </c>
      <c r="J1829" s="2" t="str">
        <f t="shared" si="52"/>
        <v>https://www.facebook.com/100023004108393</v>
      </c>
      <c r="K1829">
        <v>65</v>
      </c>
      <c r="L1829" t="s">
        <v>6064</v>
      </c>
      <c r="N1829" t="s">
        <v>13</v>
      </c>
      <c r="O1829" t="s">
        <v>1038</v>
      </c>
      <c r="P1829" s="2" t="str">
        <f>HYPERLINK("https://www.facebook.com/1508960049428785")</f>
        <v>https://www.facebook.com/1508960049428785</v>
      </c>
      <c r="R1829" t="s">
        <v>6067</v>
      </c>
    </row>
    <row r="1830" spans="1:19" ht="14.25" customHeight="1" x14ac:dyDescent="0.3">
      <c r="A1830" t="s">
        <v>629</v>
      </c>
      <c r="B1830" t="s">
        <v>1036</v>
      </c>
      <c r="C1830" t="s">
        <v>95</v>
      </c>
      <c r="D1830" t="s">
        <v>370</v>
      </c>
      <c r="E1830" t="s">
        <v>371</v>
      </c>
      <c r="F1830" t="s">
        <v>6058</v>
      </c>
      <c r="G1830" s="2" t="str">
        <f>HYPERLINK("https://www.facebook.com/779591748735940/posts/199753327468136")</f>
        <v>https://www.facebook.com/779591748735940/posts/199753327468136</v>
      </c>
      <c r="H1830" t="s">
        <v>6062</v>
      </c>
      <c r="I1830" t="s">
        <v>978</v>
      </c>
      <c r="J1830" s="2" t="str">
        <f t="shared" si="52"/>
        <v>https://www.facebook.com/100023004108393</v>
      </c>
      <c r="K1830">
        <v>65</v>
      </c>
      <c r="L1830" t="s">
        <v>6064</v>
      </c>
      <c r="N1830" t="s">
        <v>13</v>
      </c>
      <c r="O1830" t="s">
        <v>1039</v>
      </c>
      <c r="P1830" s="2" t="str">
        <f>HYPERLINK("https://www.facebook.com/779591748735940")</f>
        <v>https://www.facebook.com/779591748735940</v>
      </c>
      <c r="R1830" t="s">
        <v>6067</v>
      </c>
    </row>
    <row r="1831" spans="1:19" ht="14.25" customHeight="1" x14ac:dyDescent="0.3">
      <c r="A1831" t="s">
        <v>629</v>
      </c>
      <c r="B1831" t="s">
        <v>1036</v>
      </c>
      <c r="C1831" t="s">
        <v>95</v>
      </c>
      <c r="D1831" t="s">
        <v>370</v>
      </c>
      <c r="E1831" t="s">
        <v>371</v>
      </c>
      <c r="F1831" t="s">
        <v>6058</v>
      </c>
      <c r="G1831" s="2" t="str">
        <f>HYPERLINK("https://www.facebook.com/779591748735940/posts/2087643784597390")</f>
        <v>https://www.facebook.com/779591748735940/posts/2087643784597390</v>
      </c>
      <c r="H1831" t="s">
        <v>6062</v>
      </c>
      <c r="I1831" t="s">
        <v>978</v>
      </c>
      <c r="J1831" s="2" t="str">
        <f t="shared" si="52"/>
        <v>https://www.facebook.com/100023004108393</v>
      </c>
      <c r="K1831">
        <v>65</v>
      </c>
      <c r="L1831" t="s">
        <v>6064</v>
      </c>
      <c r="N1831" t="s">
        <v>13</v>
      </c>
      <c r="O1831" t="s">
        <v>1039</v>
      </c>
      <c r="P1831" s="2" t="str">
        <f>HYPERLINK("https://www.facebook.com/779591748735940")</f>
        <v>https://www.facebook.com/779591748735940</v>
      </c>
      <c r="R1831" t="s">
        <v>6067</v>
      </c>
    </row>
    <row r="1832" spans="1:19" ht="14.25" customHeight="1" x14ac:dyDescent="0.3">
      <c r="A1832" t="s">
        <v>629</v>
      </c>
      <c r="B1832" t="s">
        <v>1036</v>
      </c>
      <c r="C1832" t="s">
        <v>95</v>
      </c>
      <c r="D1832" t="s">
        <v>370</v>
      </c>
      <c r="E1832" t="s">
        <v>371</v>
      </c>
      <c r="F1832" t="s">
        <v>6058</v>
      </c>
      <c r="G1832" s="2" t="str">
        <f>HYPERLINK("https://www.facebook.com/391347031071095/posts/760902150782246")</f>
        <v>https://www.facebook.com/391347031071095/posts/760902150782246</v>
      </c>
      <c r="H1832" t="s">
        <v>6062</v>
      </c>
      <c r="I1832" t="s">
        <v>978</v>
      </c>
      <c r="J1832" s="2" t="str">
        <f t="shared" si="52"/>
        <v>https://www.facebook.com/100023004108393</v>
      </c>
      <c r="K1832">
        <v>65</v>
      </c>
      <c r="L1832" t="s">
        <v>6064</v>
      </c>
      <c r="N1832" t="s">
        <v>13</v>
      </c>
      <c r="O1832" t="s">
        <v>1040</v>
      </c>
      <c r="P1832" s="2" t="str">
        <f>HYPERLINK("https://www.facebook.com/391347031071095")</f>
        <v>https://www.facebook.com/391347031071095</v>
      </c>
      <c r="Q1832">
        <v>4989</v>
      </c>
      <c r="R1832" t="s">
        <v>6067</v>
      </c>
    </row>
    <row r="1833" spans="1:19" ht="14.25" customHeight="1" x14ac:dyDescent="0.3">
      <c r="A1833" t="s">
        <v>629</v>
      </c>
      <c r="B1833" t="s">
        <v>1036</v>
      </c>
      <c r="C1833" t="s">
        <v>95</v>
      </c>
      <c r="D1833" t="s">
        <v>370</v>
      </c>
      <c r="E1833" t="s">
        <v>371</v>
      </c>
      <c r="F1833" t="s">
        <v>6058</v>
      </c>
      <c r="G1833" s="2" t="str">
        <f>HYPERLINK("https://www.facebook.com/391347031071095/posts/199753317468137")</f>
        <v>https://www.facebook.com/391347031071095/posts/199753317468137</v>
      </c>
      <c r="H1833" t="s">
        <v>6062</v>
      </c>
      <c r="I1833" t="s">
        <v>978</v>
      </c>
      <c r="J1833" s="2" t="str">
        <f t="shared" si="52"/>
        <v>https://www.facebook.com/100023004108393</v>
      </c>
      <c r="K1833">
        <v>65</v>
      </c>
      <c r="L1833" t="s">
        <v>6064</v>
      </c>
      <c r="N1833" t="s">
        <v>13</v>
      </c>
      <c r="O1833" t="s">
        <v>1040</v>
      </c>
      <c r="P1833" s="2" t="str">
        <f>HYPERLINK("https://www.facebook.com/391347031071095")</f>
        <v>https://www.facebook.com/391347031071095</v>
      </c>
      <c r="Q1833">
        <v>4989</v>
      </c>
      <c r="R1833" t="s">
        <v>6067</v>
      </c>
    </row>
    <row r="1834" spans="1:19" ht="14.25" customHeight="1" x14ac:dyDescent="0.3">
      <c r="A1834" t="s">
        <v>629</v>
      </c>
      <c r="B1834" t="s">
        <v>1036</v>
      </c>
      <c r="C1834" t="s">
        <v>95</v>
      </c>
      <c r="D1834" t="s">
        <v>370</v>
      </c>
      <c r="E1834" t="s">
        <v>371</v>
      </c>
      <c r="F1834" t="s">
        <v>6058</v>
      </c>
      <c r="G1834" s="2" t="str">
        <f>HYPERLINK("https://www.facebook.com/1457135507899312/posts/2199303380349184")</f>
        <v>https://www.facebook.com/1457135507899312/posts/2199303380349184</v>
      </c>
      <c r="H1834" t="s">
        <v>6062</v>
      </c>
      <c r="I1834" t="s">
        <v>978</v>
      </c>
      <c r="J1834" s="2" t="str">
        <f t="shared" si="52"/>
        <v>https://www.facebook.com/100023004108393</v>
      </c>
      <c r="K1834">
        <v>65</v>
      </c>
      <c r="L1834" t="s">
        <v>6064</v>
      </c>
      <c r="N1834" t="s">
        <v>13</v>
      </c>
      <c r="O1834" t="s">
        <v>1041</v>
      </c>
      <c r="P1834" s="2" t="str">
        <f>HYPERLINK("https://www.facebook.com/1457135507899312")</f>
        <v>https://www.facebook.com/1457135507899312</v>
      </c>
      <c r="R1834" t="s">
        <v>6067</v>
      </c>
    </row>
    <row r="1835" spans="1:19" ht="14.25" customHeight="1" x14ac:dyDescent="0.3">
      <c r="A1835" t="s">
        <v>629</v>
      </c>
      <c r="B1835" t="s">
        <v>1036</v>
      </c>
      <c r="C1835" t="s">
        <v>95</v>
      </c>
      <c r="D1835" t="s">
        <v>370</v>
      </c>
      <c r="E1835" t="s">
        <v>371</v>
      </c>
      <c r="F1835" t="s">
        <v>6058</v>
      </c>
      <c r="G1835" s="2" t="str">
        <f>HYPERLINK("https://www.facebook.com/1457135507899312/posts/199753294134806")</f>
        <v>https://www.facebook.com/1457135507899312/posts/199753294134806</v>
      </c>
      <c r="H1835" t="s">
        <v>6062</v>
      </c>
      <c r="I1835" t="s">
        <v>978</v>
      </c>
      <c r="J1835" s="2" t="str">
        <f t="shared" si="52"/>
        <v>https://www.facebook.com/100023004108393</v>
      </c>
      <c r="K1835">
        <v>65</v>
      </c>
      <c r="L1835" t="s">
        <v>6064</v>
      </c>
      <c r="N1835" t="s">
        <v>13</v>
      </c>
      <c r="O1835" t="s">
        <v>1041</v>
      </c>
      <c r="P1835" s="2" t="str">
        <f>HYPERLINK("https://www.facebook.com/1457135507899312")</f>
        <v>https://www.facebook.com/1457135507899312</v>
      </c>
      <c r="R1835" t="s">
        <v>6067</v>
      </c>
    </row>
    <row r="1836" spans="1:19" ht="14.25" customHeight="1" x14ac:dyDescent="0.3">
      <c r="A1836" t="s">
        <v>629</v>
      </c>
      <c r="B1836" t="s">
        <v>1036</v>
      </c>
      <c r="C1836" t="s">
        <v>95</v>
      </c>
      <c r="D1836" t="s">
        <v>370</v>
      </c>
      <c r="E1836" t="s">
        <v>371</v>
      </c>
      <c r="F1836" t="s">
        <v>6058</v>
      </c>
      <c r="G1836" s="2" t="str">
        <f>HYPERLINK("https://www.facebook.com/789821664492893/posts/199753267468142")</f>
        <v>https://www.facebook.com/789821664492893/posts/199753267468142</v>
      </c>
      <c r="H1836" t="s">
        <v>6062</v>
      </c>
      <c r="I1836" t="s">
        <v>978</v>
      </c>
      <c r="J1836" s="2" t="str">
        <f t="shared" si="52"/>
        <v>https://www.facebook.com/100023004108393</v>
      </c>
      <c r="K1836">
        <v>65</v>
      </c>
      <c r="L1836" t="s">
        <v>6064</v>
      </c>
      <c r="N1836" t="s">
        <v>13</v>
      </c>
      <c r="O1836" t="s">
        <v>1042</v>
      </c>
      <c r="P1836" s="2" t="str">
        <f>HYPERLINK("https://www.facebook.com/789821664492893")</f>
        <v>https://www.facebook.com/789821664492893</v>
      </c>
      <c r="R1836" t="s">
        <v>6067</v>
      </c>
    </row>
    <row r="1837" spans="1:19" ht="14.25" customHeight="1" x14ac:dyDescent="0.3">
      <c r="A1837" t="s">
        <v>629</v>
      </c>
      <c r="B1837" t="s">
        <v>2090</v>
      </c>
      <c r="C1837" t="s">
        <v>95</v>
      </c>
      <c r="D1837" t="s">
        <v>544</v>
      </c>
      <c r="E1837" t="s">
        <v>545</v>
      </c>
      <c r="F1837" t="s">
        <v>6058</v>
      </c>
      <c r="G1837" s="2" t="str">
        <f>HYPERLINK("https://www.facebook.com/100001984090454/posts/1728511263891660")</f>
        <v>https://www.facebook.com/100001984090454/posts/1728511263891660</v>
      </c>
      <c r="H1837" t="s">
        <v>6062</v>
      </c>
      <c r="I1837" t="s">
        <v>2091</v>
      </c>
      <c r="J1837" s="2" t="str">
        <f>HYPERLINK("https://www.facebook.com/100001984090454")</f>
        <v>https://www.facebook.com/100001984090454</v>
      </c>
      <c r="K1837">
        <v>107</v>
      </c>
      <c r="L1837" t="s">
        <v>6064</v>
      </c>
      <c r="N1837" t="s">
        <v>13</v>
      </c>
      <c r="O1837" t="s">
        <v>2091</v>
      </c>
      <c r="P1837" s="2" t="str">
        <f>HYPERLINK("https://www.facebook.com/100001984090454")</f>
        <v>https://www.facebook.com/100001984090454</v>
      </c>
      <c r="Q1837">
        <v>107</v>
      </c>
      <c r="R1837" t="s">
        <v>6067</v>
      </c>
      <c r="S1837" t="s">
        <v>6073</v>
      </c>
    </row>
    <row r="1838" spans="1:19" ht="14.25" customHeight="1" x14ac:dyDescent="0.3">
      <c r="A1838" t="s">
        <v>629</v>
      </c>
      <c r="B1838" t="s">
        <v>1620</v>
      </c>
      <c r="C1838" t="s">
        <v>95</v>
      </c>
      <c r="D1838" t="s">
        <v>370</v>
      </c>
      <c r="E1838" t="s">
        <v>371</v>
      </c>
      <c r="F1838" t="s">
        <v>6058</v>
      </c>
      <c r="G1838" s="2" t="str">
        <f>HYPERLINK("https://www.facebook.com/100007911813697/posts/2043309212609453")</f>
        <v>https://www.facebook.com/100007911813697/posts/2043309212609453</v>
      </c>
      <c r="H1838" t="s">
        <v>6062</v>
      </c>
      <c r="I1838" t="s">
        <v>1621</v>
      </c>
      <c r="J1838" s="2" t="str">
        <f>HYPERLINK("https://www.facebook.com/100007911813697")</f>
        <v>https://www.facebook.com/100007911813697</v>
      </c>
      <c r="K1838">
        <v>0</v>
      </c>
      <c r="L1838" t="s">
        <v>6064</v>
      </c>
      <c r="N1838" t="s">
        <v>13</v>
      </c>
      <c r="O1838" t="s">
        <v>1621</v>
      </c>
      <c r="P1838" s="2" t="str">
        <f>HYPERLINK("https://www.facebook.com/100007911813697")</f>
        <v>https://www.facebook.com/100007911813697</v>
      </c>
      <c r="Q1838">
        <v>0</v>
      </c>
      <c r="R1838" t="s">
        <v>6067</v>
      </c>
      <c r="S1838" t="s">
        <v>6073</v>
      </c>
    </row>
    <row r="1839" spans="1:19" ht="14.25" customHeight="1" x14ac:dyDescent="0.3">
      <c r="A1839" t="s">
        <v>1</v>
      </c>
      <c r="B1839" t="s">
        <v>484</v>
      </c>
      <c r="C1839" t="s">
        <v>95</v>
      </c>
      <c r="D1839" t="s">
        <v>10</v>
      </c>
      <c r="E1839" t="s">
        <v>485</v>
      </c>
      <c r="F1839" t="s">
        <v>6059</v>
      </c>
      <c r="G1839" s="2" t="str">
        <f>HYPERLINK("https://www.facebook.com/762053551/posts/10156366210158552?comment_id=10156368145738552")</f>
        <v>https://www.facebook.com/762053551/posts/10156366210158552?comment_id=10156368145738552</v>
      </c>
      <c r="H1839" t="s">
        <v>6062</v>
      </c>
      <c r="I1839" t="s">
        <v>486</v>
      </c>
      <c r="J1839" s="2" t="str">
        <f>HYPERLINK("https://www.facebook.com/100001042231198")</f>
        <v>https://www.facebook.com/100001042231198</v>
      </c>
      <c r="K1839">
        <v>801</v>
      </c>
      <c r="L1839" t="s">
        <v>6064</v>
      </c>
      <c r="N1839" t="s">
        <v>13</v>
      </c>
      <c r="O1839" t="s">
        <v>14</v>
      </c>
      <c r="P1839" s="2" t="str">
        <f>HYPERLINK("https://www.facebook.com/762053551")</f>
        <v>https://www.facebook.com/762053551</v>
      </c>
      <c r="Q1839">
        <v>102347</v>
      </c>
      <c r="R1839" t="s">
        <v>6067</v>
      </c>
      <c r="S1839" t="s">
        <v>6073</v>
      </c>
    </row>
    <row r="1840" spans="1:19" ht="14.25" customHeight="1" x14ac:dyDescent="0.3">
      <c r="A1840" t="s">
        <v>2225</v>
      </c>
      <c r="B1840" t="s">
        <v>2628</v>
      </c>
      <c r="C1840" t="s">
        <v>95</v>
      </c>
      <c r="D1840" t="s">
        <v>544</v>
      </c>
      <c r="E1840" t="s">
        <v>545</v>
      </c>
      <c r="F1840" t="s">
        <v>6058</v>
      </c>
      <c r="G1840" s="2" t="str">
        <f>HYPERLINK("https://www.facebook.com/100001197926276/posts/1595156257200956")</f>
        <v>https://www.facebook.com/100001197926276/posts/1595156257200956</v>
      </c>
      <c r="H1840" t="s">
        <v>6062</v>
      </c>
      <c r="I1840" t="s">
        <v>1852</v>
      </c>
      <c r="J1840" s="2" t="str">
        <f>HYPERLINK("https://www.facebook.com/100001197926276")</f>
        <v>https://www.facebook.com/100001197926276</v>
      </c>
      <c r="K1840">
        <v>886</v>
      </c>
      <c r="L1840" t="s">
        <v>6064</v>
      </c>
      <c r="N1840" t="s">
        <v>13</v>
      </c>
      <c r="O1840" t="s">
        <v>1852</v>
      </c>
      <c r="P1840" s="2" t="str">
        <f>HYPERLINK("https://www.facebook.com/100001197926276")</f>
        <v>https://www.facebook.com/100001197926276</v>
      </c>
      <c r="Q1840">
        <v>886</v>
      </c>
      <c r="R1840" t="s">
        <v>6067</v>
      </c>
    </row>
    <row r="1841" spans="1:19" ht="14.25" customHeight="1" x14ac:dyDescent="0.3">
      <c r="A1841" t="s">
        <v>629</v>
      </c>
      <c r="B1841" t="s">
        <v>435</v>
      </c>
      <c r="C1841" t="s">
        <v>95</v>
      </c>
      <c r="D1841" t="s">
        <v>370</v>
      </c>
      <c r="E1841" t="s">
        <v>371</v>
      </c>
      <c r="F1841" t="s">
        <v>6058</v>
      </c>
      <c r="G1841" s="2" t="str">
        <f>HYPERLINK("https://www.facebook.com/100001197926276/posts/1595586360491279")</f>
        <v>https://www.facebook.com/100001197926276/posts/1595586360491279</v>
      </c>
      <c r="H1841" t="s">
        <v>6062</v>
      </c>
      <c r="I1841" t="s">
        <v>1852</v>
      </c>
      <c r="J1841" s="2" t="str">
        <f>HYPERLINK("https://www.facebook.com/100001197926276")</f>
        <v>https://www.facebook.com/100001197926276</v>
      </c>
      <c r="K1841">
        <v>886</v>
      </c>
      <c r="L1841" t="s">
        <v>6064</v>
      </c>
      <c r="N1841" t="s">
        <v>13</v>
      </c>
      <c r="O1841" t="s">
        <v>1852</v>
      </c>
      <c r="P1841" s="2" t="str">
        <f>HYPERLINK("https://www.facebook.com/100001197926276")</f>
        <v>https://www.facebook.com/100001197926276</v>
      </c>
      <c r="Q1841">
        <v>886</v>
      </c>
      <c r="R1841" t="s">
        <v>6067</v>
      </c>
    </row>
    <row r="1842" spans="1:19" ht="14.25" customHeight="1" x14ac:dyDescent="0.3">
      <c r="A1842" t="s">
        <v>4995</v>
      </c>
      <c r="B1842" t="s">
        <v>5363</v>
      </c>
      <c r="C1842" t="s">
        <v>3538</v>
      </c>
      <c r="D1842" t="s">
        <v>5364</v>
      </c>
      <c r="E1842" t="s">
        <v>5365</v>
      </c>
      <c r="F1842" t="s">
        <v>6058</v>
      </c>
      <c r="G1842" s="2" t="str">
        <f>HYPERLINK("https://www.facebook.com/100004725759617/posts/1790821104418731")</f>
        <v>https://www.facebook.com/100004725759617/posts/1790821104418731</v>
      </c>
      <c r="H1842" t="s">
        <v>6062</v>
      </c>
      <c r="I1842" t="s">
        <v>5084</v>
      </c>
      <c r="J1842" s="2" t="str">
        <f>HYPERLINK("https://www.facebook.com/100004725759617")</f>
        <v>https://www.facebook.com/100004725759617</v>
      </c>
      <c r="K1842">
        <v>551</v>
      </c>
      <c r="L1842" t="s">
        <v>6064</v>
      </c>
      <c r="N1842" t="s">
        <v>13</v>
      </c>
      <c r="O1842" t="s">
        <v>5084</v>
      </c>
      <c r="P1842" s="2" t="str">
        <f>HYPERLINK("https://www.facebook.com/100004725759617")</f>
        <v>https://www.facebook.com/100004725759617</v>
      </c>
      <c r="Q1842">
        <v>551</v>
      </c>
      <c r="R1842" t="s">
        <v>6067</v>
      </c>
      <c r="S1842" t="s">
        <v>6073</v>
      </c>
    </row>
    <row r="1843" spans="1:19" ht="14.25" customHeight="1" x14ac:dyDescent="0.3">
      <c r="A1843" t="s">
        <v>4995</v>
      </c>
      <c r="B1843" t="s">
        <v>4532</v>
      </c>
      <c r="C1843" t="s">
        <v>3538</v>
      </c>
      <c r="D1843" t="s">
        <v>508</v>
      </c>
      <c r="E1843" t="s">
        <v>509</v>
      </c>
      <c r="F1843" t="s">
        <v>6058</v>
      </c>
      <c r="G1843" s="2" t="str">
        <f>HYPERLINK("https://www.facebook.com/100004725759617/posts/1791109154389926")</f>
        <v>https://www.facebook.com/100004725759617/posts/1791109154389926</v>
      </c>
      <c r="H1843" t="s">
        <v>6062</v>
      </c>
      <c r="I1843" t="s">
        <v>5084</v>
      </c>
      <c r="J1843" s="2" t="str">
        <f>HYPERLINK("https://www.facebook.com/100004725759617")</f>
        <v>https://www.facebook.com/100004725759617</v>
      </c>
      <c r="K1843">
        <v>551</v>
      </c>
      <c r="L1843" t="s">
        <v>6064</v>
      </c>
      <c r="N1843" t="s">
        <v>13</v>
      </c>
      <c r="O1843" t="s">
        <v>5084</v>
      </c>
      <c r="P1843" s="2" t="str">
        <f>HYPERLINK("https://www.facebook.com/100004725759617")</f>
        <v>https://www.facebook.com/100004725759617</v>
      </c>
      <c r="Q1843">
        <v>551</v>
      </c>
      <c r="R1843" t="s">
        <v>6067</v>
      </c>
      <c r="S1843" t="s">
        <v>6073</v>
      </c>
    </row>
    <row r="1844" spans="1:19" ht="14.25" customHeight="1" x14ac:dyDescent="0.3">
      <c r="A1844" t="s">
        <v>4995</v>
      </c>
      <c r="B1844" t="s">
        <v>5089</v>
      </c>
      <c r="C1844" t="s">
        <v>3538</v>
      </c>
      <c r="D1844" t="s">
        <v>508</v>
      </c>
      <c r="E1844" t="s">
        <v>509</v>
      </c>
      <c r="F1844" t="s">
        <v>6058</v>
      </c>
      <c r="G1844" s="2" t="str">
        <f>HYPERLINK("https://www.facebook.com/100004725759617/posts/1791097494391092")</f>
        <v>https://www.facebook.com/100004725759617/posts/1791097494391092</v>
      </c>
      <c r="H1844" t="s">
        <v>6062</v>
      </c>
      <c r="I1844" t="s">
        <v>5084</v>
      </c>
      <c r="J1844" s="2" t="str">
        <f>HYPERLINK("https://www.facebook.com/100004725759617")</f>
        <v>https://www.facebook.com/100004725759617</v>
      </c>
      <c r="K1844">
        <v>551</v>
      </c>
      <c r="L1844" t="s">
        <v>6064</v>
      </c>
      <c r="N1844" t="s">
        <v>13</v>
      </c>
      <c r="O1844" t="s">
        <v>5084</v>
      </c>
      <c r="P1844" s="2" t="str">
        <f>HYPERLINK("https://www.facebook.com/100004725759617")</f>
        <v>https://www.facebook.com/100004725759617</v>
      </c>
      <c r="Q1844">
        <v>551</v>
      </c>
      <c r="R1844" t="s">
        <v>6067</v>
      </c>
      <c r="S1844" t="s">
        <v>6073</v>
      </c>
    </row>
    <row r="1845" spans="1:19" ht="14.25" customHeight="1" x14ac:dyDescent="0.3">
      <c r="A1845" t="s">
        <v>4995</v>
      </c>
      <c r="B1845" t="s">
        <v>1795</v>
      </c>
      <c r="C1845" t="s">
        <v>3538</v>
      </c>
      <c r="D1845" t="s">
        <v>512</v>
      </c>
      <c r="E1845" t="s">
        <v>513</v>
      </c>
      <c r="F1845" t="s">
        <v>6058</v>
      </c>
      <c r="G1845" s="2" t="str">
        <f>HYPERLINK("https://www.facebook.com/100004725759617/posts/1790862001081308")</f>
        <v>https://www.facebook.com/100004725759617/posts/1790862001081308</v>
      </c>
      <c r="H1845" t="s">
        <v>6062</v>
      </c>
      <c r="I1845" t="s">
        <v>5084</v>
      </c>
      <c r="J1845" s="2" t="str">
        <f>HYPERLINK("https://www.facebook.com/100004725759617")</f>
        <v>https://www.facebook.com/100004725759617</v>
      </c>
      <c r="K1845">
        <v>551</v>
      </c>
      <c r="L1845" t="s">
        <v>6064</v>
      </c>
      <c r="N1845" t="s">
        <v>13</v>
      </c>
      <c r="O1845" t="s">
        <v>5084</v>
      </c>
      <c r="P1845" s="2" t="str">
        <f>HYPERLINK("https://www.facebook.com/100004725759617")</f>
        <v>https://www.facebook.com/100004725759617</v>
      </c>
      <c r="Q1845">
        <v>551</v>
      </c>
      <c r="R1845" t="s">
        <v>6067</v>
      </c>
      <c r="S1845" t="s">
        <v>6073</v>
      </c>
    </row>
    <row r="1846" spans="1:19" ht="14.25" customHeight="1" x14ac:dyDescent="0.3">
      <c r="A1846" t="s">
        <v>2225</v>
      </c>
      <c r="B1846" t="s">
        <v>2381</v>
      </c>
      <c r="C1846" t="s">
        <v>95</v>
      </c>
      <c r="D1846" t="s">
        <v>544</v>
      </c>
      <c r="E1846" t="s">
        <v>545</v>
      </c>
      <c r="F1846" t="s">
        <v>6058</v>
      </c>
      <c r="G1846" s="2" t="str">
        <f>HYPERLINK("https://www.facebook.com/100009433964781/posts/2045106889147090")</f>
        <v>https://www.facebook.com/100009433964781/posts/2045106889147090</v>
      </c>
      <c r="H1846" t="s">
        <v>6062</v>
      </c>
      <c r="I1846" t="s">
        <v>2022</v>
      </c>
      <c r="J1846" s="2" t="str">
        <f>HYPERLINK("https://www.facebook.com/100009433964781")</f>
        <v>https://www.facebook.com/100009433964781</v>
      </c>
      <c r="K1846">
        <v>78</v>
      </c>
      <c r="L1846" t="s">
        <v>6064</v>
      </c>
      <c r="N1846" t="s">
        <v>13</v>
      </c>
      <c r="O1846" t="s">
        <v>2022</v>
      </c>
      <c r="P1846" s="2" t="str">
        <f>HYPERLINK("https://www.facebook.com/100009433964781")</f>
        <v>https://www.facebook.com/100009433964781</v>
      </c>
      <c r="Q1846">
        <v>78</v>
      </c>
      <c r="R1846" t="s">
        <v>6067</v>
      </c>
      <c r="S1846" t="s">
        <v>6073</v>
      </c>
    </row>
    <row r="1847" spans="1:19" ht="14.25" customHeight="1" x14ac:dyDescent="0.3">
      <c r="A1847" t="s">
        <v>629</v>
      </c>
      <c r="B1847" t="s">
        <v>2021</v>
      </c>
      <c r="C1847" t="s">
        <v>95</v>
      </c>
      <c r="D1847" t="s">
        <v>370</v>
      </c>
      <c r="E1847" t="s">
        <v>371</v>
      </c>
      <c r="F1847" t="s">
        <v>6058</v>
      </c>
      <c r="G1847" s="2" t="str">
        <f>HYPERLINK("https://www.facebook.com/100009433964781/posts/2045344319123347")</f>
        <v>https://www.facebook.com/100009433964781/posts/2045344319123347</v>
      </c>
      <c r="H1847" t="s">
        <v>6062</v>
      </c>
      <c r="I1847" t="s">
        <v>2022</v>
      </c>
      <c r="J1847" s="2" t="str">
        <f>HYPERLINK("https://www.facebook.com/100009433964781")</f>
        <v>https://www.facebook.com/100009433964781</v>
      </c>
      <c r="K1847">
        <v>78</v>
      </c>
      <c r="L1847" t="s">
        <v>6064</v>
      </c>
      <c r="N1847" t="s">
        <v>13</v>
      </c>
      <c r="O1847" t="s">
        <v>2022</v>
      </c>
      <c r="P1847" s="2" t="str">
        <f>HYPERLINK("https://www.facebook.com/100009433964781")</f>
        <v>https://www.facebook.com/100009433964781</v>
      </c>
      <c r="Q1847">
        <v>78</v>
      </c>
      <c r="R1847" t="s">
        <v>6067</v>
      </c>
      <c r="S1847" t="s">
        <v>6073</v>
      </c>
    </row>
    <row r="1848" spans="1:19" ht="14.25" customHeight="1" x14ac:dyDescent="0.3">
      <c r="A1848" t="s">
        <v>2225</v>
      </c>
      <c r="B1848" t="s">
        <v>2516</v>
      </c>
      <c r="C1848" t="s">
        <v>95</v>
      </c>
      <c r="D1848" t="s">
        <v>853</v>
      </c>
      <c r="E1848" t="s">
        <v>2525</v>
      </c>
      <c r="F1848" t="s">
        <v>6059</v>
      </c>
      <c r="G1848" s="2" t="str">
        <f>HYPERLINK("https://www.facebook.com/100008934274771/posts/1810262525948206?comment_id=1810291192612006")</f>
        <v>https://www.facebook.com/100008934274771/posts/1810262525948206?comment_id=1810291192612006</v>
      </c>
      <c r="H1848" t="s">
        <v>6062</v>
      </c>
      <c r="I1848" t="s">
        <v>2022</v>
      </c>
      <c r="J1848" s="2" t="str">
        <f>HYPERLINK("https://www.facebook.com/100009433964781")</f>
        <v>https://www.facebook.com/100009433964781</v>
      </c>
      <c r="K1848">
        <v>78</v>
      </c>
      <c r="L1848" t="s">
        <v>6064</v>
      </c>
      <c r="N1848" t="s">
        <v>13</v>
      </c>
      <c r="O1848" t="s">
        <v>856</v>
      </c>
      <c r="P1848" s="2" t="str">
        <f>HYPERLINK("https://www.facebook.com/100008934274771")</f>
        <v>https://www.facebook.com/100008934274771</v>
      </c>
      <c r="Q1848">
        <v>10395</v>
      </c>
      <c r="R1848" t="s">
        <v>6067</v>
      </c>
      <c r="S1848" t="s">
        <v>6073</v>
      </c>
    </row>
    <row r="1849" spans="1:19" ht="14.25" customHeight="1" x14ac:dyDescent="0.3">
      <c r="A1849" t="s">
        <v>629</v>
      </c>
      <c r="B1849" t="s">
        <v>2056</v>
      </c>
      <c r="C1849" t="s">
        <v>95</v>
      </c>
      <c r="D1849" t="s">
        <v>1056</v>
      </c>
      <c r="E1849" t="s">
        <v>1057</v>
      </c>
      <c r="F1849" t="s">
        <v>6058</v>
      </c>
      <c r="G1849" s="2" t="str">
        <f>HYPERLINK("https://www.facebook.com/100017010888837/posts/232036870706674")</f>
        <v>https://www.facebook.com/100017010888837/posts/232036870706674</v>
      </c>
      <c r="H1849" t="s">
        <v>6062</v>
      </c>
      <c r="I1849" t="s">
        <v>2057</v>
      </c>
      <c r="J1849" s="2" t="str">
        <f>HYPERLINK("https://www.facebook.com/100017010888837")</f>
        <v>https://www.facebook.com/100017010888837</v>
      </c>
      <c r="K1849">
        <v>32</v>
      </c>
      <c r="L1849" t="s">
        <v>6064</v>
      </c>
      <c r="N1849" t="s">
        <v>13</v>
      </c>
      <c r="O1849" t="s">
        <v>2057</v>
      </c>
      <c r="P1849" s="2" t="str">
        <f>HYPERLINK("https://www.facebook.com/100017010888837")</f>
        <v>https://www.facebook.com/100017010888837</v>
      </c>
      <c r="Q1849">
        <v>32</v>
      </c>
      <c r="R1849" t="s">
        <v>6067</v>
      </c>
      <c r="S1849" t="s">
        <v>6073</v>
      </c>
    </row>
    <row r="1850" spans="1:19" ht="14.25" customHeight="1" x14ac:dyDescent="0.3">
      <c r="A1850" t="s">
        <v>629</v>
      </c>
      <c r="B1850" t="s">
        <v>1801</v>
      </c>
      <c r="C1850" t="s">
        <v>95</v>
      </c>
      <c r="D1850" t="s">
        <v>370</v>
      </c>
      <c r="E1850" t="s">
        <v>371</v>
      </c>
      <c r="F1850" t="s">
        <v>6058</v>
      </c>
      <c r="G1850" s="2" t="str">
        <f>HYPERLINK("https://www.facebook.com/100020996331348/posts/167680993941777")</f>
        <v>https://www.facebook.com/100020996331348/posts/167680993941777</v>
      </c>
      <c r="H1850" t="s">
        <v>6062</v>
      </c>
      <c r="I1850" t="s">
        <v>1803</v>
      </c>
      <c r="J1850" s="2" t="str">
        <f>HYPERLINK("https://www.facebook.com/100020996331348")</f>
        <v>https://www.facebook.com/100020996331348</v>
      </c>
      <c r="K1850">
        <v>88</v>
      </c>
      <c r="L1850" t="s">
        <v>6064</v>
      </c>
      <c r="N1850" t="s">
        <v>13</v>
      </c>
      <c r="O1850" t="s">
        <v>1803</v>
      </c>
      <c r="P1850" s="2" t="str">
        <f>HYPERLINK("https://www.facebook.com/100020996331348")</f>
        <v>https://www.facebook.com/100020996331348</v>
      </c>
      <c r="Q1850">
        <v>88</v>
      </c>
      <c r="R1850" t="s">
        <v>6067</v>
      </c>
      <c r="S1850" t="s">
        <v>6073</v>
      </c>
    </row>
    <row r="1851" spans="1:19" ht="14.25" customHeight="1" x14ac:dyDescent="0.3">
      <c r="A1851" t="s">
        <v>5409</v>
      </c>
      <c r="B1851" t="s">
        <v>3927</v>
      </c>
      <c r="C1851" t="s">
        <v>3538</v>
      </c>
      <c r="D1851" t="s">
        <v>4318</v>
      </c>
      <c r="E1851" t="s">
        <v>5429</v>
      </c>
      <c r="F1851" t="s">
        <v>6058</v>
      </c>
      <c r="G1851" s="2" t="str">
        <f>HYPERLINK("https://www.facebook.com/100008094705703/posts/2061918790754591")</f>
        <v>https://www.facebook.com/100008094705703/posts/2061918790754591</v>
      </c>
      <c r="H1851" t="s">
        <v>6062</v>
      </c>
      <c r="I1851" t="s">
        <v>5586</v>
      </c>
      <c r="J1851" s="2" t="str">
        <f>HYPERLINK("https://www.facebook.com/100008094705703")</f>
        <v>https://www.facebook.com/100008094705703</v>
      </c>
      <c r="K1851">
        <v>381</v>
      </c>
      <c r="L1851" t="s">
        <v>6064</v>
      </c>
      <c r="N1851" t="s">
        <v>13</v>
      </c>
      <c r="O1851" t="s">
        <v>5586</v>
      </c>
      <c r="P1851" s="2" t="str">
        <f>HYPERLINK("https://www.facebook.com/100008094705703")</f>
        <v>https://www.facebook.com/100008094705703</v>
      </c>
      <c r="Q1851">
        <v>381</v>
      </c>
      <c r="R1851" t="s">
        <v>6067</v>
      </c>
      <c r="S1851" t="s">
        <v>6073</v>
      </c>
    </row>
    <row r="1852" spans="1:19" ht="14.25" customHeight="1" x14ac:dyDescent="0.3">
      <c r="A1852" t="s">
        <v>629</v>
      </c>
      <c r="B1852" t="s">
        <v>271</v>
      </c>
      <c r="C1852" t="s">
        <v>95</v>
      </c>
      <c r="D1852" t="s">
        <v>370</v>
      </c>
      <c r="E1852" t="s">
        <v>371</v>
      </c>
      <c r="F1852" t="s">
        <v>6058</v>
      </c>
      <c r="G1852" s="2" t="str">
        <f>HYPERLINK("https://www.facebook.com/100003225814101/posts/1575113009272878")</f>
        <v>https://www.facebook.com/100003225814101/posts/1575113009272878</v>
      </c>
      <c r="H1852" t="s">
        <v>6062</v>
      </c>
      <c r="I1852" t="s">
        <v>1478</v>
      </c>
      <c r="J1852" s="2" t="str">
        <f>HYPERLINK("https://www.facebook.com/100003225814101")</f>
        <v>https://www.facebook.com/100003225814101</v>
      </c>
      <c r="K1852">
        <v>159</v>
      </c>
      <c r="L1852" t="s">
        <v>6064</v>
      </c>
      <c r="N1852" t="s">
        <v>13</v>
      </c>
      <c r="O1852" t="s">
        <v>1478</v>
      </c>
      <c r="P1852" s="2" t="str">
        <f>HYPERLINK("https://www.facebook.com/100003225814101")</f>
        <v>https://www.facebook.com/100003225814101</v>
      </c>
      <c r="Q1852">
        <v>159</v>
      </c>
      <c r="R1852" t="s">
        <v>6067</v>
      </c>
      <c r="S1852" t="s">
        <v>6073</v>
      </c>
    </row>
    <row r="1853" spans="1:19" ht="14.25" customHeight="1" x14ac:dyDescent="0.3">
      <c r="A1853" t="s">
        <v>629</v>
      </c>
      <c r="B1853" t="s">
        <v>1472</v>
      </c>
      <c r="C1853" t="s">
        <v>95</v>
      </c>
      <c r="D1853" t="s">
        <v>667</v>
      </c>
      <c r="E1853" t="s">
        <v>668</v>
      </c>
      <c r="F1853" t="s">
        <v>6058</v>
      </c>
      <c r="G1853" s="2" t="str">
        <f>HYPERLINK("https://www.facebook.com/100001021774338/posts/1823429261034449")</f>
        <v>https://www.facebook.com/100001021774338/posts/1823429261034449</v>
      </c>
      <c r="H1853" t="s">
        <v>6062</v>
      </c>
      <c r="I1853" t="s">
        <v>1473</v>
      </c>
      <c r="J1853" s="2" t="str">
        <f>HYPERLINK("https://www.facebook.com/100001021774338")</f>
        <v>https://www.facebook.com/100001021774338</v>
      </c>
      <c r="K1853">
        <v>314</v>
      </c>
      <c r="L1853" t="s">
        <v>6064</v>
      </c>
      <c r="N1853" t="s">
        <v>13</v>
      </c>
      <c r="O1853" t="s">
        <v>1473</v>
      </c>
      <c r="P1853" s="2" t="str">
        <f>HYPERLINK("https://www.facebook.com/100001021774338")</f>
        <v>https://www.facebook.com/100001021774338</v>
      </c>
      <c r="Q1853">
        <v>314</v>
      </c>
      <c r="R1853" t="s">
        <v>6067</v>
      </c>
      <c r="S1853" t="s">
        <v>6073</v>
      </c>
    </row>
    <row r="1854" spans="1:19" ht="14.25" customHeight="1" x14ac:dyDescent="0.3">
      <c r="A1854" t="s">
        <v>629</v>
      </c>
      <c r="B1854" t="s">
        <v>1755</v>
      </c>
      <c r="C1854" t="s">
        <v>95</v>
      </c>
      <c r="D1854" t="s">
        <v>370</v>
      </c>
      <c r="E1854" t="s">
        <v>371</v>
      </c>
      <c r="F1854" t="s">
        <v>6058</v>
      </c>
      <c r="G1854" s="2" t="str">
        <f>HYPERLINK("https://www.facebook.com/637524499688609/posts/1628077797299936")</f>
        <v>https://www.facebook.com/637524499688609/posts/1628077797299936</v>
      </c>
      <c r="H1854" t="s">
        <v>6062</v>
      </c>
      <c r="I1854" t="s">
        <v>1756</v>
      </c>
      <c r="J1854" s="2" t="str">
        <f>HYPERLINK("https://www.facebook.com/100001928041497")</f>
        <v>https://www.facebook.com/100001928041497</v>
      </c>
      <c r="K1854">
        <v>266</v>
      </c>
      <c r="L1854" t="s">
        <v>6064</v>
      </c>
      <c r="N1854" t="s">
        <v>13</v>
      </c>
      <c r="O1854" t="s">
        <v>1757</v>
      </c>
      <c r="P1854" s="2" t="str">
        <f>HYPERLINK("https://www.facebook.com/637524499688609")</f>
        <v>https://www.facebook.com/637524499688609</v>
      </c>
      <c r="Q1854">
        <v>68</v>
      </c>
      <c r="R1854" t="s">
        <v>6067</v>
      </c>
      <c r="S1854" t="s">
        <v>6073</v>
      </c>
    </row>
    <row r="1855" spans="1:19" ht="14.25" customHeight="1" x14ac:dyDescent="0.3">
      <c r="A1855" t="s">
        <v>4439</v>
      </c>
      <c r="B1855" t="s">
        <v>954</v>
      </c>
      <c r="C1855" t="s">
        <v>3538</v>
      </c>
      <c r="D1855" t="s">
        <v>2321</v>
      </c>
      <c r="E1855" t="s">
        <v>4591</v>
      </c>
      <c r="F1855" t="s">
        <v>6056</v>
      </c>
      <c r="G1855" s="2" t="str">
        <f>HYPERLINK("https://www.facebook.com/100009865681987/posts/610175985987919")</f>
        <v>https://www.facebook.com/100009865681987/posts/610175985987919</v>
      </c>
      <c r="H1855" t="s">
        <v>6062</v>
      </c>
      <c r="I1855" t="s">
        <v>4592</v>
      </c>
      <c r="J1855" s="2" t="str">
        <f>HYPERLINK("https://www.facebook.com/100009865681987")</f>
        <v>https://www.facebook.com/100009865681987</v>
      </c>
      <c r="K1855">
        <v>121</v>
      </c>
      <c r="L1855" t="s">
        <v>6064</v>
      </c>
      <c r="N1855" t="s">
        <v>13</v>
      </c>
      <c r="O1855" t="s">
        <v>4592</v>
      </c>
      <c r="P1855" s="2" t="str">
        <f>HYPERLINK("https://www.facebook.com/100009865681987")</f>
        <v>https://www.facebook.com/100009865681987</v>
      </c>
      <c r="Q1855">
        <v>121</v>
      </c>
      <c r="R1855" t="s">
        <v>6067</v>
      </c>
    </row>
    <row r="1856" spans="1:19" ht="14.25" customHeight="1" x14ac:dyDescent="0.3">
      <c r="A1856" t="s">
        <v>5409</v>
      </c>
      <c r="B1856" t="s">
        <v>2312</v>
      </c>
      <c r="C1856" t="s">
        <v>3538</v>
      </c>
      <c r="D1856" t="s">
        <v>5458</v>
      </c>
      <c r="E1856" t="s">
        <v>5459</v>
      </c>
      <c r="F1856" t="s">
        <v>6058</v>
      </c>
      <c r="G1856" s="2" t="str">
        <f>HYPERLINK("https://www.facebook.com/100000886447511/posts/1819332534772944")</f>
        <v>https://www.facebook.com/100000886447511/posts/1819332534772944</v>
      </c>
      <c r="H1856" t="s">
        <v>6062</v>
      </c>
      <c r="I1856" t="s">
        <v>5460</v>
      </c>
      <c r="J1856" s="2" t="str">
        <f>HYPERLINK("https://www.facebook.com/100000886447511")</f>
        <v>https://www.facebook.com/100000886447511</v>
      </c>
      <c r="K1856">
        <v>89</v>
      </c>
      <c r="L1856" t="s">
        <v>6064</v>
      </c>
      <c r="N1856" t="s">
        <v>13</v>
      </c>
      <c r="O1856" t="s">
        <v>5460</v>
      </c>
      <c r="P1856" s="2" t="str">
        <f>HYPERLINK("https://www.facebook.com/100000886447511")</f>
        <v>https://www.facebook.com/100000886447511</v>
      </c>
      <c r="Q1856">
        <v>89</v>
      </c>
      <c r="R1856" t="s">
        <v>6067</v>
      </c>
      <c r="S1856" t="s">
        <v>6073</v>
      </c>
    </row>
    <row r="1857" spans="1:19" ht="14.25" customHeight="1" x14ac:dyDescent="0.3">
      <c r="A1857" t="s">
        <v>4995</v>
      </c>
      <c r="B1857" t="s">
        <v>2376</v>
      </c>
      <c r="C1857" t="s">
        <v>3538</v>
      </c>
      <c r="D1857" t="s">
        <v>508</v>
      </c>
      <c r="E1857" t="s">
        <v>509</v>
      </c>
      <c r="F1857" t="s">
        <v>6058</v>
      </c>
      <c r="G1857" s="2" t="str">
        <f>HYPERLINK("https://www.facebook.com/100021628183038/posts/203932733670998")</f>
        <v>https://www.facebook.com/100021628183038/posts/203932733670998</v>
      </c>
      <c r="H1857" t="s">
        <v>6062</v>
      </c>
      <c r="I1857" t="s">
        <v>5034</v>
      </c>
      <c r="J1857" s="2" t="str">
        <f>HYPERLINK("https://www.facebook.com/100021628183038")</f>
        <v>https://www.facebook.com/100021628183038</v>
      </c>
      <c r="K1857">
        <v>2174</v>
      </c>
      <c r="L1857" t="s">
        <v>6064</v>
      </c>
      <c r="N1857" t="s">
        <v>13</v>
      </c>
      <c r="O1857" t="s">
        <v>5034</v>
      </c>
      <c r="P1857" s="2" t="str">
        <f>HYPERLINK("https://www.facebook.com/100021628183038")</f>
        <v>https://www.facebook.com/100021628183038</v>
      </c>
      <c r="Q1857">
        <v>2174</v>
      </c>
      <c r="R1857" t="s">
        <v>6067</v>
      </c>
    </row>
    <row r="1858" spans="1:19" ht="14.25" customHeight="1" x14ac:dyDescent="0.3">
      <c r="A1858" t="s">
        <v>2225</v>
      </c>
      <c r="B1858" t="s">
        <v>2253</v>
      </c>
      <c r="C1858" t="s">
        <v>95</v>
      </c>
      <c r="D1858" t="s">
        <v>853</v>
      </c>
      <c r="E1858" t="s">
        <v>2254</v>
      </c>
      <c r="F1858" t="s">
        <v>6059</v>
      </c>
      <c r="G1858" s="2" t="str">
        <f>HYPERLINK("https://www.facebook.com/100008934274771/posts/1810262525948206?comment_id=1810320475942411")</f>
        <v>https://www.facebook.com/100008934274771/posts/1810262525948206?comment_id=1810320475942411</v>
      </c>
      <c r="H1858" t="s">
        <v>6062</v>
      </c>
      <c r="I1858" t="s">
        <v>2255</v>
      </c>
      <c r="J1858" s="2" t="str">
        <f>HYPERLINK("https://www.facebook.com/100015522540840")</f>
        <v>https://www.facebook.com/100015522540840</v>
      </c>
      <c r="K1858">
        <v>0</v>
      </c>
      <c r="L1858" t="s">
        <v>6064</v>
      </c>
      <c r="N1858" t="s">
        <v>13</v>
      </c>
      <c r="O1858" t="s">
        <v>856</v>
      </c>
      <c r="P1858" s="2" t="str">
        <f>HYPERLINK("https://www.facebook.com/100008934274771")</f>
        <v>https://www.facebook.com/100008934274771</v>
      </c>
      <c r="Q1858">
        <v>10395</v>
      </c>
      <c r="R1858" t="s">
        <v>6067</v>
      </c>
      <c r="S1858" t="s">
        <v>6073</v>
      </c>
    </row>
    <row r="1859" spans="1:19" ht="14.25" customHeight="1" x14ac:dyDescent="0.3">
      <c r="A1859" t="s">
        <v>2225</v>
      </c>
      <c r="B1859" t="s">
        <v>2219</v>
      </c>
      <c r="C1859" t="s">
        <v>95</v>
      </c>
      <c r="D1859" t="s">
        <v>3520</v>
      </c>
      <c r="E1859" t="s">
        <v>3524</v>
      </c>
      <c r="F1859" t="s">
        <v>6059</v>
      </c>
      <c r="G1859" s="2" t="str">
        <f>HYPERLINK("https://www.facebook.com/1340821636/posts/10215861089903755?comment_id=10215861110304265")</f>
        <v>https://www.facebook.com/1340821636/posts/10215861089903755?comment_id=10215861110304265</v>
      </c>
      <c r="H1859" t="s">
        <v>6062</v>
      </c>
      <c r="I1859" t="s">
        <v>3525</v>
      </c>
      <c r="J1859" s="2" t="str">
        <f>HYPERLINK("https://www.facebook.com/100006340445279")</f>
        <v>https://www.facebook.com/100006340445279</v>
      </c>
      <c r="K1859">
        <v>182</v>
      </c>
      <c r="L1859" t="s">
        <v>6063</v>
      </c>
      <c r="N1859" t="s">
        <v>13</v>
      </c>
      <c r="O1859" t="s">
        <v>3522</v>
      </c>
      <c r="P1859" s="2" t="str">
        <f>HYPERLINK("https://www.facebook.com/1340821636")</f>
        <v>https://www.facebook.com/1340821636</v>
      </c>
      <c r="Q1859">
        <v>0</v>
      </c>
      <c r="R1859" t="s">
        <v>6067</v>
      </c>
      <c r="S1859" t="s">
        <v>6073</v>
      </c>
    </row>
    <row r="1860" spans="1:19" ht="14.25" customHeight="1" x14ac:dyDescent="0.3">
      <c r="A1860" t="s">
        <v>629</v>
      </c>
      <c r="B1860" t="s">
        <v>1804</v>
      </c>
      <c r="C1860" t="s">
        <v>95</v>
      </c>
      <c r="D1860" t="s">
        <v>370</v>
      </c>
      <c r="E1860" t="s">
        <v>371</v>
      </c>
      <c r="F1860" t="s">
        <v>6058</v>
      </c>
      <c r="G1860" s="2" t="str">
        <f>HYPERLINK("https://www.facebook.com/100009246967105/posts/2010992229218990")</f>
        <v>https://www.facebook.com/100009246967105/posts/2010992229218990</v>
      </c>
      <c r="H1860" t="s">
        <v>6062</v>
      </c>
      <c r="I1860" t="s">
        <v>1807</v>
      </c>
      <c r="J1860" s="2" t="str">
        <f>HYPERLINK("https://www.facebook.com/100009246967105")</f>
        <v>https://www.facebook.com/100009246967105</v>
      </c>
      <c r="K1860">
        <v>144</v>
      </c>
      <c r="L1860" t="s">
        <v>6064</v>
      </c>
      <c r="N1860" t="s">
        <v>13</v>
      </c>
      <c r="O1860" t="s">
        <v>1807</v>
      </c>
      <c r="P1860" s="2" t="str">
        <f>HYPERLINK("https://www.facebook.com/100009246967105")</f>
        <v>https://www.facebook.com/100009246967105</v>
      </c>
      <c r="Q1860">
        <v>144</v>
      </c>
      <c r="R1860" t="s">
        <v>6067</v>
      </c>
    </row>
    <row r="1861" spans="1:19" ht="14.25" customHeight="1" x14ac:dyDescent="0.3">
      <c r="A1861" t="s">
        <v>629</v>
      </c>
      <c r="B1861" t="s">
        <v>447</v>
      </c>
      <c r="C1861" t="s">
        <v>95</v>
      </c>
      <c r="D1861" t="s">
        <v>370</v>
      </c>
      <c r="E1861" t="s">
        <v>371</v>
      </c>
      <c r="F1861" t="s">
        <v>6058</v>
      </c>
      <c r="G1861" s="2" t="str">
        <f>HYPERLINK("https://www.facebook.com/100008228253608/posts/2067974000153522")</f>
        <v>https://www.facebook.com/100008228253608/posts/2067974000153522</v>
      </c>
      <c r="H1861" t="s">
        <v>6062</v>
      </c>
      <c r="I1861" t="s">
        <v>1874</v>
      </c>
      <c r="J1861" s="2" t="str">
        <f>HYPERLINK("https://www.facebook.com/100008228253608")</f>
        <v>https://www.facebook.com/100008228253608</v>
      </c>
      <c r="K1861">
        <v>148</v>
      </c>
      <c r="L1861" t="s">
        <v>6064</v>
      </c>
      <c r="N1861" t="s">
        <v>13</v>
      </c>
      <c r="O1861" t="s">
        <v>1874</v>
      </c>
      <c r="P1861" s="2" t="str">
        <f>HYPERLINK("https://www.facebook.com/100008228253608")</f>
        <v>https://www.facebook.com/100008228253608</v>
      </c>
      <c r="Q1861">
        <v>148</v>
      </c>
      <c r="R1861" t="s">
        <v>6067</v>
      </c>
      <c r="S1861" t="s">
        <v>6073</v>
      </c>
    </row>
    <row r="1862" spans="1:19" ht="14.25" customHeight="1" x14ac:dyDescent="0.3">
      <c r="A1862" t="s">
        <v>629</v>
      </c>
      <c r="B1862" t="s">
        <v>1795</v>
      </c>
      <c r="C1862" t="s">
        <v>95</v>
      </c>
      <c r="D1862" t="s">
        <v>370</v>
      </c>
      <c r="E1862" t="s">
        <v>371</v>
      </c>
      <c r="F1862" t="s">
        <v>6058</v>
      </c>
      <c r="G1862" s="2" t="str">
        <f>HYPERLINK("https://www.facebook.com/100009635239852/posts/668364920161343")</f>
        <v>https://www.facebook.com/100009635239852/posts/668364920161343</v>
      </c>
      <c r="H1862" t="s">
        <v>6062</v>
      </c>
      <c r="I1862" t="s">
        <v>1796</v>
      </c>
      <c r="J1862" s="2" t="str">
        <f>HYPERLINK("https://www.facebook.com/100009635239852")</f>
        <v>https://www.facebook.com/100009635239852</v>
      </c>
      <c r="K1862">
        <v>272</v>
      </c>
      <c r="L1862" t="s">
        <v>6063</v>
      </c>
      <c r="N1862" t="s">
        <v>13</v>
      </c>
      <c r="O1862" t="s">
        <v>1796</v>
      </c>
      <c r="P1862" s="2" t="str">
        <f>HYPERLINK("https://www.facebook.com/100009635239852")</f>
        <v>https://www.facebook.com/100009635239852</v>
      </c>
      <c r="Q1862">
        <v>272</v>
      </c>
      <c r="R1862" t="s">
        <v>6067</v>
      </c>
    </row>
    <row r="1863" spans="1:19" ht="14.25" customHeight="1" x14ac:dyDescent="0.3">
      <c r="A1863" t="s">
        <v>629</v>
      </c>
      <c r="B1863" t="s">
        <v>447</v>
      </c>
      <c r="C1863" t="s">
        <v>95</v>
      </c>
      <c r="D1863" t="s">
        <v>370</v>
      </c>
      <c r="E1863" t="s">
        <v>371</v>
      </c>
      <c r="F1863" t="s">
        <v>6058</v>
      </c>
      <c r="G1863" s="2" t="str">
        <f>HYPERLINK("https://www.facebook.com/100021979329673/posts/230736371002339")</f>
        <v>https://www.facebook.com/100021979329673/posts/230736371002339</v>
      </c>
      <c r="H1863" t="s">
        <v>6062</v>
      </c>
      <c r="I1863" t="s">
        <v>1873</v>
      </c>
      <c r="J1863" s="2" t="str">
        <f>HYPERLINK("https://www.facebook.com/100021979329673")</f>
        <v>https://www.facebook.com/100021979329673</v>
      </c>
      <c r="K1863">
        <v>11</v>
      </c>
      <c r="L1863" t="s">
        <v>6063</v>
      </c>
      <c r="N1863" t="s">
        <v>13</v>
      </c>
      <c r="O1863" t="s">
        <v>1873</v>
      </c>
      <c r="P1863" s="2" t="str">
        <f>HYPERLINK("https://www.facebook.com/100021979329673")</f>
        <v>https://www.facebook.com/100021979329673</v>
      </c>
      <c r="Q1863">
        <v>11</v>
      </c>
      <c r="R1863" t="s">
        <v>6067</v>
      </c>
    </row>
    <row r="1864" spans="1:19" ht="14.25" customHeight="1" x14ac:dyDescent="0.3">
      <c r="A1864" t="s">
        <v>1</v>
      </c>
      <c r="B1864" t="s">
        <v>427</v>
      </c>
      <c r="C1864" t="s">
        <v>95</v>
      </c>
      <c r="D1864" t="s">
        <v>10</v>
      </c>
      <c r="E1864" t="s">
        <v>428</v>
      </c>
      <c r="F1864" t="s">
        <v>6059</v>
      </c>
      <c r="G1864" s="2" t="str">
        <f>HYPERLINK("https://www.facebook.com/1070092426/posts/10213398046920195?comment_id=10213402102661586")</f>
        <v>https://www.facebook.com/1070092426/posts/10213398046920195?comment_id=10213402102661586</v>
      </c>
      <c r="H1864" t="s">
        <v>6062</v>
      </c>
      <c r="I1864" t="s">
        <v>429</v>
      </c>
      <c r="J1864" s="2" t="str">
        <f>HYPERLINK("https://www.facebook.com/100001812686047")</f>
        <v>https://www.facebook.com/100001812686047</v>
      </c>
      <c r="K1864">
        <v>5273</v>
      </c>
      <c r="L1864" t="s">
        <v>6063</v>
      </c>
      <c r="N1864" t="s">
        <v>13</v>
      </c>
      <c r="O1864" t="s">
        <v>314</v>
      </c>
      <c r="P1864" s="2" t="str">
        <f>HYPERLINK("https://www.facebook.com/1070092426")</f>
        <v>https://www.facebook.com/1070092426</v>
      </c>
      <c r="Q1864">
        <v>5892</v>
      </c>
      <c r="R1864" t="s">
        <v>6067</v>
      </c>
      <c r="S1864" t="s">
        <v>6073</v>
      </c>
    </row>
    <row r="1865" spans="1:19" ht="14.25" customHeight="1" x14ac:dyDescent="0.3">
      <c r="A1865" t="s">
        <v>629</v>
      </c>
      <c r="B1865" t="s">
        <v>447</v>
      </c>
      <c r="C1865" t="s">
        <v>95</v>
      </c>
      <c r="D1865" t="s">
        <v>370</v>
      </c>
      <c r="E1865" t="s">
        <v>371</v>
      </c>
      <c r="F1865" t="s">
        <v>6058</v>
      </c>
      <c r="G1865" s="2" t="str">
        <f>HYPERLINK("https://www.facebook.com/100001698410598/posts/1715823735150890")</f>
        <v>https://www.facebook.com/100001698410598/posts/1715823735150890</v>
      </c>
      <c r="H1865" t="s">
        <v>6062</v>
      </c>
      <c r="I1865" t="s">
        <v>1869</v>
      </c>
      <c r="J1865" s="2" t="str">
        <f>HYPERLINK("https://www.facebook.com/100001698410598")</f>
        <v>https://www.facebook.com/100001698410598</v>
      </c>
      <c r="K1865">
        <v>3613</v>
      </c>
      <c r="L1865" t="s">
        <v>6063</v>
      </c>
      <c r="N1865" t="s">
        <v>13</v>
      </c>
      <c r="O1865" t="s">
        <v>1869</v>
      </c>
      <c r="P1865" s="2" t="str">
        <f>HYPERLINK("https://www.facebook.com/100001698410598")</f>
        <v>https://www.facebook.com/100001698410598</v>
      </c>
      <c r="Q1865">
        <v>3613</v>
      </c>
      <c r="R1865" t="s">
        <v>6067</v>
      </c>
      <c r="S1865" t="s">
        <v>6073</v>
      </c>
    </row>
    <row r="1866" spans="1:19" ht="14.25" customHeight="1" x14ac:dyDescent="0.3">
      <c r="A1866" t="s">
        <v>4995</v>
      </c>
      <c r="B1866" t="s">
        <v>5100</v>
      </c>
      <c r="C1866" t="s">
        <v>3538</v>
      </c>
      <c r="D1866" t="s">
        <v>4675</v>
      </c>
      <c r="E1866" t="s">
        <v>5101</v>
      </c>
      <c r="F1866" t="s">
        <v>6059</v>
      </c>
      <c r="G1866" s="2" t="str">
        <f>HYPERLINK("https://www.facebook.com/1439247584/posts/10217349741762401?comment_id=10217366043129925")</f>
        <v>https://www.facebook.com/1439247584/posts/10217349741762401?comment_id=10217366043129925</v>
      </c>
      <c r="H1866" t="s">
        <v>6062</v>
      </c>
      <c r="I1866" t="s">
        <v>5099</v>
      </c>
      <c r="J1866" s="2" t="str">
        <f>HYPERLINK("https://www.facebook.com/100001279332670")</f>
        <v>https://www.facebook.com/100001279332670</v>
      </c>
      <c r="K1866">
        <v>3279</v>
      </c>
      <c r="L1866" t="s">
        <v>6063</v>
      </c>
      <c r="N1866" t="s">
        <v>13</v>
      </c>
      <c r="O1866" t="s">
        <v>4678</v>
      </c>
      <c r="P1866" s="2" t="str">
        <f>HYPERLINK("https://www.facebook.com/1439247584")</f>
        <v>https://www.facebook.com/1439247584</v>
      </c>
      <c r="Q1866">
        <v>54</v>
      </c>
      <c r="R1866" t="s">
        <v>6067</v>
      </c>
      <c r="S1866" t="s">
        <v>6073</v>
      </c>
    </row>
    <row r="1867" spans="1:19" ht="14.25" customHeight="1" x14ac:dyDescent="0.3">
      <c r="A1867" t="s">
        <v>4995</v>
      </c>
      <c r="B1867" t="s">
        <v>890</v>
      </c>
      <c r="C1867" t="s">
        <v>3538</v>
      </c>
      <c r="D1867" t="s">
        <v>4675</v>
      </c>
      <c r="E1867" t="s">
        <v>5098</v>
      </c>
      <c r="F1867" t="s">
        <v>6059</v>
      </c>
      <c r="G1867" s="2" t="str">
        <f>HYPERLINK("https://www.facebook.com/1439247584/posts/10217349741762401?comment_id=10217366066090499")</f>
        <v>https://www.facebook.com/1439247584/posts/10217349741762401?comment_id=10217366066090499</v>
      </c>
      <c r="H1867" t="s">
        <v>6062</v>
      </c>
      <c r="I1867" t="s">
        <v>5099</v>
      </c>
      <c r="J1867" s="2" t="str">
        <f>HYPERLINK("https://www.facebook.com/100001279332670")</f>
        <v>https://www.facebook.com/100001279332670</v>
      </c>
      <c r="K1867">
        <v>3279</v>
      </c>
      <c r="L1867" t="s">
        <v>6063</v>
      </c>
      <c r="N1867" t="s">
        <v>13</v>
      </c>
      <c r="O1867" t="s">
        <v>4678</v>
      </c>
      <c r="P1867" s="2" t="str">
        <f>HYPERLINK("https://www.facebook.com/1439247584")</f>
        <v>https://www.facebook.com/1439247584</v>
      </c>
      <c r="Q1867">
        <v>54</v>
      </c>
      <c r="R1867" t="s">
        <v>6067</v>
      </c>
      <c r="S1867" t="s">
        <v>6073</v>
      </c>
    </row>
    <row r="1868" spans="1:19" ht="14.25" customHeight="1" x14ac:dyDescent="0.3">
      <c r="A1868" t="s">
        <v>4995</v>
      </c>
      <c r="B1868" t="s">
        <v>3884</v>
      </c>
      <c r="C1868" t="s">
        <v>3538</v>
      </c>
      <c r="D1868" t="s">
        <v>4675</v>
      </c>
      <c r="E1868" t="s">
        <v>5102</v>
      </c>
      <c r="F1868" t="s">
        <v>6059</v>
      </c>
      <c r="G1868" s="2" t="str">
        <f>HYPERLINK("https://www.facebook.com/1439247584/posts/10217349741762401?comment_id=10217366006289004")</f>
        <v>https://www.facebook.com/1439247584/posts/10217349741762401?comment_id=10217366006289004</v>
      </c>
      <c r="H1868" t="s">
        <v>6062</v>
      </c>
      <c r="I1868" t="s">
        <v>5099</v>
      </c>
      <c r="J1868" s="2" t="str">
        <f>HYPERLINK("https://www.facebook.com/100001279332670")</f>
        <v>https://www.facebook.com/100001279332670</v>
      </c>
      <c r="K1868">
        <v>3279</v>
      </c>
      <c r="L1868" t="s">
        <v>6063</v>
      </c>
      <c r="N1868" t="s">
        <v>13</v>
      </c>
      <c r="O1868" t="s">
        <v>4678</v>
      </c>
      <c r="P1868" s="2" t="str">
        <f>HYPERLINK("https://www.facebook.com/1439247584")</f>
        <v>https://www.facebook.com/1439247584</v>
      </c>
      <c r="Q1868">
        <v>54</v>
      </c>
      <c r="R1868" t="s">
        <v>6067</v>
      </c>
      <c r="S1868" t="s">
        <v>6073</v>
      </c>
    </row>
    <row r="1869" spans="1:19" ht="14.25" customHeight="1" x14ac:dyDescent="0.3">
      <c r="A1869" t="s">
        <v>2225</v>
      </c>
      <c r="B1869" t="s">
        <v>828</v>
      </c>
      <c r="C1869" t="s">
        <v>95</v>
      </c>
      <c r="D1869" t="s">
        <v>464</v>
      </c>
      <c r="E1869" t="s">
        <v>2954</v>
      </c>
      <c r="F1869" t="s">
        <v>6059</v>
      </c>
      <c r="G1869" s="2" t="str">
        <f>HYPERLINK("https://www.facebook.com/1362386453/posts/10216460219362335?comment_id=10216461733840196")</f>
        <v>https://www.facebook.com/1362386453/posts/10216460219362335?comment_id=10216461733840196</v>
      </c>
      <c r="H1869" t="s">
        <v>6062</v>
      </c>
      <c r="I1869" t="s">
        <v>2955</v>
      </c>
      <c r="J1869" s="2" t="str">
        <f>HYPERLINK("https://www.facebook.com/100000085485520")</f>
        <v>https://www.facebook.com/100000085485520</v>
      </c>
      <c r="K1869">
        <v>4994</v>
      </c>
      <c r="L1869" t="s">
        <v>6064</v>
      </c>
      <c r="M1869">
        <v>34</v>
      </c>
      <c r="N1869" t="s">
        <v>13</v>
      </c>
      <c r="O1869" t="s">
        <v>467</v>
      </c>
      <c r="P1869" s="2" t="str">
        <f>HYPERLINK("https://www.facebook.com/1362386453")</f>
        <v>https://www.facebook.com/1362386453</v>
      </c>
      <c r="Q1869">
        <v>3896</v>
      </c>
      <c r="R1869" t="s">
        <v>6067</v>
      </c>
      <c r="S1869" t="s">
        <v>6073</v>
      </c>
    </row>
    <row r="1870" spans="1:19" ht="14.25" customHeight="1" x14ac:dyDescent="0.3">
      <c r="A1870" t="s">
        <v>2225</v>
      </c>
      <c r="B1870" t="s">
        <v>2998</v>
      </c>
      <c r="C1870" t="s">
        <v>95</v>
      </c>
      <c r="D1870" t="s">
        <v>464</v>
      </c>
      <c r="E1870" t="s">
        <v>2999</v>
      </c>
      <c r="F1870" t="s">
        <v>6059</v>
      </c>
      <c r="G1870" s="2" t="str">
        <f>HYPERLINK("https://www.facebook.com/1362386453/posts/10216460219362335?comment_id=10216461410912123")</f>
        <v>https://www.facebook.com/1362386453/posts/10216460219362335?comment_id=10216461410912123</v>
      </c>
      <c r="H1870" t="s">
        <v>6062</v>
      </c>
      <c r="I1870" t="s">
        <v>2955</v>
      </c>
      <c r="J1870" s="2" t="str">
        <f>HYPERLINK("https://www.facebook.com/100000085485520")</f>
        <v>https://www.facebook.com/100000085485520</v>
      </c>
      <c r="K1870">
        <v>4994</v>
      </c>
      <c r="L1870" t="s">
        <v>6064</v>
      </c>
      <c r="M1870">
        <v>34</v>
      </c>
      <c r="N1870" t="s">
        <v>13</v>
      </c>
      <c r="O1870" t="s">
        <v>467</v>
      </c>
      <c r="P1870" s="2" t="str">
        <f>HYPERLINK("https://www.facebook.com/1362386453")</f>
        <v>https://www.facebook.com/1362386453</v>
      </c>
      <c r="Q1870">
        <v>3896</v>
      </c>
      <c r="R1870" t="s">
        <v>6067</v>
      </c>
      <c r="S1870" t="s">
        <v>6073</v>
      </c>
    </row>
    <row r="1871" spans="1:19" ht="14.25" customHeight="1" x14ac:dyDescent="0.3">
      <c r="A1871" t="s">
        <v>4439</v>
      </c>
      <c r="B1871" t="s">
        <v>4917</v>
      </c>
      <c r="C1871" t="s">
        <v>3538</v>
      </c>
      <c r="D1871" t="s">
        <v>1892</v>
      </c>
      <c r="E1871" t="s">
        <v>4451</v>
      </c>
      <c r="F1871" t="s">
        <v>6058</v>
      </c>
      <c r="G1871" s="2" t="str">
        <f>HYPERLINK("https://www.facebook.com/100007519266848/posts/2030098347250788")</f>
        <v>https://www.facebook.com/100007519266848/posts/2030098347250788</v>
      </c>
      <c r="H1871" t="s">
        <v>6062</v>
      </c>
      <c r="I1871" t="s">
        <v>4918</v>
      </c>
      <c r="J1871" s="2" t="str">
        <f>HYPERLINK("https://www.facebook.com/100007519266848")</f>
        <v>https://www.facebook.com/100007519266848</v>
      </c>
      <c r="K1871">
        <v>191</v>
      </c>
      <c r="L1871" t="s">
        <v>6064</v>
      </c>
      <c r="N1871" t="s">
        <v>13</v>
      </c>
      <c r="O1871" t="s">
        <v>4918</v>
      </c>
      <c r="P1871" s="2" t="str">
        <f>HYPERLINK("https://www.facebook.com/100007519266848")</f>
        <v>https://www.facebook.com/100007519266848</v>
      </c>
      <c r="Q1871">
        <v>191</v>
      </c>
      <c r="R1871" t="s">
        <v>6067</v>
      </c>
      <c r="S1871" t="s">
        <v>6073</v>
      </c>
    </row>
    <row r="1872" spans="1:19" ht="14.25" customHeight="1" x14ac:dyDescent="0.3">
      <c r="A1872" t="s">
        <v>629</v>
      </c>
      <c r="B1872" t="s">
        <v>338</v>
      </c>
      <c r="C1872" t="s">
        <v>95</v>
      </c>
      <c r="D1872" t="s">
        <v>370</v>
      </c>
      <c r="E1872" t="s">
        <v>371</v>
      </c>
      <c r="F1872" t="s">
        <v>6058</v>
      </c>
      <c r="G1872" s="2" t="str">
        <f>HYPERLINK("https://www.facebook.com/100024325233733/posts/159465798207594")</f>
        <v>https://www.facebook.com/100024325233733/posts/159465798207594</v>
      </c>
      <c r="H1872" t="s">
        <v>6062</v>
      </c>
      <c r="I1872" t="s">
        <v>1544</v>
      </c>
      <c r="J1872" s="2" t="str">
        <f>HYPERLINK("https://www.facebook.com/100024325233733")</f>
        <v>https://www.facebook.com/100024325233733</v>
      </c>
      <c r="K1872">
        <v>1052</v>
      </c>
      <c r="L1872" t="s">
        <v>6064</v>
      </c>
      <c r="N1872" t="s">
        <v>13</v>
      </c>
      <c r="O1872" t="s">
        <v>1544</v>
      </c>
      <c r="P1872" s="2" t="str">
        <f>HYPERLINK("https://www.facebook.com/100024325233733")</f>
        <v>https://www.facebook.com/100024325233733</v>
      </c>
      <c r="Q1872">
        <v>1052</v>
      </c>
      <c r="R1872" t="s">
        <v>6067</v>
      </c>
    </row>
    <row r="1873" spans="1:19" ht="14.25" customHeight="1" x14ac:dyDescent="0.3">
      <c r="A1873" t="s">
        <v>2225</v>
      </c>
      <c r="B1873" t="s">
        <v>764</v>
      </c>
      <c r="C1873" t="s">
        <v>95</v>
      </c>
      <c r="D1873" t="s">
        <v>2865</v>
      </c>
      <c r="E1873" t="s">
        <v>2866</v>
      </c>
      <c r="F1873" t="s">
        <v>6057</v>
      </c>
      <c r="G1873" s="2" t="str">
        <f>HYPERLINK("https://www.facebook.com/100010616565504/posts/567792280251319")</f>
        <v>https://www.facebook.com/100010616565504/posts/567792280251319</v>
      </c>
      <c r="H1873" t="s">
        <v>6062</v>
      </c>
      <c r="I1873" t="s">
        <v>2867</v>
      </c>
      <c r="J1873" s="2" t="str">
        <f>HYPERLINK("https://www.facebook.com/100010616565504")</f>
        <v>https://www.facebook.com/100010616565504</v>
      </c>
      <c r="K1873">
        <v>4994</v>
      </c>
      <c r="L1873" t="s">
        <v>6064</v>
      </c>
      <c r="N1873" t="s">
        <v>13</v>
      </c>
      <c r="O1873" t="s">
        <v>2867</v>
      </c>
      <c r="P1873" s="2" t="str">
        <f>HYPERLINK("https://www.facebook.com/100010616565504")</f>
        <v>https://www.facebook.com/100010616565504</v>
      </c>
      <c r="Q1873">
        <v>4994</v>
      </c>
      <c r="R1873" t="s">
        <v>6067</v>
      </c>
    </row>
    <row r="1874" spans="1:19" ht="14.25" customHeight="1" x14ac:dyDescent="0.3">
      <c r="A1874" t="s">
        <v>629</v>
      </c>
      <c r="B1874" t="s">
        <v>1590</v>
      </c>
      <c r="C1874" t="s">
        <v>95</v>
      </c>
      <c r="D1874" t="s">
        <v>370</v>
      </c>
      <c r="E1874" t="s">
        <v>371</v>
      </c>
      <c r="F1874" t="s">
        <v>6058</v>
      </c>
      <c r="G1874" s="2" t="str">
        <f>HYPERLINK("https://www.facebook.com/315710265289945/posts/1605805296206639")</f>
        <v>https://www.facebook.com/315710265289945/posts/1605805296206639</v>
      </c>
      <c r="H1874" t="s">
        <v>6062</v>
      </c>
      <c r="I1874" t="s">
        <v>1591</v>
      </c>
      <c r="J1874" s="2" t="str">
        <f>HYPERLINK("https://www.facebook.com/100003315510716")</f>
        <v>https://www.facebook.com/100003315510716</v>
      </c>
      <c r="K1874">
        <v>621</v>
      </c>
      <c r="L1874" t="s">
        <v>6064</v>
      </c>
      <c r="N1874" t="s">
        <v>13</v>
      </c>
      <c r="O1874" t="s">
        <v>1503</v>
      </c>
      <c r="P1874" s="2" t="str">
        <f>HYPERLINK("https://www.facebook.com/315710265289945")</f>
        <v>https://www.facebook.com/315710265289945</v>
      </c>
      <c r="Q1874">
        <v>100</v>
      </c>
      <c r="R1874" t="s">
        <v>6067</v>
      </c>
      <c r="S1874" t="s">
        <v>6073</v>
      </c>
    </row>
    <row r="1875" spans="1:19" ht="14.25" customHeight="1" x14ac:dyDescent="0.3">
      <c r="A1875" t="s">
        <v>629</v>
      </c>
      <c r="B1875" t="s">
        <v>1590</v>
      </c>
      <c r="C1875" t="s">
        <v>95</v>
      </c>
      <c r="D1875" t="s">
        <v>370</v>
      </c>
      <c r="E1875" t="s">
        <v>371</v>
      </c>
      <c r="F1875" t="s">
        <v>6058</v>
      </c>
      <c r="G1875" s="2" t="str">
        <f>HYPERLINK("https://www.facebook.com/315710265289945/posts/808870269307273")</f>
        <v>https://www.facebook.com/315710265289945/posts/808870269307273</v>
      </c>
      <c r="H1875" t="s">
        <v>6062</v>
      </c>
      <c r="I1875" t="s">
        <v>1591</v>
      </c>
      <c r="J1875" s="2" t="str">
        <f>HYPERLINK("https://www.facebook.com/100003315510716")</f>
        <v>https://www.facebook.com/100003315510716</v>
      </c>
      <c r="K1875">
        <v>621</v>
      </c>
      <c r="L1875" t="s">
        <v>6064</v>
      </c>
      <c r="N1875" t="s">
        <v>13</v>
      </c>
      <c r="O1875" t="s">
        <v>1503</v>
      </c>
      <c r="P1875" s="2" t="str">
        <f>HYPERLINK("https://www.facebook.com/315710265289945")</f>
        <v>https://www.facebook.com/315710265289945</v>
      </c>
      <c r="Q1875">
        <v>100</v>
      </c>
      <c r="R1875" t="s">
        <v>6067</v>
      </c>
      <c r="S1875" t="s">
        <v>6073</v>
      </c>
    </row>
    <row r="1876" spans="1:19" ht="14.25" customHeight="1" x14ac:dyDescent="0.3">
      <c r="A1876" t="s">
        <v>629</v>
      </c>
      <c r="B1876" t="s">
        <v>1605</v>
      </c>
      <c r="C1876" t="s">
        <v>95</v>
      </c>
      <c r="D1876" t="s">
        <v>370</v>
      </c>
      <c r="E1876" t="s">
        <v>371</v>
      </c>
      <c r="F1876" t="s">
        <v>6058</v>
      </c>
      <c r="G1876" s="2" t="str">
        <f>HYPERLINK("https://www.facebook.com/100003315510716/posts/1605803776206791")</f>
        <v>https://www.facebook.com/100003315510716/posts/1605803776206791</v>
      </c>
      <c r="H1876" t="s">
        <v>6062</v>
      </c>
      <c r="I1876" t="s">
        <v>1591</v>
      </c>
      <c r="J1876" s="2" t="str">
        <f>HYPERLINK("https://www.facebook.com/100003315510716")</f>
        <v>https://www.facebook.com/100003315510716</v>
      </c>
      <c r="K1876">
        <v>621</v>
      </c>
      <c r="L1876" t="s">
        <v>6064</v>
      </c>
      <c r="N1876" t="s">
        <v>13</v>
      </c>
      <c r="O1876" t="s">
        <v>1591</v>
      </c>
      <c r="P1876" s="2" t="str">
        <f>HYPERLINK("https://www.facebook.com/100003315510716")</f>
        <v>https://www.facebook.com/100003315510716</v>
      </c>
      <c r="Q1876">
        <v>621</v>
      </c>
      <c r="R1876" t="s">
        <v>6067</v>
      </c>
      <c r="S1876" t="s">
        <v>6073</v>
      </c>
    </row>
    <row r="1877" spans="1:19" ht="14.25" customHeight="1" x14ac:dyDescent="0.3">
      <c r="A1877" t="s">
        <v>629</v>
      </c>
      <c r="B1877" t="s">
        <v>279</v>
      </c>
      <c r="C1877" t="s">
        <v>95</v>
      </c>
      <c r="D1877" t="s">
        <v>370</v>
      </c>
      <c r="E1877" t="s">
        <v>371</v>
      </c>
      <c r="F1877" t="s">
        <v>6058</v>
      </c>
      <c r="G1877" s="2" t="str">
        <f>HYPERLINK("https://www.facebook.com/664154987111270/posts/354624481716432")</f>
        <v>https://www.facebook.com/664154987111270/posts/354624481716432</v>
      </c>
      <c r="H1877" t="s">
        <v>6062</v>
      </c>
      <c r="I1877" t="s">
        <v>1504</v>
      </c>
      <c r="J1877" s="2" t="str">
        <f>HYPERLINK("https://www.facebook.com/100015066499165")</f>
        <v>https://www.facebook.com/100015066499165</v>
      </c>
      <c r="K1877">
        <v>270</v>
      </c>
      <c r="L1877" t="s">
        <v>6064</v>
      </c>
      <c r="N1877" t="s">
        <v>13</v>
      </c>
      <c r="O1877" t="s">
        <v>1505</v>
      </c>
      <c r="P1877" s="2" t="str">
        <f>HYPERLINK("https://www.facebook.com/664154987111270")</f>
        <v>https://www.facebook.com/664154987111270</v>
      </c>
      <c r="R1877" t="s">
        <v>6067</v>
      </c>
      <c r="S1877" t="s">
        <v>6073</v>
      </c>
    </row>
    <row r="1878" spans="1:19" ht="14.25" customHeight="1" x14ac:dyDescent="0.3">
      <c r="A1878" t="s">
        <v>4439</v>
      </c>
      <c r="B1878" t="s">
        <v>8</v>
      </c>
      <c r="C1878" t="s">
        <v>3538</v>
      </c>
      <c r="D1878" t="s">
        <v>4646</v>
      </c>
      <c r="E1878" t="s">
        <v>4647</v>
      </c>
      <c r="F1878" t="s">
        <v>6059</v>
      </c>
      <c r="G1878" s="2" t="str">
        <f>HYPERLINK("https://www.facebook.com/100000936870507/posts/1908769695830908?comment_id=1908811685826709")</f>
        <v>https://www.facebook.com/100000936870507/posts/1908769695830908?comment_id=1908811685826709</v>
      </c>
      <c r="H1878" t="s">
        <v>6062</v>
      </c>
      <c r="I1878" t="s">
        <v>4648</v>
      </c>
      <c r="J1878" s="2" t="str">
        <f>HYPERLINK("https://www.facebook.com/100001372401056")</f>
        <v>https://www.facebook.com/100001372401056</v>
      </c>
      <c r="K1878">
        <v>400</v>
      </c>
      <c r="L1878" t="s">
        <v>6064</v>
      </c>
      <c r="N1878" t="s">
        <v>13</v>
      </c>
      <c r="O1878" t="s">
        <v>4649</v>
      </c>
      <c r="P1878" s="2" t="str">
        <f>HYPERLINK("https://www.facebook.com/100000936870507")</f>
        <v>https://www.facebook.com/100000936870507</v>
      </c>
      <c r="Q1878">
        <v>0</v>
      </c>
      <c r="R1878" t="s">
        <v>6067</v>
      </c>
      <c r="S1878" t="s">
        <v>6073</v>
      </c>
    </row>
    <row r="1879" spans="1:19" ht="14.25" customHeight="1" x14ac:dyDescent="0.3">
      <c r="A1879" t="s">
        <v>2225</v>
      </c>
      <c r="B1879" t="s">
        <v>2639</v>
      </c>
      <c r="C1879" t="s">
        <v>95</v>
      </c>
      <c r="D1879" t="s">
        <v>544</v>
      </c>
      <c r="E1879" t="s">
        <v>545</v>
      </c>
      <c r="F1879" t="s">
        <v>6058</v>
      </c>
      <c r="G1879" s="2" t="str">
        <f>HYPERLINK("https://www.facebook.com/100007080812637/posts/2060153410897333")</f>
        <v>https://www.facebook.com/100007080812637/posts/2060153410897333</v>
      </c>
      <c r="H1879" t="s">
        <v>6062</v>
      </c>
      <c r="I1879" t="s">
        <v>2642</v>
      </c>
      <c r="J1879" s="2" t="str">
        <f>HYPERLINK("https://www.facebook.com/100007080812637")</f>
        <v>https://www.facebook.com/100007080812637</v>
      </c>
      <c r="K1879">
        <v>740</v>
      </c>
      <c r="L1879" t="s">
        <v>6064</v>
      </c>
      <c r="N1879" t="s">
        <v>13</v>
      </c>
      <c r="O1879" t="s">
        <v>2642</v>
      </c>
      <c r="P1879" s="2" t="str">
        <f>HYPERLINK("https://www.facebook.com/100007080812637")</f>
        <v>https://www.facebook.com/100007080812637</v>
      </c>
      <c r="Q1879">
        <v>740</v>
      </c>
      <c r="R1879" t="s">
        <v>6067</v>
      </c>
      <c r="S1879" t="s">
        <v>6073</v>
      </c>
    </row>
    <row r="1880" spans="1:19" ht="14.25" customHeight="1" x14ac:dyDescent="0.3">
      <c r="A1880" t="s">
        <v>2225</v>
      </c>
      <c r="B1880" t="s">
        <v>1258</v>
      </c>
      <c r="C1880" t="s">
        <v>95</v>
      </c>
      <c r="D1880" t="s">
        <v>3194</v>
      </c>
      <c r="E1880" t="s">
        <v>3195</v>
      </c>
      <c r="F1880" t="s">
        <v>6058</v>
      </c>
      <c r="G1880" s="2" t="str">
        <f>HYPERLINK("https://www.facebook.com/100011432418151/posts/701124153611992")</f>
        <v>https://www.facebook.com/100011432418151/posts/701124153611992</v>
      </c>
      <c r="H1880" t="s">
        <v>6062</v>
      </c>
      <c r="I1880" t="s">
        <v>1749</v>
      </c>
      <c r="J1880" s="2" t="str">
        <f>HYPERLINK("https://www.facebook.com/100011432418151")</f>
        <v>https://www.facebook.com/100011432418151</v>
      </c>
      <c r="K1880">
        <v>800</v>
      </c>
      <c r="L1880" t="s">
        <v>6064</v>
      </c>
      <c r="N1880" t="s">
        <v>13</v>
      </c>
      <c r="O1880" t="s">
        <v>1749</v>
      </c>
      <c r="P1880" s="2" t="str">
        <f>HYPERLINK("https://www.facebook.com/100011432418151")</f>
        <v>https://www.facebook.com/100011432418151</v>
      </c>
      <c r="Q1880">
        <v>800</v>
      </c>
      <c r="R1880" t="s">
        <v>6067</v>
      </c>
    </row>
    <row r="1881" spans="1:19" ht="14.25" customHeight="1" x14ac:dyDescent="0.3">
      <c r="A1881" t="s">
        <v>4995</v>
      </c>
      <c r="B1881" t="s">
        <v>3732</v>
      </c>
      <c r="C1881" t="s">
        <v>3538</v>
      </c>
      <c r="D1881" t="s">
        <v>4047</v>
      </c>
      <c r="E1881" t="s">
        <v>4048</v>
      </c>
      <c r="F1881" t="s">
        <v>6058</v>
      </c>
      <c r="G1881" s="2" t="str">
        <f>HYPERLINK("https://www.facebook.com/100011432418151/posts/699519463772461")</f>
        <v>https://www.facebook.com/100011432418151/posts/699519463772461</v>
      </c>
      <c r="H1881" t="s">
        <v>6062</v>
      </c>
      <c r="I1881" t="s">
        <v>1749</v>
      </c>
      <c r="J1881" s="2" t="str">
        <f>HYPERLINK("https://www.facebook.com/100011432418151")</f>
        <v>https://www.facebook.com/100011432418151</v>
      </c>
      <c r="K1881">
        <v>800</v>
      </c>
      <c r="L1881" t="s">
        <v>6064</v>
      </c>
      <c r="N1881" t="s">
        <v>13</v>
      </c>
      <c r="O1881" t="s">
        <v>1749</v>
      </c>
      <c r="P1881" s="2" t="str">
        <f>HYPERLINK("https://www.facebook.com/100011432418151")</f>
        <v>https://www.facebook.com/100011432418151</v>
      </c>
      <c r="Q1881">
        <v>800</v>
      </c>
      <c r="R1881" t="s">
        <v>6067</v>
      </c>
    </row>
    <row r="1882" spans="1:19" ht="14.25" customHeight="1" x14ac:dyDescent="0.3">
      <c r="A1882" t="s">
        <v>629</v>
      </c>
      <c r="B1882" t="s">
        <v>1744</v>
      </c>
      <c r="C1882" t="s">
        <v>95</v>
      </c>
      <c r="D1882" t="s">
        <v>370</v>
      </c>
      <c r="E1882" t="s">
        <v>371</v>
      </c>
      <c r="F1882" t="s">
        <v>6058</v>
      </c>
      <c r="G1882" s="2" t="str">
        <f>HYPERLINK("https://www.facebook.com/100011432418151/posts/701580710233003")</f>
        <v>https://www.facebook.com/100011432418151/posts/701580710233003</v>
      </c>
      <c r="H1882" t="s">
        <v>6062</v>
      </c>
      <c r="I1882" t="s">
        <v>1749</v>
      </c>
      <c r="J1882" s="2" t="str">
        <f>HYPERLINK("https://www.facebook.com/100011432418151")</f>
        <v>https://www.facebook.com/100011432418151</v>
      </c>
      <c r="K1882">
        <v>800</v>
      </c>
      <c r="L1882" t="s">
        <v>6064</v>
      </c>
      <c r="N1882" t="s">
        <v>13</v>
      </c>
      <c r="O1882" t="s">
        <v>1749</v>
      </c>
      <c r="P1882" s="2" t="str">
        <f>HYPERLINK("https://www.facebook.com/100011432418151")</f>
        <v>https://www.facebook.com/100011432418151</v>
      </c>
      <c r="Q1882">
        <v>800</v>
      </c>
      <c r="R1882" t="s">
        <v>6067</v>
      </c>
    </row>
    <row r="1883" spans="1:19" ht="14.25" customHeight="1" x14ac:dyDescent="0.3">
      <c r="A1883" t="s">
        <v>2225</v>
      </c>
      <c r="B1883" t="s">
        <v>1253</v>
      </c>
      <c r="C1883" t="s">
        <v>95</v>
      </c>
      <c r="D1883" t="s">
        <v>3191</v>
      </c>
      <c r="E1883" t="s">
        <v>3192</v>
      </c>
      <c r="F1883" t="s">
        <v>6056</v>
      </c>
      <c r="G1883" s="2" t="str">
        <f>HYPERLINK("https://www.facebook.com/100011432418151/posts/701124840278590")</f>
        <v>https://www.facebook.com/100011432418151/posts/701124840278590</v>
      </c>
      <c r="H1883" t="s">
        <v>6062</v>
      </c>
      <c r="I1883" t="s">
        <v>1749</v>
      </c>
      <c r="J1883" s="2" t="str">
        <f>HYPERLINK("https://www.facebook.com/100011432418151")</f>
        <v>https://www.facebook.com/100011432418151</v>
      </c>
      <c r="K1883">
        <v>800</v>
      </c>
      <c r="L1883" t="s">
        <v>6064</v>
      </c>
      <c r="N1883" t="s">
        <v>13</v>
      </c>
      <c r="O1883" t="s">
        <v>1749</v>
      </c>
      <c r="P1883" s="2" t="str">
        <f>HYPERLINK("https://www.facebook.com/100011432418151")</f>
        <v>https://www.facebook.com/100011432418151</v>
      </c>
      <c r="Q1883">
        <v>800</v>
      </c>
      <c r="R1883" t="s">
        <v>6067</v>
      </c>
    </row>
    <row r="1884" spans="1:19" ht="14.25" customHeight="1" x14ac:dyDescent="0.3">
      <c r="A1884" t="s">
        <v>3527</v>
      </c>
      <c r="B1884" t="s">
        <v>3149</v>
      </c>
      <c r="C1884" t="s">
        <v>95</v>
      </c>
      <c r="D1884" t="s">
        <v>522</v>
      </c>
      <c r="E1884" t="s">
        <v>3994</v>
      </c>
      <c r="F1884" t="s">
        <v>6058</v>
      </c>
      <c r="G1884" s="2" t="str">
        <f>HYPERLINK("https://www.facebook.com/100002316546967/posts/1662359723851230")</f>
        <v>https://www.facebook.com/100002316546967/posts/1662359723851230</v>
      </c>
      <c r="H1884" t="s">
        <v>6062</v>
      </c>
      <c r="I1884" t="s">
        <v>4062</v>
      </c>
      <c r="J1884" s="2" t="str">
        <f>HYPERLINK("https://www.facebook.com/100002316546967")</f>
        <v>https://www.facebook.com/100002316546967</v>
      </c>
      <c r="K1884">
        <v>191</v>
      </c>
      <c r="L1884" t="s">
        <v>6064</v>
      </c>
      <c r="N1884" t="s">
        <v>13</v>
      </c>
      <c r="O1884" t="s">
        <v>4062</v>
      </c>
      <c r="P1884" s="2" t="str">
        <f>HYPERLINK("https://www.facebook.com/100002316546967")</f>
        <v>https://www.facebook.com/100002316546967</v>
      </c>
      <c r="Q1884">
        <v>191</v>
      </c>
      <c r="R1884" t="s">
        <v>6067</v>
      </c>
    </row>
    <row r="1885" spans="1:19" ht="14.25" customHeight="1" x14ac:dyDescent="0.3">
      <c r="A1885" t="s">
        <v>629</v>
      </c>
      <c r="B1885" t="s">
        <v>361</v>
      </c>
      <c r="C1885" t="s">
        <v>95</v>
      </c>
      <c r="D1885" t="s">
        <v>370</v>
      </c>
      <c r="E1885" t="s">
        <v>371</v>
      </c>
      <c r="F1885" t="s">
        <v>6058</v>
      </c>
      <c r="G1885" s="2" t="str">
        <f>HYPERLINK("https://www.facebook.com/100009524988046/posts/2001572146836932")</f>
        <v>https://www.facebook.com/100009524988046/posts/2001572146836932</v>
      </c>
      <c r="H1885" t="s">
        <v>6062</v>
      </c>
      <c r="I1885" t="s">
        <v>1652</v>
      </c>
      <c r="J1885" s="2" t="str">
        <f t="shared" ref="J1885:J1890" si="53">HYPERLINK("https://www.facebook.com/100009524988046")</f>
        <v>https://www.facebook.com/100009524988046</v>
      </c>
      <c r="K1885">
        <v>125</v>
      </c>
      <c r="L1885" t="s">
        <v>6063</v>
      </c>
      <c r="N1885" t="s">
        <v>13</v>
      </c>
      <c r="O1885" t="s">
        <v>1652</v>
      </c>
      <c r="P1885" s="2" t="str">
        <f t="shared" ref="P1885:P1890" si="54">HYPERLINK("https://www.facebook.com/100009524988046")</f>
        <v>https://www.facebook.com/100009524988046</v>
      </c>
      <c r="Q1885">
        <v>125</v>
      </c>
      <c r="R1885" t="s">
        <v>6067</v>
      </c>
    </row>
    <row r="1886" spans="1:19" ht="14.25" customHeight="1" x14ac:dyDescent="0.3">
      <c r="A1886" t="s">
        <v>629</v>
      </c>
      <c r="B1886" t="s">
        <v>361</v>
      </c>
      <c r="C1886" t="s">
        <v>95</v>
      </c>
      <c r="D1886" t="s">
        <v>370</v>
      </c>
      <c r="E1886" t="s">
        <v>371</v>
      </c>
      <c r="F1886" t="s">
        <v>6058</v>
      </c>
      <c r="G1886" s="2" t="str">
        <f>HYPERLINK("https://www.facebook.com/100009524988046/posts/2001572150170265")</f>
        <v>https://www.facebook.com/100009524988046/posts/2001572150170265</v>
      </c>
      <c r="H1886" t="s">
        <v>6062</v>
      </c>
      <c r="I1886" t="s">
        <v>1652</v>
      </c>
      <c r="J1886" s="2" t="str">
        <f t="shared" si="53"/>
        <v>https://www.facebook.com/100009524988046</v>
      </c>
      <c r="K1886">
        <v>125</v>
      </c>
      <c r="L1886" t="s">
        <v>6063</v>
      </c>
      <c r="N1886" t="s">
        <v>13</v>
      </c>
      <c r="O1886" t="s">
        <v>1652</v>
      </c>
      <c r="P1886" s="2" t="str">
        <f t="shared" si="54"/>
        <v>https://www.facebook.com/100009524988046</v>
      </c>
      <c r="Q1886">
        <v>125</v>
      </c>
      <c r="R1886" t="s">
        <v>6067</v>
      </c>
    </row>
    <row r="1887" spans="1:19" ht="14.25" customHeight="1" x14ac:dyDescent="0.3">
      <c r="A1887" t="s">
        <v>629</v>
      </c>
      <c r="B1887" t="s">
        <v>361</v>
      </c>
      <c r="C1887" t="s">
        <v>95</v>
      </c>
      <c r="D1887" t="s">
        <v>370</v>
      </c>
      <c r="E1887" t="s">
        <v>371</v>
      </c>
      <c r="F1887" t="s">
        <v>6058</v>
      </c>
      <c r="G1887" s="2" t="str">
        <f>HYPERLINK("https://www.facebook.com/100009524988046/posts/2001572133503600")</f>
        <v>https://www.facebook.com/100009524988046/posts/2001572133503600</v>
      </c>
      <c r="H1887" t="s">
        <v>6062</v>
      </c>
      <c r="I1887" t="s">
        <v>1652</v>
      </c>
      <c r="J1887" s="2" t="str">
        <f t="shared" si="53"/>
        <v>https://www.facebook.com/100009524988046</v>
      </c>
      <c r="K1887">
        <v>125</v>
      </c>
      <c r="L1887" t="s">
        <v>6063</v>
      </c>
      <c r="N1887" t="s">
        <v>13</v>
      </c>
      <c r="O1887" t="s">
        <v>1652</v>
      </c>
      <c r="P1887" s="2" t="str">
        <f t="shared" si="54"/>
        <v>https://www.facebook.com/100009524988046</v>
      </c>
      <c r="Q1887">
        <v>125</v>
      </c>
      <c r="R1887" t="s">
        <v>6067</v>
      </c>
    </row>
    <row r="1888" spans="1:19" ht="14.25" customHeight="1" x14ac:dyDescent="0.3">
      <c r="A1888" t="s">
        <v>629</v>
      </c>
      <c r="B1888" t="s">
        <v>361</v>
      </c>
      <c r="C1888" t="s">
        <v>95</v>
      </c>
      <c r="D1888" t="s">
        <v>370</v>
      </c>
      <c r="E1888" t="s">
        <v>371</v>
      </c>
      <c r="F1888" t="s">
        <v>6058</v>
      </c>
      <c r="G1888" s="2" t="str">
        <f>HYPERLINK("https://www.facebook.com/100009524988046/posts/2001572136836933")</f>
        <v>https://www.facebook.com/100009524988046/posts/2001572136836933</v>
      </c>
      <c r="H1888" t="s">
        <v>6062</v>
      </c>
      <c r="I1888" t="s">
        <v>1652</v>
      </c>
      <c r="J1888" s="2" t="str">
        <f t="shared" si="53"/>
        <v>https://www.facebook.com/100009524988046</v>
      </c>
      <c r="K1888">
        <v>125</v>
      </c>
      <c r="L1888" t="s">
        <v>6063</v>
      </c>
      <c r="N1888" t="s">
        <v>13</v>
      </c>
      <c r="O1888" t="s">
        <v>1652</v>
      </c>
      <c r="P1888" s="2" t="str">
        <f t="shared" si="54"/>
        <v>https://www.facebook.com/100009524988046</v>
      </c>
      <c r="Q1888">
        <v>125</v>
      </c>
      <c r="R1888" t="s">
        <v>6067</v>
      </c>
    </row>
    <row r="1889" spans="1:19" ht="14.25" customHeight="1" x14ac:dyDescent="0.3">
      <c r="A1889" t="s">
        <v>629</v>
      </c>
      <c r="B1889" t="s">
        <v>361</v>
      </c>
      <c r="C1889" t="s">
        <v>95</v>
      </c>
      <c r="D1889" t="s">
        <v>370</v>
      </c>
      <c r="E1889" t="s">
        <v>371</v>
      </c>
      <c r="F1889" t="s">
        <v>6058</v>
      </c>
      <c r="G1889" s="2" t="str">
        <f>HYPERLINK("https://www.facebook.com/100009524988046/posts/2001572126836934")</f>
        <v>https://www.facebook.com/100009524988046/posts/2001572126836934</v>
      </c>
      <c r="H1889" t="s">
        <v>6062</v>
      </c>
      <c r="I1889" t="s">
        <v>1652</v>
      </c>
      <c r="J1889" s="2" t="str">
        <f t="shared" si="53"/>
        <v>https://www.facebook.com/100009524988046</v>
      </c>
      <c r="K1889">
        <v>125</v>
      </c>
      <c r="L1889" t="s">
        <v>6063</v>
      </c>
      <c r="N1889" t="s">
        <v>13</v>
      </c>
      <c r="O1889" t="s">
        <v>1652</v>
      </c>
      <c r="P1889" s="2" t="str">
        <f t="shared" si="54"/>
        <v>https://www.facebook.com/100009524988046</v>
      </c>
      <c r="Q1889">
        <v>125</v>
      </c>
      <c r="R1889" t="s">
        <v>6067</v>
      </c>
    </row>
    <row r="1890" spans="1:19" ht="14.25" customHeight="1" x14ac:dyDescent="0.3">
      <c r="A1890" t="s">
        <v>629</v>
      </c>
      <c r="B1890" t="s">
        <v>361</v>
      </c>
      <c r="C1890" t="s">
        <v>95</v>
      </c>
      <c r="D1890" t="s">
        <v>370</v>
      </c>
      <c r="E1890" t="s">
        <v>371</v>
      </c>
      <c r="F1890" t="s">
        <v>6058</v>
      </c>
      <c r="G1890" s="2" t="str">
        <f>HYPERLINK("https://www.facebook.com/100009524988046/posts/2001572100170270")</f>
        <v>https://www.facebook.com/100009524988046/posts/2001572100170270</v>
      </c>
      <c r="H1890" t="s">
        <v>6062</v>
      </c>
      <c r="I1890" t="s">
        <v>1652</v>
      </c>
      <c r="J1890" s="2" t="str">
        <f t="shared" si="53"/>
        <v>https://www.facebook.com/100009524988046</v>
      </c>
      <c r="K1890">
        <v>125</v>
      </c>
      <c r="L1890" t="s">
        <v>6063</v>
      </c>
      <c r="N1890" t="s">
        <v>13</v>
      </c>
      <c r="O1890" t="s">
        <v>1652</v>
      </c>
      <c r="P1890" s="2" t="str">
        <f t="shared" si="54"/>
        <v>https://www.facebook.com/100009524988046</v>
      </c>
      <c r="Q1890">
        <v>125</v>
      </c>
      <c r="R1890" t="s">
        <v>6067</v>
      </c>
    </row>
    <row r="1891" spans="1:19" ht="14.25" customHeight="1" x14ac:dyDescent="0.3">
      <c r="A1891" t="s">
        <v>629</v>
      </c>
      <c r="B1891" t="s">
        <v>393</v>
      </c>
      <c r="C1891" t="s">
        <v>95</v>
      </c>
      <c r="D1891" t="s">
        <v>370</v>
      </c>
      <c r="E1891" t="s">
        <v>371</v>
      </c>
      <c r="F1891" t="s">
        <v>6058</v>
      </c>
      <c r="G1891" s="2" t="str">
        <f>HYPERLINK("https://www.facebook.com/100013899463282/posts/401049813701664")</f>
        <v>https://www.facebook.com/100013899463282/posts/401049813701664</v>
      </c>
      <c r="H1891" t="s">
        <v>6062</v>
      </c>
      <c r="I1891" t="s">
        <v>1689</v>
      </c>
      <c r="J1891" s="2" t="str">
        <f>HYPERLINK("https://www.facebook.com/100013899463282")</f>
        <v>https://www.facebook.com/100013899463282</v>
      </c>
      <c r="K1891">
        <v>1067</v>
      </c>
      <c r="L1891" t="s">
        <v>6063</v>
      </c>
      <c r="N1891" t="s">
        <v>13</v>
      </c>
      <c r="O1891" t="s">
        <v>1689</v>
      </c>
      <c r="P1891" s="2" t="str">
        <f>HYPERLINK("https://www.facebook.com/100013899463282")</f>
        <v>https://www.facebook.com/100013899463282</v>
      </c>
      <c r="Q1891">
        <v>1067</v>
      </c>
      <c r="R1891" t="s">
        <v>6067</v>
      </c>
    </row>
    <row r="1892" spans="1:19" ht="14.25" customHeight="1" x14ac:dyDescent="0.3">
      <c r="A1892" t="s">
        <v>4995</v>
      </c>
      <c r="B1892" t="s">
        <v>3912</v>
      </c>
      <c r="C1892" t="s">
        <v>3538</v>
      </c>
      <c r="D1892" t="s">
        <v>5117</v>
      </c>
      <c r="E1892" t="s">
        <v>5118</v>
      </c>
      <c r="F1892" t="s">
        <v>6059</v>
      </c>
      <c r="G1892" s="2" t="str">
        <f>HYPERLINK("https://www.facebook.com/100008916314935/posts/1781863062120887?comment_id=1782328458741014")</f>
        <v>https://www.facebook.com/100008916314935/posts/1781863062120887?comment_id=1782328458741014</v>
      </c>
      <c r="H1892" t="s">
        <v>6062</v>
      </c>
      <c r="I1892" t="s">
        <v>5119</v>
      </c>
      <c r="J1892" s="2" t="str">
        <f>HYPERLINK("https://www.facebook.com/100001033819207")</f>
        <v>https://www.facebook.com/100001033819207</v>
      </c>
      <c r="K1892">
        <v>1046</v>
      </c>
      <c r="L1892" t="s">
        <v>6063</v>
      </c>
      <c r="N1892" t="s">
        <v>13</v>
      </c>
      <c r="O1892" t="s">
        <v>5120</v>
      </c>
      <c r="P1892" s="2" t="str">
        <f>HYPERLINK("https://www.facebook.com/100008916314935")</f>
        <v>https://www.facebook.com/100008916314935</v>
      </c>
      <c r="Q1892">
        <v>82</v>
      </c>
      <c r="R1892" t="s">
        <v>6067</v>
      </c>
      <c r="S1892" t="s">
        <v>6073</v>
      </c>
    </row>
    <row r="1893" spans="1:19" ht="14.25" customHeight="1" x14ac:dyDescent="0.3">
      <c r="A1893" t="s">
        <v>629</v>
      </c>
      <c r="B1893" t="s">
        <v>338</v>
      </c>
      <c r="C1893" t="s">
        <v>95</v>
      </c>
      <c r="D1893" t="s">
        <v>370</v>
      </c>
      <c r="E1893" t="s">
        <v>371</v>
      </c>
      <c r="F1893" t="s">
        <v>6058</v>
      </c>
      <c r="G1893" s="2" t="str">
        <f>HYPERLINK("https://www.facebook.com/100022187830501/posts/219581022124824")</f>
        <v>https://www.facebook.com/100022187830501/posts/219581022124824</v>
      </c>
      <c r="H1893" t="s">
        <v>6062</v>
      </c>
      <c r="I1893" t="s">
        <v>1542</v>
      </c>
      <c r="J1893" s="2" t="str">
        <f>HYPERLINK("https://www.facebook.com/100022187830501")</f>
        <v>https://www.facebook.com/100022187830501</v>
      </c>
      <c r="K1893">
        <v>1605</v>
      </c>
      <c r="L1893" t="s">
        <v>6063</v>
      </c>
      <c r="N1893" t="s">
        <v>13</v>
      </c>
      <c r="O1893" t="s">
        <v>1542</v>
      </c>
      <c r="P1893" s="2" t="str">
        <f>HYPERLINK("https://www.facebook.com/100022187830501")</f>
        <v>https://www.facebook.com/100022187830501</v>
      </c>
      <c r="Q1893">
        <v>1605</v>
      </c>
      <c r="R1893" t="s">
        <v>6067</v>
      </c>
    </row>
    <row r="1894" spans="1:19" ht="14.25" customHeight="1" x14ac:dyDescent="0.3">
      <c r="A1894" t="s">
        <v>3527</v>
      </c>
      <c r="B1894" t="s">
        <v>1302</v>
      </c>
      <c r="C1894" t="s">
        <v>95</v>
      </c>
      <c r="D1894" t="s">
        <v>2196</v>
      </c>
      <c r="E1894" t="s">
        <v>4136</v>
      </c>
      <c r="F1894" t="s">
        <v>6059</v>
      </c>
      <c r="G1894" s="2" t="str">
        <f>HYPERLINK("https://www.facebook.com/100001415260849/posts/1744734525583706?comment_id=1744809305576228")</f>
        <v>https://www.facebook.com/100001415260849/posts/1744734525583706?comment_id=1744809305576228</v>
      </c>
      <c r="H1894" t="s">
        <v>6062</v>
      </c>
      <c r="I1894" t="s">
        <v>2932</v>
      </c>
      <c r="J1894" s="2" t="str">
        <f>HYPERLINK("https://www.facebook.com/100000560024798")</f>
        <v>https://www.facebook.com/100000560024798</v>
      </c>
      <c r="K1894">
        <v>31456</v>
      </c>
      <c r="L1894" t="s">
        <v>6063</v>
      </c>
      <c r="N1894" t="s">
        <v>13</v>
      </c>
      <c r="O1894" t="s">
        <v>2199</v>
      </c>
      <c r="P1894" s="2" t="str">
        <f>HYPERLINK("https://www.facebook.com/100001415260849")</f>
        <v>https://www.facebook.com/100001415260849</v>
      </c>
      <c r="Q1894">
        <v>0</v>
      </c>
      <c r="R1894" t="s">
        <v>6067</v>
      </c>
      <c r="S1894" t="s">
        <v>6073</v>
      </c>
    </row>
    <row r="1895" spans="1:19" ht="14.25" customHeight="1" x14ac:dyDescent="0.3">
      <c r="A1895" t="s">
        <v>629</v>
      </c>
      <c r="B1895" t="s">
        <v>1941</v>
      </c>
      <c r="C1895" t="s">
        <v>95</v>
      </c>
      <c r="D1895" t="s">
        <v>370</v>
      </c>
      <c r="E1895" t="s">
        <v>371</v>
      </c>
      <c r="F1895" t="s">
        <v>6058</v>
      </c>
      <c r="G1895" s="2" t="str">
        <f>HYPERLINK("https://www.facebook.com/100001637247185/posts/1897761930288363")</f>
        <v>https://www.facebook.com/100001637247185/posts/1897761930288363</v>
      </c>
      <c r="H1895" t="s">
        <v>6062</v>
      </c>
      <c r="I1895" t="s">
        <v>1942</v>
      </c>
      <c r="J1895" s="2" t="str">
        <f>HYPERLINK("https://www.facebook.com/100001637247185")</f>
        <v>https://www.facebook.com/100001637247185</v>
      </c>
      <c r="K1895">
        <v>227</v>
      </c>
      <c r="L1895" t="s">
        <v>6063</v>
      </c>
      <c r="N1895" t="s">
        <v>13</v>
      </c>
      <c r="O1895" t="s">
        <v>1942</v>
      </c>
      <c r="P1895" s="2" t="str">
        <f>HYPERLINK("https://www.facebook.com/100001637247185")</f>
        <v>https://www.facebook.com/100001637247185</v>
      </c>
      <c r="Q1895">
        <v>227</v>
      </c>
      <c r="R1895" t="s">
        <v>6067</v>
      </c>
      <c r="S1895" t="s">
        <v>6073</v>
      </c>
    </row>
    <row r="1896" spans="1:19" ht="14.25" customHeight="1" x14ac:dyDescent="0.3">
      <c r="A1896" t="s">
        <v>5409</v>
      </c>
      <c r="B1896" t="s">
        <v>3885</v>
      </c>
      <c r="C1896" t="s">
        <v>3538</v>
      </c>
      <c r="D1896" t="s">
        <v>5565</v>
      </c>
      <c r="E1896" t="s">
        <v>5566</v>
      </c>
      <c r="F1896" t="s">
        <v>6056</v>
      </c>
      <c r="G1896" s="2" t="str">
        <f>HYPERLINK("https://www.facebook.com/100001707580325/posts/1617909168275987")</f>
        <v>https://www.facebook.com/100001707580325/posts/1617909168275987</v>
      </c>
      <c r="H1896" t="s">
        <v>6062</v>
      </c>
      <c r="I1896" t="s">
        <v>5564</v>
      </c>
      <c r="J1896" s="2" t="str">
        <f>HYPERLINK("https://www.facebook.com/100001707580325")</f>
        <v>https://www.facebook.com/100001707580325</v>
      </c>
      <c r="K1896">
        <v>571</v>
      </c>
      <c r="L1896" t="s">
        <v>6063</v>
      </c>
      <c r="N1896" t="s">
        <v>13</v>
      </c>
      <c r="O1896" t="s">
        <v>5564</v>
      </c>
      <c r="P1896" s="2" t="str">
        <f>HYPERLINK("https://www.facebook.com/100001707580325")</f>
        <v>https://www.facebook.com/100001707580325</v>
      </c>
      <c r="Q1896">
        <v>571</v>
      </c>
      <c r="R1896" t="s">
        <v>6067</v>
      </c>
      <c r="S1896" t="s">
        <v>6073</v>
      </c>
    </row>
    <row r="1897" spans="1:19" ht="14.25" customHeight="1" x14ac:dyDescent="0.3">
      <c r="A1897" t="s">
        <v>5409</v>
      </c>
      <c r="B1897" t="s">
        <v>3885</v>
      </c>
      <c r="C1897" t="s">
        <v>3538</v>
      </c>
      <c r="D1897" t="s">
        <v>5562</v>
      </c>
      <c r="E1897" t="s">
        <v>5563</v>
      </c>
      <c r="F1897" t="s">
        <v>6058</v>
      </c>
      <c r="G1897" s="2" t="str">
        <f>HYPERLINK("https://www.facebook.com/100001707580325/posts/1617909304942640")</f>
        <v>https://www.facebook.com/100001707580325/posts/1617909304942640</v>
      </c>
      <c r="H1897" t="s">
        <v>6062</v>
      </c>
      <c r="I1897" t="s">
        <v>5564</v>
      </c>
      <c r="J1897" s="2" t="str">
        <f>HYPERLINK("https://www.facebook.com/100001707580325")</f>
        <v>https://www.facebook.com/100001707580325</v>
      </c>
      <c r="K1897">
        <v>571</v>
      </c>
      <c r="L1897" t="s">
        <v>6063</v>
      </c>
      <c r="N1897" t="s">
        <v>13</v>
      </c>
      <c r="O1897" t="s">
        <v>5564</v>
      </c>
      <c r="P1897" s="2" t="str">
        <f>HYPERLINK("https://www.facebook.com/100001707580325")</f>
        <v>https://www.facebook.com/100001707580325</v>
      </c>
      <c r="Q1897">
        <v>571</v>
      </c>
      <c r="R1897" t="s">
        <v>6067</v>
      </c>
      <c r="S1897" t="s">
        <v>6073</v>
      </c>
    </row>
    <row r="1898" spans="1:19" ht="14.25" customHeight="1" x14ac:dyDescent="0.3">
      <c r="A1898" t="s">
        <v>629</v>
      </c>
      <c r="B1898" t="s">
        <v>1818</v>
      </c>
      <c r="C1898" t="s">
        <v>95</v>
      </c>
      <c r="D1898" t="s">
        <v>370</v>
      </c>
      <c r="E1898" t="s">
        <v>371</v>
      </c>
      <c r="F1898" t="s">
        <v>6058</v>
      </c>
      <c r="G1898" s="2" t="str">
        <f>HYPERLINK("https://www.facebook.com/100008692639058/posts/1851112038521866")</f>
        <v>https://www.facebook.com/100008692639058/posts/1851112038521866</v>
      </c>
      <c r="H1898" t="s">
        <v>6062</v>
      </c>
      <c r="I1898" t="s">
        <v>1819</v>
      </c>
      <c r="J1898" s="2" t="str">
        <f>HYPERLINK("https://www.facebook.com/100008692639058")</f>
        <v>https://www.facebook.com/100008692639058</v>
      </c>
      <c r="K1898">
        <v>1292</v>
      </c>
      <c r="L1898" t="s">
        <v>6063</v>
      </c>
      <c r="N1898" t="s">
        <v>13</v>
      </c>
      <c r="O1898" t="s">
        <v>1819</v>
      </c>
      <c r="P1898" s="2" t="str">
        <f>HYPERLINK("https://www.facebook.com/100008692639058")</f>
        <v>https://www.facebook.com/100008692639058</v>
      </c>
      <c r="Q1898">
        <v>1292</v>
      </c>
      <c r="R1898" t="s">
        <v>6067</v>
      </c>
      <c r="S1898" t="s">
        <v>6073</v>
      </c>
    </row>
    <row r="1899" spans="1:19" ht="14.25" customHeight="1" x14ac:dyDescent="0.3">
      <c r="A1899" t="s">
        <v>5409</v>
      </c>
      <c r="B1899" t="s">
        <v>329</v>
      </c>
      <c r="C1899" t="s">
        <v>3538</v>
      </c>
      <c r="D1899" t="s">
        <v>4318</v>
      </c>
      <c r="E1899" t="s">
        <v>5429</v>
      </c>
      <c r="F1899" t="s">
        <v>6058</v>
      </c>
      <c r="G1899" s="2" t="str">
        <f>HYPERLINK("https://www.facebook.com/100001470262609/posts/1770222686370056")</f>
        <v>https://www.facebook.com/100001470262609/posts/1770222686370056</v>
      </c>
      <c r="H1899" t="s">
        <v>6062</v>
      </c>
      <c r="I1899" t="s">
        <v>5837</v>
      </c>
      <c r="J1899" s="2" t="str">
        <f>HYPERLINK("https://www.facebook.com/100001470262609")</f>
        <v>https://www.facebook.com/100001470262609</v>
      </c>
      <c r="K1899">
        <v>744</v>
      </c>
      <c r="L1899" t="s">
        <v>6063</v>
      </c>
      <c r="N1899" t="s">
        <v>13</v>
      </c>
      <c r="O1899" t="s">
        <v>5837</v>
      </c>
      <c r="P1899" s="2" t="str">
        <f>HYPERLINK("https://www.facebook.com/100001470262609")</f>
        <v>https://www.facebook.com/100001470262609</v>
      </c>
      <c r="Q1899">
        <v>744</v>
      </c>
      <c r="R1899" t="s">
        <v>6067</v>
      </c>
      <c r="S1899" t="s">
        <v>6073</v>
      </c>
    </row>
    <row r="1900" spans="1:19" ht="14.25" customHeight="1" x14ac:dyDescent="0.3">
      <c r="A1900" t="s">
        <v>629</v>
      </c>
      <c r="B1900" t="s">
        <v>1286</v>
      </c>
      <c r="C1900" t="s">
        <v>95</v>
      </c>
      <c r="D1900" t="s">
        <v>10</v>
      </c>
      <c r="E1900" t="s">
        <v>1287</v>
      </c>
      <c r="F1900" t="s">
        <v>6059</v>
      </c>
      <c r="G1900" s="2" t="str">
        <f>HYPERLINK("https://www.facebook.com/762053551/posts/10156366210158552?comment_id=10156366218113552")</f>
        <v>https://www.facebook.com/762053551/posts/10156366210158552?comment_id=10156366218113552</v>
      </c>
      <c r="H1900" t="s">
        <v>6062</v>
      </c>
      <c r="I1900" t="s">
        <v>1288</v>
      </c>
      <c r="J1900" s="2" t="str">
        <f>HYPERLINK("https://www.facebook.com/100001863308883")</f>
        <v>https://www.facebook.com/100001863308883</v>
      </c>
      <c r="K1900">
        <v>472</v>
      </c>
      <c r="L1900" t="s">
        <v>6063</v>
      </c>
      <c r="N1900" t="s">
        <v>13</v>
      </c>
      <c r="O1900" t="s">
        <v>14</v>
      </c>
      <c r="P1900" s="2" t="str">
        <f>HYPERLINK("https://www.facebook.com/762053551")</f>
        <v>https://www.facebook.com/762053551</v>
      </c>
      <c r="Q1900">
        <v>102347</v>
      </c>
      <c r="R1900" t="s">
        <v>6067</v>
      </c>
      <c r="S1900" t="s">
        <v>6073</v>
      </c>
    </row>
    <row r="1901" spans="1:19" ht="14.25" customHeight="1" x14ac:dyDescent="0.3">
      <c r="A1901" t="s">
        <v>629</v>
      </c>
      <c r="B1901" t="s">
        <v>1722</v>
      </c>
      <c r="C1901" t="s">
        <v>95</v>
      </c>
      <c r="D1901" t="s">
        <v>370</v>
      </c>
      <c r="E1901" t="s">
        <v>371</v>
      </c>
      <c r="F1901" t="s">
        <v>6058</v>
      </c>
      <c r="G1901" s="2" t="str">
        <f>HYPERLINK("https://www.facebook.com/100001839295720/posts/1926544107416880")</f>
        <v>https://www.facebook.com/100001839295720/posts/1926544107416880</v>
      </c>
      <c r="H1901" t="s">
        <v>6062</v>
      </c>
      <c r="I1901" t="s">
        <v>1724</v>
      </c>
      <c r="J1901" s="2" t="str">
        <f>HYPERLINK("https://www.facebook.com/100001839295720")</f>
        <v>https://www.facebook.com/100001839295720</v>
      </c>
      <c r="K1901">
        <v>1930</v>
      </c>
      <c r="L1901" t="s">
        <v>6063</v>
      </c>
      <c r="N1901" t="s">
        <v>13</v>
      </c>
      <c r="O1901" t="s">
        <v>1724</v>
      </c>
      <c r="P1901" s="2" t="str">
        <f>HYPERLINK("https://www.facebook.com/100001839295720")</f>
        <v>https://www.facebook.com/100001839295720</v>
      </c>
      <c r="Q1901">
        <v>1930</v>
      </c>
      <c r="R1901" t="s">
        <v>6067</v>
      </c>
      <c r="S1901" t="s">
        <v>6072</v>
      </c>
    </row>
    <row r="1902" spans="1:19" ht="14.25" customHeight="1" x14ac:dyDescent="0.3">
      <c r="A1902" t="s">
        <v>2225</v>
      </c>
      <c r="B1902" t="s">
        <v>2824</v>
      </c>
      <c r="C1902" t="s">
        <v>95</v>
      </c>
      <c r="D1902" t="s">
        <v>544</v>
      </c>
      <c r="E1902" t="s">
        <v>545</v>
      </c>
      <c r="F1902" t="s">
        <v>6058</v>
      </c>
      <c r="G1902" s="2" t="str">
        <f>HYPERLINK("https://www.facebook.com/100017576881099/posts/205044176758144")</f>
        <v>https://www.facebook.com/100017576881099/posts/205044176758144</v>
      </c>
      <c r="H1902" t="s">
        <v>6062</v>
      </c>
      <c r="I1902" t="s">
        <v>2826</v>
      </c>
      <c r="J1902" s="2" t="str">
        <f>HYPERLINK("https://www.facebook.com/100017576881099")</f>
        <v>https://www.facebook.com/100017576881099</v>
      </c>
      <c r="K1902">
        <v>371</v>
      </c>
      <c r="L1902" t="s">
        <v>6063</v>
      </c>
      <c r="N1902" t="s">
        <v>13</v>
      </c>
      <c r="O1902" t="s">
        <v>2826</v>
      </c>
      <c r="P1902" s="2" t="str">
        <f>HYPERLINK("https://www.facebook.com/100017576881099")</f>
        <v>https://www.facebook.com/100017576881099</v>
      </c>
      <c r="Q1902">
        <v>371</v>
      </c>
      <c r="R1902" t="s">
        <v>6067</v>
      </c>
      <c r="S1902" t="s">
        <v>6103</v>
      </c>
    </row>
    <row r="1903" spans="1:19" ht="14.25" customHeight="1" x14ac:dyDescent="0.3">
      <c r="A1903" t="s">
        <v>629</v>
      </c>
      <c r="B1903" t="s">
        <v>1615</v>
      </c>
      <c r="C1903" t="s">
        <v>95</v>
      </c>
      <c r="D1903" t="s">
        <v>370</v>
      </c>
      <c r="E1903" t="s">
        <v>371</v>
      </c>
      <c r="F1903" t="s">
        <v>6058</v>
      </c>
      <c r="G1903" s="2" t="str">
        <f>HYPERLINK("https://www.facebook.com/100022015308607/posts/228157924594716")</f>
        <v>https://www.facebook.com/100022015308607/posts/228157924594716</v>
      </c>
      <c r="H1903" t="s">
        <v>6062</v>
      </c>
      <c r="I1903" t="s">
        <v>1617</v>
      </c>
      <c r="J1903" s="2" t="str">
        <f>HYPERLINK("https://www.facebook.com/100022015308607")</f>
        <v>https://www.facebook.com/100022015308607</v>
      </c>
      <c r="K1903">
        <v>224</v>
      </c>
      <c r="L1903" t="s">
        <v>6063</v>
      </c>
      <c r="N1903" t="s">
        <v>13</v>
      </c>
      <c r="O1903" t="s">
        <v>1617</v>
      </c>
      <c r="P1903" s="2" t="str">
        <f>HYPERLINK("https://www.facebook.com/100022015308607")</f>
        <v>https://www.facebook.com/100022015308607</v>
      </c>
      <c r="Q1903">
        <v>224</v>
      </c>
      <c r="R1903" t="s">
        <v>6067</v>
      </c>
    </row>
    <row r="1904" spans="1:19" ht="14.25" customHeight="1" x14ac:dyDescent="0.3">
      <c r="A1904" t="s">
        <v>2225</v>
      </c>
      <c r="B1904" t="s">
        <v>2494</v>
      </c>
      <c r="C1904" t="s">
        <v>95</v>
      </c>
      <c r="D1904" t="s">
        <v>853</v>
      </c>
      <c r="E1904" t="s">
        <v>2500</v>
      </c>
      <c r="F1904" t="s">
        <v>6059</v>
      </c>
      <c r="G1904" s="2" t="str">
        <f>HYPERLINK("https://www.facebook.com/100008934274771/posts/1810262525948206?comment_id=1810291895945269")</f>
        <v>https://www.facebook.com/100008934274771/posts/1810262525948206?comment_id=1810291895945269</v>
      </c>
      <c r="H1904" t="s">
        <v>6062</v>
      </c>
      <c r="I1904" t="s">
        <v>2501</v>
      </c>
      <c r="J1904" s="2" t="str">
        <f>HYPERLINK("https://www.facebook.com/100000967055974")</f>
        <v>https://www.facebook.com/100000967055974</v>
      </c>
      <c r="K1904">
        <v>542</v>
      </c>
      <c r="L1904" t="s">
        <v>6063</v>
      </c>
      <c r="N1904" t="s">
        <v>13</v>
      </c>
      <c r="O1904" t="s">
        <v>856</v>
      </c>
      <c r="P1904" s="2" t="str">
        <f>HYPERLINK("https://www.facebook.com/100008934274771")</f>
        <v>https://www.facebook.com/100008934274771</v>
      </c>
      <c r="Q1904">
        <v>10395</v>
      </c>
      <c r="R1904" t="s">
        <v>6067</v>
      </c>
      <c r="S1904" t="s">
        <v>6073</v>
      </c>
    </row>
    <row r="1905" spans="1:19" ht="14.25" customHeight="1" x14ac:dyDescent="0.3">
      <c r="A1905" t="s">
        <v>1</v>
      </c>
      <c r="B1905" t="s">
        <v>435</v>
      </c>
      <c r="C1905" t="s">
        <v>95</v>
      </c>
      <c r="D1905" t="s">
        <v>438</v>
      </c>
      <c r="E1905" t="s">
        <v>439</v>
      </c>
      <c r="F1905" t="s">
        <v>6057</v>
      </c>
      <c r="G1905" s="2" t="str">
        <f>HYPERLINK("https://www.facebook.com/100001986813942/posts/1640567849352760")</f>
        <v>https://www.facebook.com/100001986813942/posts/1640567849352760</v>
      </c>
      <c r="H1905" t="s">
        <v>6062</v>
      </c>
      <c r="I1905" t="s">
        <v>440</v>
      </c>
      <c r="J1905" s="2" t="str">
        <f>HYPERLINK("https://www.facebook.com/100001986813942")</f>
        <v>https://www.facebook.com/100001986813942</v>
      </c>
      <c r="K1905">
        <v>73</v>
      </c>
      <c r="L1905" t="s">
        <v>6063</v>
      </c>
      <c r="N1905" t="s">
        <v>13</v>
      </c>
      <c r="O1905" t="s">
        <v>440</v>
      </c>
      <c r="P1905" s="2" t="str">
        <f>HYPERLINK("https://www.facebook.com/100001986813942")</f>
        <v>https://www.facebook.com/100001986813942</v>
      </c>
      <c r="Q1905">
        <v>73</v>
      </c>
      <c r="R1905" t="s">
        <v>6067</v>
      </c>
      <c r="S1905" t="s">
        <v>6073</v>
      </c>
    </row>
    <row r="1906" spans="1:19" ht="14.25" customHeight="1" x14ac:dyDescent="0.3">
      <c r="A1906" t="s">
        <v>629</v>
      </c>
      <c r="B1906" t="s">
        <v>1605</v>
      </c>
      <c r="C1906" t="s">
        <v>95</v>
      </c>
      <c r="D1906" t="s">
        <v>370</v>
      </c>
      <c r="E1906" t="s">
        <v>371</v>
      </c>
      <c r="F1906" t="s">
        <v>6058</v>
      </c>
      <c r="G1906" s="2" t="str">
        <f>HYPERLINK("https://www.facebook.com/100014221748618/posts/374414763042579")</f>
        <v>https://www.facebook.com/100014221748618/posts/374414763042579</v>
      </c>
      <c r="H1906" t="s">
        <v>6062</v>
      </c>
      <c r="I1906" t="s">
        <v>1606</v>
      </c>
      <c r="J1906" s="2" t="str">
        <f>HYPERLINK("https://www.facebook.com/100014221748618")</f>
        <v>https://www.facebook.com/100014221748618</v>
      </c>
      <c r="K1906">
        <v>0</v>
      </c>
      <c r="L1906" t="s">
        <v>6063</v>
      </c>
      <c r="N1906" t="s">
        <v>13</v>
      </c>
      <c r="O1906" t="s">
        <v>1606</v>
      </c>
      <c r="P1906" s="2" t="str">
        <f>HYPERLINK("https://www.facebook.com/100014221748618")</f>
        <v>https://www.facebook.com/100014221748618</v>
      </c>
      <c r="Q1906">
        <v>0</v>
      </c>
      <c r="R1906" t="s">
        <v>6067</v>
      </c>
      <c r="S1906" t="s">
        <v>6073</v>
      </c>
    </row>
    <row r="1907" spans="1:19" ht="14.25" customHeight="1" x14ac:dyDescent="0.3">
      <c r="A1907" t="s">
        <v>2225</v>
      </c>
      <c r="B1907" t="s">
        <v>2494</v>
      </c>
      <c r="C1907" t="s">
        <v>95</v>
      </c>
      <c r="D1907" t="s">
        <v>544</v>
      </c>
      <c r="E1907" t="s">
        <v>545</v>
      </c>
      <c r="F1907" t="s">
        <v>6058</v>
      </c>
      <c r="G1907" s="2" t="str">
        <f>HYPERLINK("https://www.facebook.com/100014713873651/posts/364720944028365")</f>
        <v>https://www.facebook.com/100014713873651/posts/364720944028365</v>
      </c>
      <c r="H1907" t="s">
        <v>6062</v>
      </c>
      <c r="I1907" t="s">
        <v>2511</v>
      </c>
      <c r="J1907" s="2" t="str">
        <f>HYPERLINK("https://www.facebook.com/100014713873651")</f>
        <v>https://www.facebook.com/100014713873651</v>
      </c>
      <c r="K1907">
        <v>722</v>
      </c>
      <c r="L1907" t="s">
        <v>6063</v>
      </c>
      <c r="N1907" t="s">
        <v>13</v>
      </c>
      <c r="O1907" t="s">
        <v>2511</v>
      </c>
      <c r="P1907" s="2" t="str">
        <f>HYPERLINK("https://www.facebook.com/100014713873651")</f>
        <v>https://www.facebook.com/100014713873651</v>
      </c>
      <c r="Q1907">
        <v>722</v>
      </c>
      <c r="R1907" t="s">
        <v>6067</v>
      </c>
      <c r="S1907" t="s">
        <v>6073</v>
      </c>
    </row>
    <row r="1908" spans="1:19" ht="14.25" customHeight="1" x14ac:dyDescent="0.3">
      <c r="A1908" t="s">
        <v>629</v>
      </c>
      <c r="B1908" t="s">
        <v>365</v>
      </c>
      <c r="C1908" t="s">
        <v>95</v>
      </c>
      <c r="D1908" t="s">
        <v>370</v>
      </c>
      <c r="E1908" t="s">
        <v>371</v>
      </c>
      <c r="F1908" t="s">
        <v>6058</v>
      </c>
      <c r="G1908" s="2" t="str">
        <f>HYPERLINK("https://www.facebook.com/100003533594948/posts/1449144015213371")</f>
        <v>https://www.facebook.com/100003533594948/posts/1449144015213371</v>
      </c>
      <c r="H1908" t="s">
        <v>6062</v>
      </c>
      <c r="I1908" t="s">
        <v>1661</v>
      </c>
      <c r="J1908" s="2" t="str">
        <f>HYPERLINK("https://www.facebook.com/100003533594948")</f>
        <v>https://www.facebook.com/100003533594948</v>
      </c>
      <c r="K1908">
        <v>4941</v>
      </c>
      <c r="L1908" t="s">
        <v>6063</v>
      </c>
      <c r="N1908" t="s">
        <v>13</v>
      </c>
      <c r="O1908" t="s">
        <v>1661</v>
      </c>
      <c r="P1908" s="2" t="str">
        <f>HYPERLINK("https://www.facebook.com/100003533594948")</f>
        <v>https://www.facebook.com/100003533594948</v>
      </c>
      <c r="Q1908">
        <v>4941</v>
      </c>
      <c r="R1908" t="s">
        <v>6067</v>
      </c>
      <c r="S1908" t="s">
        <v>6073</v>
      </c>
    </row>
    <row r="1909" spans="1:19" ht="14.25" customHeight="1" x14ac:dyDescent="0.3">
      <c r="A1909" t="s">
        <v>629</v>
      </c>
      <c r="B1909" t="s">
        <v>354</v>
      </c>
      <c r="C1909" t="s">
        <v>95</v>
      </c>
      <c r="D1909" t="s">
        <v>370</v>
      </c>
      <c r="E1909" t="s">
        <v>371</v>
      </c>
      <c r="F1909" t="s">
        <v>6058</v>
      </c>
      <c r="G1909" s="2" t="str">
        <f>HYPERLINK("https://www.facebook.com/1188546679/posts/10214123709225248")</f>
        <v>https://www.facebook.com/1188546679/posts/10214123709225248</v>
      </c>
      <c r="H1909" t="s">
        <v>6062</v>
      </c>
      <c r="I1909" t="s">
        <v>1607</v>
      </c>
      <c r="J1909" s="2" t="str">
        <f>HYPERLINK("https://www.facebook.com/1188546679")</f>
        <v>https://www.facebook.com/1188546679</v>
      </c>
      <c r="K1909">
        <v>177</v>
      </c>
      <c r="L1909" t="s">
        <v>6063</v>
      </c>
      <c r="N1909" t="s">
        <v>13</v>
      </c>
      <c r="O1909" t="s">
        <v>1607</v>
      </c>
      <c r="P1909" s="2" t="str">
        <f>HYPERLINK("https://www.facebook.com/1188546679")</f>
        <v>https://www.facebook.com/1188546679</v>
      </c>
      <c r="Q1909">
        <v>177</v>
      </c>
      <c r="R1909" t="s">
        <v>6067</v>
      </c>
    </row>
    <row r="1910" spans="1:19" ht="14.25" customHeight="1" x14ac:dyDescent="0.3">
      <c r="A1910" t="s">
        <v>1</v>
      </c>
      <c r="B1910" t="s">
        <v>26</v>
      </c>
      <c r="C1910" t="s">
        <v>27</v>
      </c>
      <c r="D1910" t="s">
        <v>28</v>
      </c>
      <c r="E1910" t="s">
        <v>29</v>
      </c>
      <c r="F1910" t="s">
        <v>6059</v>
      </c>
      <c r="G1910" s="2" t="str">
        <f>HYPERLINK("https://www.facebook.com/100001652702200/posts/1834613723270367?comment_id=1835201006544972")</f>
        <v>https://www.facebook.com/100001652702200/posts/1834613723270367?comment_id=1835201006544972</v>
      </c>
      <c r="H1910" t="s">
        <v>6062</v>
      </c>
      <c r="I1910" t="s">
        <v>30</v>
      </c>
      <c r="J1910" s="2" t="str">
        <f>HYPERLINK("https://www.facebook.com/100001268747140")</f>
        <v>https://www.facebook.com/100001268747140</v>
      </c>
      <c r="K1910">
        <v>434</v>
      </c>
      <c r="L1910" t="s">
        <v>6063</v>
      </c>
      <c r="N1910" t="s">
        <v>13</v>
      </c>
      <c r="O1910" t="s">
        <v>31</v>
      </c>
      <c r="P1910" s="2" t="str">
        <f>HYPERLINK("https://www.facebook.com/100001652702200")</f>
        <v>https://www.facebook.com/100001652702200</v>
      </c>
      <c r="Q1910">
        <v>0</v>
      </c>
      <c r="R1910" t="s">
        <v>6067</v>
      </c>
      <c r="S1910" t="s">
        <v>6073</v>
      </c>
    </row>
    <row r="1911" spans="1:19" ht="14.25" customHeight="1" x14ac:dyDescent="0.3">
      <c r="A1911" t="s">
        <v>629</v>
      </c>
      <c r="B1911" t="s">
        <v>2002</v>
      </c>
      <c r="C1911" t="s">
        <v>95</v>
      </c>
      <c r="D1911" t="s">
        <v>568</v>
      </c>
      <c r="E1911" t="s">
        <v>2003</v>
      </c>
      <c r="F1911" t="s">
        <v>6059</v>
      </c>
      <c r="G1911" s="2" t="str">
        <f>HYPERLINK("https://www.facebook.com/100010421106042/posts/579987695691929?comment_id=580086292348736")</f>
        <v>https://www.facebook.com/100010421106042/posts/579987695691929?comment_id=580086292348736</v>
      </c>
      <c r="H1911" t="s">
        <v>6062</v>
      </c>
      <c r="I1911" t="s">
        <v>2004</v>
      </c>
      <c r="J1911" s="2" t="str">
        <f>HYPERLINK("https://www.facebook.com/100001953155646")</f>
        <v>https://www.facebook.com/100001953155646</v>
      </c>
      <c r="K1911">
        <v>0</v>
      </c>
      <c r="L1911" t="s">
        <v>6063</v>
      </c>
      <c r="N1911" t="s">
        <v>13</v>
      </c>
      <c r="O1911" t="s">
        <v>571</v>
      </c>
      <c r="P1911" s="2" t="str">
        <f>HYPERLINK("https://www.facebook.com/100010421106042")</f>
        <v>https://www.facebook.com/100010421106042</v>
      </c>
      <c r="Q1911">
        <v>2614</v>
      </c>
      <c r="R1911" t="s">
        <v>6067</v>
      </c>
      <c r="S1911" t="s">
        <v>6073</v>
      </c>
    </row>
    <row r="1912" spans="1:19" ht="14.25" customHeight="1" x14ac:dyDescent="0.3">
      <c r="A1912" t="s">
        <v>629</v>
      </c>
      <c r="B1912" t="s">
        <v>294</v>
      </c>
      <c r="C1912" t="s">
        <v>95</v>
      </c>
      <c r="D1912" t="s">
        <v>370</v>
      </c>
      <c r="E1912" t="s">
        <v>371</v>
      </c>
      <c r="F1912" t="s">
        <v>6058</v>
      </c>
      <c r="G1912" s="2" t="str">
        <f>HYPERLINK("https://www.facebook.com/1566313523660360/posts/1892249731066736")</f>
        <v>https://www.facebook.com/1566313523660360/posts/1892249731066736</v>
      </c>
      <c r="H1912" t="s">
        <v>6062</v>
      </c>
      <c r="I1912" t="s">
        <v>1518</v>
      </c>
      <c r="J1912" s="2" t="str">
        <f>HYPERLINK("https://www.facebook.com/100010909244452")</f>
        <v>https://www.facebook.com/100010909244452</v>
      </c>
      <c r="K1912">
        <v>0</v>
      </c>
      <c r="L1912" t="s">
        <v>6063</v>
      </c>
      <c r="N1912" t="s">
        <v>13</v>
      </c>
      <c r="O1912" t="s">
        <v>1519</v>
      </c>
      <c r="P1912" s="2" t="str">
        <f>HYPERLINK("https://www.facebook.com/1566313523660360")</f>
        <v>https://www.facebook.com/1566313523660360</v>
      </c>
      <c r="R1912" t="s">
        <v>6067</v>
      </c>
    </row>
    <row r="1913" spans="1:19" ht="14.25" customHeight="1" x14ac:dyDescent="0.3">
      <c r="A1913" t="s">
        <v>629</v>
      </c>
      <c r="B1913" t="s">
        <v>294</v>
      </c>
      <c r="C1913" t="s">
        <v>95</v>
      </c>
      <c r="D1913" t="s">
        <v>370</v>
      </c>
      <c r="E1913" t="s">
        <v>371</v>
      </c>
      <c r="F1913" t="s">
        <v>6058</v>
      </c>
      <c r="G1913" s="2" t="str">
        <f>HYPERLINK("https://www.facebook.com/1566313523660360/posts/553398965033740")</f>
        <v>https://www.facebook.com/1566313523660360/posts/553398965033740</v>
      </c>
      <c r="H1913" t="s">
        <v>6062</v>
      </c>
      <c r="I1913" t="s">
        <v>1518</v>
      </c>
      <c r="J1913" s="2" t="str">
        <f>HYPERLINK("https://www.facebook.com/100010909244452")</f>
        <v>https://www.facebook.com/100010909244452</v>
      </c>
      <c r="K1913">
        <v>0</v>
      </c>
      <c r="L1913" t="s">
        <v>6063</v>
      </c>
      <c r="N1913" t="s">
        <v>13</v>
      </c>
      <c r="O1913" t="s">
        <v>1519</v>
      </c>
      <c r="P1913" s="2" t="str">
        <f>HYPERLINK("https://www.facebook.com/1566313523660360")</f>
        <v>https://www.facebook.com/1566313523660360</v>
      </c>
      <c r="R1913" t="s">
        <v>6067</v>
      </c>
    </row>
    <row r="1914" spans="1:19" ht="14.25" customHeight="1" x14ac:dyDescent="0.3">
      <c r="A1914" t="s">
        <v>629</v>
      </c>
      <c r="B1914" t="s">
        <v>441</v>
      </c>
      <c r="C1914" t="s">
        <v>95</v>
      </c>
      <c r="D1914" t="s">
        <v>370</v>
      </c>
      <c r="E1914" t="s">
        <v>371</v>
      </c>
      <c r="F1914" t="s">
        <v>6058</v>
      </c>
      <c r="G1914" s="2" t="str">
        <f>HYPERLINK("https://www.facebook.com/100009294240978/posts/1989217831398006")</f>
        <v>https://www.facebook.com/100009294240978/posts/1989217831398006</v>
      </c>
      <c r="H1914" t="s">
        <v>6062</v>
      </c>
      <c r="I1914" t="s">
        <v>1866</v>
      </c>
      <c r="J1914" s="2" t="str">
        <f>HYPERLINK("https://www.facebook.com/100009294240978")</f>
        <v>https://www.facebook.com/100009294240978</v>
      </c>
      <c r="K1914">
        <v>661</v>
      </c>
      <c r="L1914" t="s">
        <v>6063</v>
      </c>
      <c r="N1914" t="s">
        <v>13</v>
      </c>
      <c r="O1914" t="s">
        <v>1866</v>
      </c>
      <c r="P1914" s="2" t="str">
        <f>HYPERLINK("https://www.facebook.com/100009294240978")</f>
        <v>https://www.facebook.com/100009294240978</v>
      </c>
      <c r="Q1914">
        <v>661</v>
      </c>
      <c r="R1914" t="s">
        <v>6067</v>
      </c>
      <c r="S1914" t="s">
        <v>6073</v>
      </c>
    </row>
    <row r="1915" spans="1:19" ht="14.25" customHeight="1" x14ac:dyDescent="0.3">
      <c r="A1915" t="s">
        <v>3527</v>
      </c>
      <c r="B1915" t="s">
        <v>2958</v>
      </c>
      <c r="C1915" t="s">
        <v>95</v>
      </c>
      <c r="D1915" t="s">
        <v>3757</v>
      </c>
      <c r="E1915" t="s">
        <v>3802</v>
      </c>
      <c r="F1915" t="s">
        <v>6059</v>
      </c>
      <c r="G1915" s="2" t="str">
        <f>HYPERLINK("https://www.facebook.com/1676376791/posts/10209685538090004?comment_id=10209708315219418")</f>
        <v>https://www.facebook.com/1676376791/posts/10209685538090004?comment_id=10209708315219418</v>
      </c>
      <c r="H1915" t="s">
        <v>6062</v>
      </c>
      <c r="I1915" t="s">
        <v>3786</v>
      </c>
      <c r="J1915" s="2" t="str">
        <f>HYPERLINK("https://www.facebook.com/673399800")</f>
        <v>https://www.facebook.com/673399800</v>
      </c>
      <c r="K1915">
        <v>845</v>
      </c>
      <c r="L1915" t="s">
        <v>6063</v>
      </c>
      <c r="N1915" t="s">
        <v>13</v>
      </c>
      <c r="O1915" t="s">
        <v>3760</v>
      </c>
      <c r="P1915" s="2" t="str">
        <f>HYPERLINK("https://www.facebook.com/1676376791")</f>
        <v>https://www.facebook.com/1676376791</v>
      </c>
      <c r="Q1915">
        <v>4013</v>
      </c>
      <c r="R1915" t="s">
        <v>6067</v>
      </c>
      <c r="S1915" t="s">
        <v>6073</v>
      </c>
    </row>
    <row r="1916" spans="1:19" ht="14.25" customHeight="1" x14ac:dyDescent="0.3">
      <c r="A1916" t="s">
        <v>3527</v>
      </c>
      <c r="B1916" t="s">
        <v>3783</v>
      </c>
      <c r="C1916" t="s">
        <v>95</v>
      </c>
      <c r="D1916" t="s">
        <v>3757</v>
      </c>
      <c r="E1916" t="s">
        <v>3785</v>
      </c>
      <c r="F1916" t="s">
        <v>6059</v>
      </c>
      <c r="G1916" s="2" t="str">
        <f>HYPERLINK("https://www.facebook.com/1676376791/posts/10209685538090004?comment_id=10209708359460524")</f>
        <v>https://www.facebook.com/1676376791/posts/10209685538090004?comment_id=10209708359460524</v>
      </c>
      <c r="H1916" t="s">
        <v>6062</v>
      </c>
      <c r="I1916" t="s">
        <v>3786</v>
      </c>
      <c r="J1916" s="2" t="str">
        <f>HYPERLINK("https://www.facebook.com/673399800")</f>
        <v>https://www.facebook.com/673399800</v>
      </c>
      <c r="K1916">
        <v>845</v>
      </c>
      <c r="L1916" t="s">
        <v>6063</v>
      </c>
      <c r="N1916" t="s">
        <v>13</v>
      </c>
      <c r="O1916" t="s">
        <v>3760</v>
      </c>
      <c r="P1916" s="2" t="str">
        <f>HYPERLINK("https://www.facebook.com/1676376791")</f>
        <v>https://www.facebook.com/1676376791</v>
      </c>
      <c r="Q1916">
        <v>4013</v>
      </c>
      <c r="R1916" t="s">
        <v>6067</v>
      </c>
      <c r="S1916" t="s">
        <v>6073</v>
      </c>
    </row>
    <row r="1917" spans="1:19" ht="14.25" customHeight="1" x14ac:dyDescent="0.3">
      <c r="A1917" t="s">
        <v>3527</v>
      </c>
      <c r="B1917" t="s">
        <v>843</v>
      </c>
      <c r="C1917" t="s">
        <v>95</v>
      </c>
      <c r="D1917" t="s">
        <v>3757</v>
      </c>
      <c r="E1917" t="s">
        <v>3843</v>
      </c>
      <c r="F1917" t="s">
        <v>6059</v>
      </c>
      <c r="G1917" s="2" t="str">
        <f>HYPERLINK("https://www.facebook.com/1676376791/posts/10209685538090004?comment_id=10209708241577577")</f>
        <v>https://www.facebook.com/1676376791/posts/10209685538090004?comment_id=10209708241577577</v>
      </c>
      <c r="H1917" t="s">
        <v>6062</v>
      </c>
      <c r="I1917" t="s">
        <v>3786</v>
      </c>
      <c r="J1917" s="2" t="str">
        <f>HYPERLINK("https://www.facebook.com/673399800")</f>
        <v>https://www.facebook.com/673399800</v>
      </c>
      <c r="K1917">
        <v>845</v>
      </c>
      <c r="L1917" t="s">
        <v>6063</v>
      </c>
      <c r="N1917" t="s">
        <v>13</v>
      </c>
      <c r="O1917" t="s">
        <v>3760</v>
      </c>
      <c r="P1917" s="2" t="str">
        <f>HYPERLINK("https://www.facebook.com/1676376791")</f>
        <v>https://www.facebook.com/1676376791</v>
      </c>
      <c r="Q1917">
        <v>4013</v>
      </c>
      <c r="R1917" t="s">
        <v>6067</v>
      </c>
      <c r="S1917" t="s">
        <v>6073</v>
      </c>
    </row>
    <row r="1918" spans="1:19" ht="14.25" customHeight="1" x14ac:dyDescent="0.3">
      <c r="A1918" t="s">
        <v>3527</v>
      </c>
      <c r="B1918" t="s">
        <v>3839</v>
      </c>
      <c r="C1918" t="s">
        <v>95</v>
      </c>
      <c r="D1918" t="s">
        <v>3757</v>
      </c>
      <c r="E1918" t="s">
        <v>3840</v>
      </c>
      <c r="F1918" t="s">
        <v>6059</v>
      </c>
      <c r="G1918" s="2" t="str">
        <f>HYPERLINK("https://www.facebook.com/1676376791/posts/10209685538090004?comment_id=10209708249097765")</f>
        <v>https://www.facebook.com/1676376791/posts/10209685538090004?comment_id=10209708249097765</v>
      </c>
      <c r="H1918" t="s">
        <v>6062</v>
      </c>
      <c r="I1918" t="s">
        <v>3786</v>
      </c>
      <c r="J1918" s="2" t="str">
        <f>HYPERLINK("https://www.facebook.com/673399800")</f>
        <v>https://www.facebook.com/673399800</v>
      </c>
      <c r="K1918">
        <v>845</v>
      </c>
      <c r="L1918" t="s">
        <v>6063</v>
      </c>
      <c r="N1918" t="s">
        <v>13</v>
      </c>
      <c r="O1918" t="s">
        <v>3760</v>
      </c>
      <c r="P1918" s="2" t="str">
        <f>HYPERLINK("https://www.facebook.com/1676376791")</f>
        <v>https://www.facebook.com/1676376791</v>
      </c>
      <c r="Q1918">
        <v>4013</v>
      </c>
      <c r="R1918" t="s">
        <v>6067</v>
      </c>
      <c r="S1918" t="s">
        <v>6073</v>
      </c>
    </row>
    <row r="1919" spans="1:19" ht="14.25" customHeight="1" x14ac:dyDescent="0.3">
      <c r="A1919" t="s">
        <v>629</v>
      </c>
      <c r="B1919" t="s">
        <v>2005</v>
      </c>
      <c r="C1919" t="s">
        <v>95</v>
      </c>
      <c r="D1919" t="s">
        <v>370</v>
      </c>
      <c r="E1919" t="s">
        <v>371</v>
      </c>
      <c r="F1919" t="s">
        <v>6058</v>
      </c>
      <c r="G1919" s="2" t="str">
        <f>HYPERLINK("https://www.facebook.com/100007260675458/posts/2002494070002596")</f>
        <v>https://www.facebook.com/100007260675458/posts/2002494070002596</v>
      </c>
      <c r="H1919" t="s">
        <v>6062</v>
      </c>
      <c r="I1919" t="s">
        <v>2006</v>
      </c>
      <c r="J1919" s="2" t="str">
        <f>HYPERLINK("https://www.facebook.com/100007260675458")</f>
        <v>https://www.facebook.com/100007260675458</v>
      </c>
      <c r="K1919">
        <v>6153</v>
      </c>
      <c r="L1919" t="s">
        <v>6063</v>
      </c>
      <c r="N1919" t="s">
        <v>13</v>
      </c>
      <c r="O1919" t="s">
        <v>2006</v>
      </c>
      <c r="P1919" s="2" t="str">
        <f>HYPERLINK("https://www.facebook.com/100007260675458")</f>
        <v>https://www.facebook.com/100007260675458</v>
      </c>
      <c r="Q1919">
        <v>6153</v>
      </c>
      <c r="R1919" t="s">
        <v>6067</v>
      </c>
    </row>
    <row r="1920" spans="1:19" ht="14.25" customHeight="1" x14ac:dyDescent="0.3">
      <c r="A1920" t="s">
        <v>2225</v>
      </c>
      <c r="B1920" t="s">
        <v>742</v>
      </c>
      <c r="C1920" t="s">
        <v>95</v>
      </c>
      <c r="D1920" t="s">
        <v>544</v>
      </c>
      <c r="E1920" t="s">
        <v>545</v>
      </c>
      <c r="F1920" t="s">
        <v>6058</v>
      </c>
      <c r="G1920" s="2" t="str">
        <f>HYPERLINK("https://www.facebook.com/100017727729292/posts/196799337587656")</f>
        <v>https://www.facebook.com/100017727729292/posts/196799337587656</v>
      </c>
      <c r="H1920" t="s">
        <v>6062</v>
      </c>
      <c r="I1920" t="s">
        <v>2669</v>
      </c>
      <c r="J1920" s="2" t="str">
        <f>HYPERLINK("https://www.facebook.com/100017727729292")</f>
        <v>https://www.facebook.com/100017727729292</v>
      </c>
      <c r="K1920">
        <v>3185</v>
      </c>
      <c r="L1920" t="s">
        <v>6063</v>
      </c>
      <c r="N1920" t="s">
        <v>13</v>
      </c>
      <c r="O1920" t="s">
        <v>2669</v>
      </c>
      <c r="P1920" s="2" t="str">
        <f>HYPERLINK("https://www.facebook.com/100017727729292")</f>
        <v>https://www.facebook.com/100017727729292</v>
      </c>
      <c r="Q1920">
        <v>3185</v>
      </c>
      <c r="R1920" t="s">
        <v>6067</v>
      </c>
      <c r="S1920" t="s">
        <v>6073</v>
      </c>
    </row>
    <row r="1921" spans="1:19" ht="14.25" customHeight="1" x14ac:dyDescent="0.3">
      <c r="A1921" t="s">
        <v>2225</v>
      </c>
      <c r="B1921" t="s">
        <v>2413</v>
      </c>
      <c r="C1921" t="s">
        <v>95</v>
      </c>
      <c r="D1921" t="s">
        <v>544</v>
      </c>
      <c r="E1921" t="s">
        <v>545</v>
      </c>
      <c r="F1921" t="s">
        <v>6058</v>
      </c>
      <c r="G1921" s="2" t="str">
        <f>HYPERLINK("https://www.facebook.com/100006226452426/posts/1968009893416540")</f>
        <v>https://www.facebook.com/100006226452426/posts/1968009893416540</v>
      </c>
      <c r="H1921" t="s">
        <v>6062</v>
      </c>
      <c r="I1921" t="s">
        <v>1864</v>
      </c>
      <c r="J1921" s="2" t="str">
        <f>HYPERLINK("https://www.facebook.com/100006226452426")</f>
        <v>https://www.facebook.com/100006226452426</v>
      </c>
      <c r="K1921">
        <v>713</v>
      </c>
      <c r="L1921" t="s">
        <v>6064</v>
      </c>
      <c r="N1921" t="s">
        <v>13</v>
      </c>
      <c r="O1921" t="s">
        <v>1864</v>
      </c>
      <c r="P1921" s="2" t="str">
        <f>HYPERLINK("https://www.facebook.com/100006226452426")</f>
        <v>https://www.facebook.com/100006226452426</v>
      </c>
      <c r="Q1921">
        <v>713</v>
      </c>
      <c r="R1921" t="s">
        <v>6067</v>
      </c>
      <c r="S1921" t="s">
        <v>6073</v>
      </c>
    </row>
    <row r="1922" spans="1:19" ht="14.25" customHeight="1" x14ac:dyDescent="0.3">
      <c r="A1922" t="s">
        <v>2225</v>
      </c>
      <c r="B1922" t="s">
        <v>2680</v>
      </c>
      <c r="C1922" t="s">
        <v>95</v>
      </c>
      <c r="D1922" t="s">
        <v>544</v>
      </c>
      <c r="E1922" t="s">
        <v>545</v>
      </c>
      <c r="F1922" t="s">
        <v>6058</v>
      </c>
      <c r="G1922" s="2" t="str">
        <f>HYPERLINK("https://www.facebook.com/100006226452426/posts/1967996660084530")</f>
        <v>https://www.facebook.com/100006226452426/posts/1967996660084530</v>
      </c>
      <c r="H1922" t="s">
        <v>6062</v>
      </c>
      <c r="I1922" t="s">
        <v>1864</v>
      </c>
      <c r="J1922" s="2" t="str">
        <f>HYPERLINK("https://www.facebook.com/100006226452426")</f>
        <v>https://www.facebook.com/100006226452426</v>
      </c>
      <c r="K1922">
        <v>713</v>
      </c>
      <c r="L1922" t="s">
        <v>6064</v>
      </c>
      <c r="N1922" t="s">
        <v>13</v>
      </c>
      <c r="O1922" t="s">
        <v>1864</v>
      </c>
      <c r="P1922" s="2" t="str">
        <f>HYPERLINK("https://www.facebook.com/100006226452426")</f>
        <v>https://www.facebook.com/100006226452426</v>
      </c>
      <c r="Q1922">
        <v>713</v>
      </c>
      <c r="R1922" t="s">
        <v>6067</v>
      </c>
      <c r="S1922" t="s">
        <v>6073</v>
      </c>
    </row>
    <row r="1923" spans="1:19" ht="14.25" customHeight="1" x14ac:dyDescent="0.3">
      <c r="A1923" t="s">
        <v>2225</v>
      </c>
      <c r="B1923" t="s">
        <v>2723</v>
      </c>
      <c r="C1923" t="s">
        <v>95</v>
      </c>
      <c r="D1923" t="s">
        <v>544</v>
      </c>
      <c r="E1923" t="s">
        <v>545</v>
      </c>
      <c r="F1923" t="s">
        <v>6058</v>
      </c>
      <c r="G1923" s="2" t="str">
        <f>HYPERLINK("https://www.facebook.com/100006226452426/posts/1967994216751441")</f>
        <v>https://www.facebook.com/100006226452426/posts/1967994216751441</v>
      </c>
      <c r="H1923" t="s">
        <v>6062</v>
      </c>
      <c r="I1923" t="s">
        <v>1864</v>
      </c>
      <c r="J1923" s="2" t="str">
        <f>HYPERLINK("https://www.facebook.com/100006226452426")</f>
        <v>https://www.facebook.com/100006226452426</v>
      </c>
      <c r="K1923">
        <v>713</v>
      </c>
      <c r="L1923" t="s">
        <v>6064</v>
      </c>
      <c r="N1923" t="s">
        <v>13</v>
      </c>
      <c r="O1923" t="s">
        <v>1864</v>
      </c>
      <c r="P1923" s="2" t="str">
        <f>HYPERLINK("https://www.facebook.com/100006226452426")</f>
        <v>https://www.facebook.com/100006226452426</v>
      </c>
      <c r="Q1923">
        <v>713</v>
      </c>
      <c r="R1923" t="s">
        <v>6067</v>
      </c>
      <c r="S1923" t="s">
        <v>6073</v>
      </c>
    </row>
    <row r="1924" spans="1:19" ht="14.25" customHeight="1" x14ac:dyDescent="0.3">
      <c r="A1924" t="s">
        <v>629</v>
      </c>
      <c r="B1924" t="s">
        <v>1862</v>
      </c>
      <c r="C1924" t="s">
        <v>95</v>
      </c>
      <c r="D1924" t="s">
        <v>370</v>
      </c>
      <c r="E1924" t="s">
        <v>371</v>
      </c>
      <c r="F1924" t="s">
        <v>6058</v>
      </c>
      <c r="G1924" s="2" t="str">
        <f>HYPERLINK("https://www.facebook.com/100006226452426/posts/1968187290065467")</f>
        <v>https://www.facebook.com/100006226452426/posts/1968187290065467</v>
      </c>
      <c r="H1924" t="s">
        <v>6062</v>
      </c>
      <c r="I1924" t="s">
        <v>1864</v>
      </c>
      <c r="J1924" s="2" t="str">
        <f>HYPERLINK("https://www.facebook.com/100006226452426")</f>
        <v>https://www.facebook.com/100006226452426</v>
      </c>
      <c r="K1924">
        <v>713</v>
      </c>
      <c r="L1924" t="s">
        <v>6064</v>
      </c>
      <c r="N1924" t="s">
        <v>13</v>
      </c>
      <c r="O1924" t="s">
        <v>1864</v>
      </c>
      <c r="P1924" s="2" t="str">
        <f>HYPERLINK("https://www.facebook.com/100006226452426")</f>
        <v>https://www.facebook.com/100006226452426</v>
      </c>
      <c r="Q1924">
        <v>713</v>
      </c>
      <c r="R1924" t="s">
        <v>6067</v>
      </c>
      <c r="S1924" t="s">
        <v>6073</v>
      </c>
    </row>
    <row r="1925" spans="1:19" ht="14.25" customHeight="1" x14ac:dyDescent="0.3">
      <c r="A1925" t="s">
        <v>629</v>
      </c>
      <c r="B1925" t="s">
        <v>447</v>
      </c>
      <c r="C1925" t="s">
        <v>95</v>
      </c>
      <c r="D1925" t="s">
        <v>370</v>
      </c>
      <c r="E1925" t="s">
        <v>371</v>
      </c>
      <c r="F1925" t="s">
        <v>6058</v>
      </c>
      <c r="G1925" s="2" t="str">
        <f>HYPERLINK("https://www.facebook.com/100006226452426/posts/1968186903398839")</f>
        <v>https://www.facebook.com/100006226452426/posts/1968186903398839</v>
      </c>
      <c r="H1925" t="s">
        <v>6062</v>
      </c>
      <c r="I1925" t="s">
        <v>1864</v>
      </c>
      <c r="J1925" s="2" t="str">
        <f>HYPERLINK("https://www.facebook.com/100006226452426")</f>
        <v>https://www.facebook.com/100006226452426</v>
      </c>
      <c r="K1925">
        <v>713</v>
      </c>
      <c r="L1925" t="s">
        <v>6064</v>
      </c>
      <c r="N1925" t="s">
        <v>13</v>
      </c>
      <c r="O1925" t="s">
        <v>1864</v>
      </c>
      <c r="P1925" s="2" t="str">
        <f>HYPERLINK("https://www.facebook.com/100006226452426")</f>
        <v>https://www.facebook.com/100006226452426</v>
      </c>
      <c r="Q1925">
        <v>713</v>
      </c>
      <c r="R1925" t="s">
        <v>6067</v>
      </c>
      <c r="S1925" t="s">
        <v>6073</v>
      </c>
    </row>
    <row r="1926" spans="1:19" ht="14.25" customHeight="1" x14ac:dyDescent="0.3">
      <c r="A1926" t="s">
        <v>629</v>
      </c>
      <c r="B1926" t="s">
        <v>808</v>
      </c>
      <c r="C1926" t="s">
        <v>95</v>
      </c>
      <c r="D1926" t="s">
        <v>370</v>
      </c>
      <c r="E1926" t="s">
        <v>371</v>
      </c>
      <c r="F1926" t="s">
        <v>6058</v>
      </c>
      <c r="G1926" s="2" t="str">
        <f>HYPERLINK("https://www.facebook.com/1596949007286057/posts/2024931221154498")</f>
        <v>https://www.facebook.com/1596949007286057/posts/2024931221154498</v>
      </c>
      <c r="H1926" t="s">
        <v>6062</v>
      </c>
      <c r="I1926" t="s">
        <v>809</v>
      </c>
      <c r="J1926" s="2" t="str">
        <f>HYPERLINK("https://www.facebook.com/100011216820083")</f>
        <v>https://www.facebook.com/100011216820083</v>
      </c>
      <c r="K1926">
        <v>1951</v>
      </c>
      <c r="L1926" t="s">
        <v>6063</v>
      </c>
      <c r="N1926" t="s">
        <v>13</v>
      </c>
      <c r="O1926" t="s">
        <v>810</v>
      </c>
      <c r="P1926" s="2" t="str">
        <f>HYPERLINK("https://www.facebook.com/1596949007286057")</f>
        <v>https://www.facebook.com/1596949007286057</v>
      </c>
      <c r="R1926" t="s">
        <v>6067</v>
      </c>
      <c r="S1926" t="s">
        <v>6073</v>
      </c>
    </row>
    <row r="1927" spans="1:19" ht="14.25" customHeight="1" x14ac:dyDescent="0.3">
      <c r="A1927" t="s">
        <v>629</v>
      </c>
      <c r="B1927" t="s">
        <v>808</v>
      </c>
      <c r="C1927" t="s">
        <v>95</v>
      </c>
      <c r="D1927" t="s">
        <v>370</v>
      </c>
      <c r="E1927" t="s">
        <v>371</v>
      </c>
      <c r="F1927" t="s">
        <v>6058</v>
      </c>
      <c r="G1927" s="2" t="str">
        <f>HYPERLINK("https://www.facebook.com/1596949007286057/posts/566111180439438")</f>
        <v>https://www.facebook.com/1596949007286057/posts/566111180439438</v>
      </c>
      <c r="H1927" t="s">
        <v>6062</v>
      </c>
      <c r="I1927" t="s">
        <v>809</v>
      </c>
      <c r="J1927" s="2" t="str">
        <f>HYPERLINK("https://www.facebook.com/100011216820083")</f>
        <v>https://www.facebook.com/100011216820083</v>
      </c>
      <c r="K1927">
        <v>1951</v>
      </c>
      <c r="L1927" t="s">
        <v>6063</v>
      </c>
      <c r="N1927" t="s">
        <v>13</v>
      </c>
      <c r="O1927" t="s">
        <v>810</v>
      </c>
      <c r="P1927" s="2" t="str">
        <f>HYPERLINK("https://www.facebook.com/1596949007286057")</f>
        <v>https://www.facebook.com/1596949007286057</v>
      </c>
      <c r="R1927" t="s">
        <v>6067</v>
      </c>
      <c r="S1927" t="s">
        <v>6073</v>
      </c>
    </row>
    <row r="1928" spans="1:19" ht="14.25" customHeight="1" x14ac:dyDescent="0.3">
      <c r="A1928" t="s">
        <v>629</v>
      </c>
      <c r="B1928" t="s">
        <v>808</v>
      </c>
      <c r="C1928" t="s">
        <v>95</v>
      </c>
      <c r="D1928" t="s">
        <v>370</v>
      </c>
      <c r="E1928" t="s">
        <v>371</v>
      </c>
      <c r="F1928" t="s">
        <v>6058</v>
      </c>
      <c r="G1928" s="2" t="str">
        <f>HYPERLINK("https://www.facebook.com/100003315696816/posts/1628789937241514")</f>
        <v>https://www.facebook.com/100003315696816/posts/1628789937241514</v>
      </c>
      <c r="H1928" t="s">
        <v>6062</v>
      </c>
      <c r="I1928" t="s">
        <v>809</v>
      </c>
      <c r="J1928" s="2" t="str">
        <f>HYPERLINK("https://www.facebook.com/100011216820083")</f>
        <v>https://www.facebook.com/100011216820083</v>
      </c>
      <c r="K1928">
        <v>1951</v>
      </c>
      <c r="L1928" t="s">
        <v>6063</v>
      </c>
      <c r="N1928" t="s">
        <v>13</v>
      </c>
      <c r="O1928" t="s">
        <v>811</v>
      </c>
      <c r="P1928" s="2" t="str">
        <f>HYPERLINK("https://www.facebook.com/100003315696816")</f>
        <v>https://www.facebook.com/100003315696816</v>
      </c>
      <c r="Q1928">
        <v>1387</v>
      </c>
      <c r="R1928" t="s">
        <v>6067</v>
      </c>
      <c r="S1928" t="s">
        <v>6073</v>
      </c>
    </row>
    <row r="1929" spans="1:19" ht="14.25" customHeight="1" x14ac:dyDescent="0.3">
      <c r="A1929" t="s">
        <v>629</v>
      </c>
      <c r="B1929" t="s">
        <v>808</v>
      </c>
      <c r="C1929" t="s">
        <v>95</v>
      </c>
      <c r="D1929" t="s">
        <v>370</v>
      </c>
      <c r="E1929" t="s">
        <v>371</v>
      </c>
      <c r="F1929" t="s">
        <v>6058</v>
      </c>
      <c r="G1929" s="2" t="str">
        <f>HYPERLINK("https://www.facebook.com/100011216820083/posts/566110980439458")</f>
        <v>https://www.facebook.com/100011216820083/posts/566110980439458</v>
      </c>
      <c r="H1929" t="s">
        <v>6062</v>
      </c>
      <c r="I1929" t="s">
        <v>809</v>
      </c>
      <c r="J1929" s="2" t="str">
        <f>HYPERLINK("https://www.facebook.com/100011216820083")</f>
        <v>https://www.facebook.com/100011216820083</v>
      </c>
      <c r="K1929">
        <v>1951</v>
      </c>
      <c r="L1929" t="s">
        <v>6063</v>
      </c>
      <c r="N1929" t="s">
        <v>13</v>
      </c>
      <c r="O1929" t="s">
        <v>809</v>
      </c>
      <c r="P1929" s="2" t="str">
        <f>HYPERLINK("https://www.facebook.com/100011216820083")</f>
        <v>https://www.facebook.com/100011216820083</v>
      </c>
      <c r="Q1929">
        <v>1951</v>
      </c>
      <c r="R1929" t="s">
        <v>6067</v>
      </c>
      <c r="S1929" t="s">
        <v>6073</v>
      </c>
    </row>
    <row r="1930" spans="1:19" ht="14.25" customHeight="1" x14ac:dyDescent="0.3">
      <c r="A1930" t="s">
        <v>4439</v>
      </c>
      <c r="B1930" t="s">
        <v>1010</v>
      </c>
      <c r="C1930" t="s">
        <v>3538</v>
      </c>
      <c r="D1930" t="s">
        <v>4330</v>
      </c>
      <c r="E1930" t="s">
        <v>4606</v>
      </c>
      <c r="F1930" t="s">
        <v>6059</v>
      </c>
      <c r="G1930" s="2" t="str">
        <f>HYPERLINK("https://www.facebook.com/1817146211/posts/10209419085593550?comment_id=10209419535484797")</f>
        <v>https://www.facebook.com/1817146211/posts/10209419085593550?comment_id=10209419535484797</v>
      </c>
      <c r="H1930" t="s">
        <v>6062</v>
      </c>
      <c r="I1930" t="s">
        <v>4333</v>
      </c>
      <c r="J1930" s="2" t="str">
        <f>HYPERLINK("https://www.facebook.com/1817146211")</f>
        <v>https://www.facebook.com/1817146211</v>
      </c>
      <c r="K1930">
        <v>1727</v>
      </c>
      <c r="L1930" t="s">
        <v>6063</v>
      </c>
      <c r="N1930" t="s">
        <v>13</v>
      </c>
      <c r="O1930" t="s">
        <v>4333</v>
      </c>
      <c r="P1930" s="2" t="str">
        <f>HYPERLINK("https://www.facebook.com/1817146211")</f>
        <v>https://www.facebook.com/1817146211</v>
      </c>
      <c r="Q1930">
        <v>1727</v>
      </c>
      <c r="R1930" t="s">
        <v>6067</v>
      </c>
      <c r="S1930" t="s">
        <v>6073</v>
      </c>
    </row>
    <row r="1931" spans="1:19" ht="14.25" customHeight="1" x14ac:dyDescent="0.3">
      <c r="A1931" t="s">
        <v>5409</v>
      </c>
      <c r="B1931" t="s">
        <v>4271</v>
      </c>
      <c r="C1931" t="s">
        <v>3538</v>
      </c>
      <c r="D1931" t="s">
        <v>5442</v>
      </c>
      <c r="E1931" t="s">
        <v>5592</v>
      </c>
      <c r="F1931" t="s">
        <v>6058</v>
      </c>
      <c r="G1931" s="2" t="str">
        <f>HYPERLINK("https://www.facebook.com/100013100820309/posts/423449894768368")</f>
        <v>https://www.facebook.com/100013100820309/posts/423449894768368</v>
      </c>
      <c r="H1931" t="s">
        <v>6062</v>
      </c>
      <c r="I1931" t="s">
        <v>5800</v>
      </c>
      <c r="J1931" s="2" t="str">
        <f>HYPERLINK("https://www.facebook.com/100013100820309")</f>
        <v>https://www.facebook.com/100013100820309</v>
      </c>
      <c r="K1931">
        <v>0</v>
      </c>
      <c r="L1931" t="s">
        <v>6063</v>
      </c>
      <c r="N1931" t="s">
        <v>13</v>
      </c>
      <c r="O1931" t="s">
        <v>5800</v>
      </c>
      <c r="P1931" s="2" t="str">
        <f>HYPERLINK("https://www.facebook.com/100013100820309")</f>
        <v>https://www.facebook.com/100013100820309</v>
      </c>
      <c r="Q1931">
        <v>0</v>
      </c>
      <c r="R1931" t="s">
        <v>6067</v>
      </c>
    </row>
    <row r="1932" spans="1:19" ht="14.25" customHeight="1" x14ac:dyDescent="0.3">
      <c r="A1932" t="s">
        <v>629</v>
      </c>
      <c r="B1932" t="s">
        <v>1608</v>
      </c>
      <c r="C1932" t="s">
        <v>95</v>
      </c>
      <c r="D1932" t="s">
        <v>370</v>
      </c>
      <c r="E1932" t="s">
        <v>371</v>
      </c>
      <c r="F1932" t="s">
        <v>6058</v>
      </c>
      <c r="G1932" s="2" t="str">
        <f>HYPERLINK("https://www.facebook.com/100013022892402/posts/414897445621015")</f>
        <v>https://www.facebook.com/100013022892402/posts/414897445621015</v>
      </c>
      <c r="H1932" t="s">
        <v>6062</v>
      </c>
      <c r="I1932" t="s">
        <v>1609</v>
      </c>
      <c r="J1932" s="2" t="str">
        <f>HYPERLINK("https://www.facebook.com/100013022892402")</f>
        <v>https://www.facebook.com/100013022892402</v>
      </c>
      <c r="K1932">
        <v>811</v>
      </c>
      <c r="L1932" t="s">
        <v>6064</v>
      </c>
      <c r="N1932" t="s">
        <v>13</v>
      </c>
      <c r="O1932" t="s">
        <v>1609</v>
      </c>
      <c r="P1932" s="2" t="str">
        <f>HYPERLINK("https://www.facebook.com/100013022892402")</f>
        <v>https://www.facebook.com/100013022892402</v>
      </c>
      <c r="Q1932">
        <v>811</v>
      </c>
      <c r="R1932" t="s">
        <v>6067</v>
      </c>
    </row>
    <row r="1933" spans="1:19" ht="14.25" customHeight="1" x14ac:dyDescent="0.3">
      <c r="A1933" t="s">
        <v>629</v>
      </c>
      <c r="B1933" t="s">
        <v>1791</v>
      </c>
      <c r="C1933" t="s">
        <v>95</v>
      </c>
      <c r="D1933" t="s">
        <v>370</v>
      </c>
      <c r="E1933" t="s">
        <v>371</v>
      </c>
      <c r="F1933" t="s">
        <v>6058</v>
      </c>
      <c r="G1933" s="2" t="str">
        <f>HYPERLINK("https://www.facebook.com/100007843502959/posts/2092694134335350")</f>
        <v>https://www.facebook.com/100007843502959/posts/2092694134335350</v>
      </c>
      <c r="H1933" t="s">
        <v>6062</v>
      </c>
      <c r="I1933" t="s">
        <v>1792</v>
      </c>
      <c r="J1933" s="2" t="str">
        <f>HYPERLINK("https://www.facebook.com/100007843502959")</f>
        <v>https://www.facebook.com/100007843502959</v>
      </c>
      <c r="K1933">
        <v>920</v>
      </c>
      <c r="L1933" t="s">
        <v>6064</v>
      </c>
      <c r="N1933" t="s">
        <v>13</v>
      </c>
      <c r="O1933" t="s">
        <v>1792</v>
      </c>
      <c r="P1933" s="2" t="str">
        <f>HYPERLINK("https://www.facebook.com/100007843502959")</f>
        <v>https://www.facebook.com/100007843502959</v>
      </c>
      <c r="Q1933">
        <v>920</v>
      </c>
      <c r="R1933" t="s">
        <v>6067</v>
      </c>
      <c r="S1933" t="s">
        <v>6073</v>
      </c>
    </row>
    <row r="1934" spans="1:19" ht="14.25" customHeight="1" x14ac:dyDescent="0.3">
      <c r="A1934" t="s">
        <v>629</v>
      </c>
      <c r="B1934" t="s">
        <v>1985</v>
      </c>
      <c r="C1934" t="s">
        <v>95</v>
      </c>
      <c r="D1934" t="s">
        <v>370</v>
      </c>
      <c r="E1934" t="s">
        <v>371</v>
      </c>
      <c r="F1934" t="s">
        <v>6058</v>
      </c>
      <c r="G1934" s="2" t="str">
        <f>HYPERLINK("https://www.facebook.com/100001982413103/posts/1781588408583889")</f>
        <v>https://www.facebook.com/100001982413103/posts/1781588408583889</v>
      </c>
      <c r="H1934" t="s">
        <v>6062</v>
      </c>
      <c r="I1934" t="s">
        <v>1986</v>
      </c>
      <c r="J1934" s="2" t="str">
        <f>HYPERLINK("https://www.facebook.com/100001982413103")</f>
        <v>https://www.facebook.com/100001982413103</v>
      </c>
      <c r="K1934">
        <v>1193</v>
      </c>
      <c r="L1934" t="s">
        <v>6064</v>
      </c>
      <c r="N1934" t="s">
        <v>13</v>
      </c>
      <c r="O1934" t="s">
        <v>1986</v>
      </c>
      <c r="P1934" s="2" t="str">
        <f>HYPERLINK("https://www.facebook.com/100001982413103")</f>
        <v>https://www.facebook.com/100001982413103</v>
      </c>
      <c r="Q1934">
        <v>1193</v>
      </c>
      <c r="R1934" t="s">
        <v>6067</v>
      </c>
      <c r="S1934" t="s">
        <v>6073</v>
      </c>
    </row>
    <row r="1935" spans="1:19" ht="14.25" customHeight="1" x14ac:dyDescent="0.3">
      <c r="A1935" t="s">
        <v>629</v>
      </c>
      <c r="B1935" t="s">
        <v>1935</v>
      </c>
      <c r="C1935" t="s">
        <v>95</v>
      </c>
      <c r="D1935" t="s">
        <v>370</v>
      </c>
      <c r="E1935" t="s">
        <v>371</v>
      </c>
      <c r="F1935" t="s">
        <v>6058</v>
      </c>
      <c r="G1935" s="2" t="str">
        <f>HYPERLINK("https://www.facebook.com/100005260804379/posts/852389648279721")</f>
        <v>https://www.facebook.com/100005260804379/posts/852389648279721</v>
      </c>
      <c r="H1935" t="s">
        <v>6062</v>
      </c>
      <c r="I1935" t="s">
        <v>1936</v>
      </c>
      <c r="J1935" s="2" t="str">
        <f>HYPERLINK("https://www.facebook.com/100005260804379")</f>
        <v>https://www.facebook.com/100005260804379</v>
      </c>
      <c r="K1935">
        <v>798</v>
      </c>
      <c r="L1935" t="s">
        <v>6064</v>
      </c>
      <c r="N1935" t="s">
        <v>13</v>
      </c>
      <c r="O1935" t="s">
        <v>1936</v>
      </c>
      <c r="P1935" s="2" t="str">
        <f>HYPERLINK("https://www.facebook.com/100005260804379")</f>
        <v>https://www.facebook.com/100005260804379</v>
      </c>
      <c r="Q1935">
        <v>798</v>
      </c>
      <c r="R1935" t="s">
        <v>6067</v>
      </c>
      <c r="S1935" t="s">
        <v>6073</v>
      </c>
    </row>
    <row r="1936" spans="1:19" ht="14.25" customHeight="1" x14ac:dyDescent="0.3">
      <c r="A1936" t="s">
        <v>629</v>
      </c>
      <c r="B1936" t="s">
        <v>1937</v>
      </c>
      <c r="C1936" t="s">
        <v>95</v>
      </c>
      <c r="D1936" t="s">
        <v>370</v>
      </c>
      <c r="E1936" t="s">
        <v>371</v>
      </c>
      <c r="F1936" t="s">
        <v>6058</v>
      </c>
      <c r="G1936" s="2" t="str">
        <f>HYPERLINK("https://www.facebook.com/100005260804379/posts/852389464946406")</f>
        <v>https://www.facebook.com/100005260804379/posts/852389464946406</v>
      </c>
      <c r="H1936" t="s">
        <v>6062</v>
      </c>
      <c r="I1936" t="s">
        <v>1936</v>
      </c>
      <c r="J1936" s="2" t="str">
        <f>HYPERLINK("https://www.facebook.com/100005260804379")</f>
        <v>https://www.facebook.com/100005260804379</v>
      </c>
      <c r="K1936">
        <v>798</v>
      </c>
      <c r="L1936" t="s">
        <v>6064</v>
      </c>
      <c r="N1936" t="s">
        <v>13</v>
      </c>
      <c r="O1936" t="s">
        <v>1936</v>
      </c>
      <c r="P1936" s="2" t="str">
        <f>HYPERLINK("https://www.facebook.com/100005260804379")</f>
        <v>https://www.facebook.com/100005260804379</v>
      </c>
      <c r="Q1936">
        <v>798</v>
      </c>
      <c r="R1936" t="s">
        <v>6067</v>
      </c>
      <c r="S1936" t="s">
        <v>6073</v>
      </c>
    </row>
    <row r="1937" spans="1:19" ht="14.25" customHeight="1" x14ac:dyDescent="0.3">
      <c r="A1937" t="s">
        <v>2225</v>
      </c>
      <c r="B1937" t="s">
        <v>2741</v>
      </c>
      <c r="C1937" t="s">
        <v>95</v>
      </c>
      <c r="D1937" t="s">
        <v>544</v>
      </c>
      <c r="E1937" t="s">
        <v>2744</v>
      </c>
      <c r="F1937" t="s">
        <v>6059</v>
      </c>
      <c r="G1937" s="2" t="str">
        <f>HYPERLINK("https://www.facebook.com/100003160573160/posts/1650256021756401?comment_id=1650261995089137")</f>
        <v>https://www.facebook.com/100003160573160/posts/1650256021756401?comment_id=1650261995089137</v>
      </c>
      <c r="H1937" t="s">
        <v>6062</v>
      </c>
      <c r="I1937" t="s">
        <v>2745</v>
      </c>
      <c r="J1937" s="2" t="str">
        <f>HYPERLINK("https://www.facebook.com/100017772459799")</f>
        <v>https://www.facebook.com/100017772459799</v>
      </c>
      <c r="K1937">
        <v>185</v>
      </c>
      <c r="L1937" t="s">
        <v>6064</v>
      </c>
      <c r="N1937" t="s">
        <v>13</v>
      </c>
      <c r="O1937" t="s">
        <v>2013</v>
      </c>
      <c r="P1937" s="2" t="str">
        <f>HYPERLINK("https://www.facebook.com/100003160573160")</f>
        <v>https://www.facebook.com/100003160573160</v>
      </c>
      <c r="Q1937">
        <v>299</v>
      </c>
      <c r="R1937" t="s">
        <v>6067</v>
      </c>
      <c r="S1937" t="s">
        <v>6073</v>
      </c>
    </row>
    <row r="1938" spans="1:19" ht="14.25" customHeight="1" x14ac:dyDescent="0.3">
      <c r="A1938" t="s">
        <v>5409</v>
      </c>
      <c r="B1938" t="s">
        <v>5698</v>
      </c>
      <c r="C1938" t="s">
        <v>3538</v>
      </c>
      <c r="D1938" t="s">
        <v>5699</v>
      </c>
      <c r="E1938" t="s">
        <v>5700</v>
      </c>
      <c r="F1938" t="s">
        <v>6059</v>
      </c>
      <c r="G1938" s="2" t="str">
        <f>HYPERLINK("https://www.facebook.com/100002383057523/posts/1651443728278380?comment_id=1651755644913855")</f>
        <v>https://www.facebook.com/100002383057523/posts/1651443728278380?comment_id=1651755644913855</v>
      </c>
      <c r="H1938" t="s">
        <v>6062</v>
      </c>
      <c r="I1938" t="s">
        <v>5701</v>
      </c>
      <c r="J1938" s="2" t="str">
        <f>HYPERLINK("https://www.facebook.com/100001648990457")</f>
        <v>https://www.facebook.com/100001648990457</v>
      </c>
      <c r="K1938">
        <v>4491</v>
      </c>
      <c r="L1938" t="s">
        <v>6064</v>
      </c>
      <c r="N1938" t="s">
        <v>13</v>
      </c>
      <c r="O1938" t="s">
        <v>5702</v>
      </c>
      <c r="P1938" s="2" t="str">
        <f>HYPERLINK("https://www.facebook.com/100002383057523")</f>
        <v>https://www.facebook.com/100002383057523</v>
      </c>
      <c r="Q1938">
        <v>4932</v>
      </c>
      <c r="R1938" t="s">
        <v>6067</v>
      </c>
      <c r="S1938" t="s">
        <v>6073</v>
      </c>
    </row>
    <row r="1939" spans="1:19" ht="14.25" customHeight="1" x14ac:dyDescent="0.3">
      <c r="A1939" t="s">
        <v>3527</v>
      </c>
      <c r="B1939" t="s">
        <v>3968</v>
      </c>
      <c r="C1939" t="s">
        <v>95</v>
      </c>
      <c r="D1939" t="s">
        <v>690</v>
      </c>
      <c r="E1939" t="s">
        <v>999</v>
      </c>
      <c r="F1939" t="s">
        <v>6059</v>
      </c>
      <c r="G1939" s="2" t="str">
        <f>HYPERLINK("https://www.facebook.com/278105015535592/posts/1935377959808281?comment_id=1935689669777110")</f>
        <v>https://www.facebook.com/278105015535592/posts/1935377959808281?comment_id=1935689669777110</v>
      </c>
      <c r="H1939" t="s">
        <v>6062</v>
      </c>
      <c r="I1939" t="s">
        <v>3969</v>
      </c>
      <c r="J1939" s="2" t="str">
        <f>HYPERLINK("https://www.facebook.com/100003817100168")</f>
        <v>https://www.facebook.com/100003817100168</v>
      </c>
      <c r="K1939">
        <v>351</v>
      </c>
      <c r="L1939" t="s">
        <v>6064</v>
      </c>
      <c r="N1939" t="s">
        <v>13</v>
      </c>
      <c r="O1939" t="s">
        <v>996</v>
      </c>
      <c r="P1939" s="2" t="str">
        <f>HYPERLINK("https://www.facebook.com/278105015535592")</f>
        <v>https://www.facebook.com/278105015535592</v>
      </c>
      <c r="Q1939">
        <v>4845</v>
      </c>
      <c r="R1939" t="s">
        <v>6067</v>
      </c>
      <c r="S1939" t="s">
        <v>6073</v>
      </c>
    </row>
    <row r="1940" spans="1:19" ht="14.25" customHeight="1" x14ac:dyDescent="0.3">
      <c r="A1940" t="s">
        <v>3527</v>
      </c>
      <c r="B1940" t="s">
        <v>3993</v>
      </c>
      <c r="C1940" t="s">
        <v>95</v>
      </c>
      <c r="D1940" t="s">
        <v>522</v>
      </c>
      <c r="E1940" t="s">
        <v>3994</v>
      </c>
      <c r="F1940" t="s">
        <v>6058</v>
      </c>
      <c r="G1940" s="2" t="str">
        <f>HYPERLINK("https://www.facebook.com/100001939944834/posts/1869397156468264")</f>
        <v>https://www.facebook.com/100001939944834/posts/1869397156468264</v>
      </c>
      <c r="H1940" t="s">
        <v>6062</v>
      </c>
      <c r="I1940" t="s">
        <v>3995</v>
      </c>
      <c r="J1940" s="2" t="str">
        <f>HYPERLINK("https://www.facebook.com/100001939944834")</f>
        <v>https://www.facebook.com/100001939944834</v>
      </c>
      <c r="K1940">
        <v>0</v>
      </c>
      <c r="L1940" t="s">
        <v>6064</v>
      </c>
      <c r="N1940" t="s">
        <v>13</v>
      </c>
      <c r="O1940" t="s">
        <v>3995</v>
      </c>
      <c r="P1940" s="2" t="str">
        <f>HYPERLINK("https://www.facebook.com/100001939944834")</f>
        <v>https://www.facebook.com/100001939944834</v>
      </c>
      <c r="Q1940">
        <v>0</v>
      </c>
      <c r="R1940" t="s">
        <v>6067</v>
      </c>
      <c r="S1940" t="s">
        <v>6073</v>
      </c>
    </row>
    <row r="1941" spans="1:19" ht="14.25" customHeight="1" x14ac:dyDescent="0.3">
      <c r="A1941" t="s">
        <v>629</v>
      </c>
      <c r="B1941" t="s">
        <v>461</v>
      </c>
      <c r="C1941" t="s">
        <v>95</v>
      </c>
      <c r="D1941" t="s">
        <v>370</v>
      </c>
      <c r="E1941" t="s">
        <v>371</v>
      </c>
      <c r="F1941" t="s">
        <v>6058</v>
      </c>
      <c r="G1941" s="2" t="str">
        <f>HYPERLINK("https://www.facebook.com/100001881557715/posts/1905549632851070")</f>
        <v>https://www.facebook.com/100001881557715/posts/1905549632851070</v>
      </c>
      <c r="H1941" t="s">
        <v>6062</v>
      </c>
      <c r="I1941" t="s">
        <v>1957</v>
      </c>
      <c r="J1941" s="2" t="str">
        <f>HYPERLINK("https://www.facebook.com/100001881557715")</f>
        <v>https://www.facebook.com/100001881557715</v>
      </c>
      <c r="K1941">
        <v>32</v>
      </c>
      <c r="L1941" t="s">
        <v>6064</v>
      </c>
      <c r="N1941" t="s">
        <v>13</v>
      </c>
      <c r="O1941" t="s">
        <v>1957</v>
      </c>
      <c r="P1941" s="2" t="str">
        <f>HYPERLINK("https://www.facebook.com/100001881557715")</f>
        <v>https://www.facebook.com/100001881557715</v>
      </c>
      <c r="Q1941">
        <v>32</v>
      </c>
      <c r="R1941" t="s">
        <v>6067</v>
      </c>
      <c r="S1941" t="s">
        <v>6073</v>
      </c>
    </row>
    <row r="1942" spans="1:19" ht="14.25" customHeight="1" x14ac:dyDescent="0.3">
      <c r="A1942" t="s">
        <v>629</v>
      </c>
      <c r="B1942" t="s">
        <v>1903</v>
      </c>
      <c r="C1942" t="s">
        <v>95</v>
      </c>
      <c r="D1942" t="s">
        <v>370</v>
      </c>
      <c r="E1942" t="s">
        <v>371</v>
      </c>
      <c r="F1942" t="s">
        <v>6058</v>
      </c>
      <c r="G1942" s="2" t="str">
        <f>HYPERLINK("https://www.facebook.com/100022037434591/posts/233396760738237")</f>
        <v>https://www.facebook.com/100022037434591/posts/233396760738237</v>
      </c>
      <c r="H1942" t="s">
        <v>6062</v>
      </c>
      <c r="I1942" t="s">
        <v>1905</v>
      </c>
      <c r="J1942" s="2" t="str">
        <f>HYPERLINK("https://www.facebook.com/100022037434591")</f>
        <v>https://www.facebook.com/100022037434591</v>
      </c>
      <c r="K1942">
        <v>46</v>
      </c>
      <c r="L1942" t="s">
        <v>6064</v>
      </c>
      <c r="N1942" t="s">
        <v>13</v>
      </c>
      <c r="O1942" t="s">
        <v>1905</v>
      </c>
      <c r="P1942" s="2" t="str">
        <f>HYPERLINK("https://www.facebook.com/100022037434591")</f>
        <v>https://www.facebook.com/100022037434591</v>
      </c>
      <c r="Q1942">
        <v>46</v>
      </c>
      <c r="R1942" t="s">
        <v>6067</v>
      </c>
      <c r="S1942" t="s">
        <v>6073</v>
      </c>
    </row>
    <row r="1943" spans="1:19" ht="14.25" customHeight="1" x14ac:dyDescent="0.3">
      <c r="A1943" t="s">
        <v>3527</v>
      </c>
      <c r="B1943" t="s">
        <v>2659</v>
      </c>
      <c r="C1943" t="s">
        <v>95</v>
      </c>
      <c r="D1943" t="s">
        <v>3692</v>
      </c>
      <c r="E1943" t="s">
        <v>3693</v>
      </c>
      <c r="F1943" t="s">
        <v>6059</v>
      </c>
      <c r="G1943" s="2" t="str">
        <f>HYPERLINK("https://www.facebook.com/100000240765807/posts/2164499673568037?comment_id=2164565086894829")</f>
        <v>https://www.facebook.com/100000240765807/posts/2164499673568037?comment_id=2164565086894829</v>
      </c>
      <c r="H1943" t="s">
        <v>6062</v>
      </c>
      <c r="I1943" t="s">
        <v>3694</v>
      </c>
      <c r="J1943" s="2" t="str">
        <f>HYPERLINK("https://www.facebook.com/100001813786373")</f>
        <v>https://www.facebook.com/100001813786373</v>
      </c>
      <c r="K1943">
        <v>194</v>
      </c>
      <c r="L1943" t="s">
        <v>6064</v>
      </c>
      <c r="M1943">
        <v>36</v>
      </c>
      <c r="N1943" t="s">
        <v>13</v>
      </c>
      <c r="O1943" t="s">
        <v>3695</v>
      </c>
      <c r="P1943" s="2" t="str">
        <f>HYPERLINK("https://www.facebook.com/100000240765807")</f>
        <v>https://www.facebook.com/100000240765807</v>
      </c>
      <c r="Q1943">
        <v>25391</v>
      </c>
      <c r="R1943" t="s">
        <v>6067</v>
      </c>
      <c r="S1943" t="s">
        <v>6073</v>
      </c>
    </row>
    <row r="1944" spans="1:19" ht="14.25" customHeight="1" x14ac:dyDescent="0.3">
      <c r="A1944" t="s">
        <v>3527</v>
      </c>
      <c r="B1944" t="s">
        <v>1579</v>
      </c>
      <c r="C1944" t="s">
        <v>3538</v>
      </c>
      <c r="D1944" t="s">
        <v>2419</v>
      </c>
      <c r="E1944" t="s">
        <v>2420</v>
      </c>
      <c r="F1944" t="s">
        <v>6058</v>
      </c>
      <c r="G1944" s="2" t="str">
        <f>HYPERLINK("https://www.facebook.com/100010761364022/posts/563421457359895")</f>
        <v>https://www.facebook.com/100010761364022/posts/563421457359895</v>
      </c>
      <c r="H1944" t="s">
        <v>6062</v>
      </c>
      <c r="I1944" t="s">
        <v>4295</v>
      </c>
      <c r="J1944" s="2" t="str">
        <f>HYPERLINK("https://www.facebook.com/100010761364022")</f>
        <v>https://www.facebook.com/100010761364022</v>
      </c>
      <c r="K1944">
        <v>58</v>
      </c>
      <c r="L1944" t="s">
        <v>6064</v>
      </c>
      <c r="N1944" t="s">
        <v>13</v>
      </c>
      <c r="O1944" t="s">
        <v>4295</v>
      </c>
      <c r="P1944" s="2" t="str">
        <f>HYPERLINK("https://www.facebook.com/100010761364022")</f>
        <v>https://www.facebook.com/100010761364022</v>
      </c>
      <c r="Q1944">
        <v>58</v>
      </c>
      <c r="R1944" t="s">
        <v>6067</v>
      </c>
    </row>
    <row r="1945" spans="1:19" ht="14.25" customHeight="1" x14ac:dyDescent="0.3">
      <c r="A1945" t="s">
        <v>629</v>
      </c>
      <c r="B1945" t="s">
        <v>1472</v>
      </c>
      <c r="C1945" t="s">
        <v>95</v>
      </c>
      <c r="D1945" t="s">
        <v>667</v>
      </c>
      <c r="E1945" t="s">
        <v>668</v>
      </c>
      <c r="F1945" t="s">
        <v>6058</v>
      </c>
      <c r="G1945" s="2" t="str">
        <f>HYPERLINK("https://www.facebook.com/100007219421817/posts/2025433331040628")</f>
        <v>https://www.facebook.com/100007219421817/posts/2025433331040628</v>
      </c>
      <c r="H1945" t="s">
        <v>6062</v>
      </c>
      <c r="I1945" t="s">
        <v>1474</v>
      </c>
      <c r="J1945" s="2" t="str">
        <f>HYPERLINK("https://www.facebook.com/100007219421817")</f>
        <v>https://www.facebook.com/100007219421817</v>
      </c>
      <c r="K1945">
        <v>563</v>
      </c>
      <c r="L1945" t="s">
        <v>6064</v>
      </c>
      <c r="N1945" t="s">
        <v>13</v>
      </c>
      <c r="O1945" t="s">
        <v>1474</v>
      </c>
      <c r="P1945" s="2" t="str">
        <f>HYPERLINK("https://www.facebook.com/100007219421817")</f>
        <v>https://www.facebook.com/100007219421817</v>
      </c>
      <c r="Q1945">
        <v>563</v>
      </c>
      <c r="R1945" t="s">
        <v>6067</v>
      </c>
    </row>
    <row r="1946" spans="1:19" ht="14.25" customHeight="1" x14ac:dyDescent="0.3">
      <c r="A1946" t="s">
        <v>3527</v>
      </c>
      <c r="B1946" t="s">
        <v>4034</v>
      </c>
      <c r="C1946" t="s">
        <v>3538</v>
      </c>
      <c r="D1946" t="s">
        <v>2942</v>
      </c>
      <c r="E1946" t="s">
        <v>2943</v>
      </c>
      <c r="F1946" t="s">
        <v>6058</v>
      </c>
      <c r="G1946" s="2" t="str">
        <f>HYPERLINK("https://www.facebook.com/100001897548823/posts/1941430309263535")</f>
        <v>https://www.facebook.com/100001897548823/posts/1941430309263535</v>
      </c>
      <c r="H1946" t="s">
        <v>6062</v>
      </c>
      <c r="I1946" t="s">
        <v>4035</v>
      </c>
      <c r="J1946" s="2" t="str">
        <f>HYPERLINK("https://www.facebook.com/100001897548823")</f>
        <v>https://www.facebook.com/100001897548823</v>
      </c>
      <c r="K1946">
        <v>1368</v>
      </c>
      <c r="L1946" t="s">
        <v>6064</v>
      </c>
      <c r="N1946" t="s">
        <v>13</v>
      </c>
      <c r="O1946" t="s">
        <v>4035</v>
      </c>
      <c r="P1946" s="2" t="str">
        <f>HYPERLINK("https://www.facebook.com/100001897548823")</f>
        <v>https://www.facebook.com/100001897548823</v>
      </c>
      <c r="Q1946">
        <v>1368</v>
      </c>
      <c r="R1946" t="s">
        <v>6067</v>
      </c>
      <c r="S1946" t="s">
        <v>6073</v>
      </c>
    </row>
    <row r="1947" spans="1:19" ht="14.25" customHeight="1" x14ac:dyDescent="0.3">
      <c r="A1947" t="s">
        <v>629</v>
      </c>
      <c r="B1947" t="s">
        <v>1579</v>
      </c>
      <c r="C1947" t="s">
        <v>95</v>
      </c>
      <c r="D1947" t="s">
        <v>370</v>
      </c>
      <c r="E1947" t="s">
        <v>371</v>
      </c>
      <c r="F1947" t="s">
        <v>6058</v>
      </c>
      <c r="G1947" s="2" t="str">
        <f>HYPERLINK("https://www.facebook.com/100005400314561/posts/846992652157404")</f>
        <v>https://www.facebook.com/100005400314561/posts/846992652157404</v>
      </c>
      <c r="H1947" t="s">
        <v>6062</v>
      </c>
      <c r="I1947" t="s">
        <v>1580</v>
      </c>
      <c r="J1947" s="2" t="str">
        <f>HYPERLINK("https://www.facebook.com/100005400314561")</f>
        <v>https://www.facebook.com/100005400314561</v>
      </c>
      <c r="K1947">
        <v>0</v>
      </c>
      <c r="L1947" t="s">
        <v>6064</v>
      </c>
      <c r="N1947" t="s">
        <v>13</v>
      </c>
      <c r="O1947" t="s">
        <v>1580</v>
      </c>
      <c r="P1947" s="2" t="str">
        <f>HYPERLINK("https://www.facebook.com/100005400314561")</f>
        <v>https://www.facebook.com/100005400314561</v>
      </c>
      <c r="Q1947">
        <v>0</v>
      </c>
      <c r="R1947" t="s">
        <v>6067</v>
      </c>
      <c r="S1947" t="s">
        <v>6073</v>
      </c>
    </row>
    <row r="1948" spans="1:19" ht="14.25" customHeight="1" x14ac:dyDescent="0.3">
      <c r="A1948" t="s">
        <v>629</v>
      </c>
      <c r="B1948" t="s">
        <v>1618</v>
      </c>
      <c r="C1948" t="s">
        <v>95</v>
      </c>
      <c r="D1948" t="s">
        <v>370</v>
      </c>
      <c r="E1948" t="s">
        <v>371</v>
      </c>
      <c r="F1948" t="s">
        <v>6058</v>
      </c>
      <c r="G1948" s="2" t="str">
        <f>HYPERLINK("https://www.facebook.com/100001208625088/posts/1804532819596988")</f>
        <v>https://www.facebook.com/100001208625088/posts/1804532819596988</v>
      </c>
      <c r="H1948" t="s">
        <v>6062</v>
      </c>
      <c r="I1948" t="s">
        <v>1619</v>
      </c>
      <c r="J1948" s="2" t="str">
        <f>HYPERLINK("https://www.facebook.com/100001208625088")</f>
        <v>https://www.facebook.com/100001208625088</v>
      </c>
      <c r="K1948">
        <v>1256</v>
      </c>
      <c r="L1948" t="s">
        <v>6064</v>
      </c>
      <c r="N1948" t="s">
        <v>13</v>
      </c>
      <c r="O1948" t="s">
        <v>1619</v>
      </c>
      <c r="P1948" s="2" t="str">
        <f>HYPERLINK("https://www.facebook.com/100001208625088")</f>
        <v>https://www.facebook.com/100001208625088</v>
      </c>
      <c r="Q1948">
        <v>1256</v>
      </c>
      <c r="R1948" t="s">
        <v>6067</v>
      </c>
      <c r="S1948" t="s">
        <v>6073</v>
      </c>
    </row>
    <row r="1949" spans="1:19" ht="14.25" customHeight="1" x14ac:dyDescent="0.3">
      <c r="A1949" t="s">
        <v>629</v>
      </c>
      <c r="B1949" t="s">
        <v>409</v>
      </c>
      <c r="C1949" t="s">
        <v>95</v>
      </c>
      <c r="D1949" t="s">
        <v>370</v>
      </c>
      <c r="E1949" t="s">
        <v>371</v>
      </c>
      <c r="F1949" t="s">
        <v>6058</v>
      </c>
      <c r="G1949" s="2" t="str">
        <f>HYPERLINK("https://www.facebook.com/1457135507899312/posts/2199148010364721")</f>
        <v>https://www.facebook.com/1457135507899312/posts/2199148010364721</v>
      </c>
      <c r="H1949" t="s">
        <v>6062</v>
      </c>
      <c r="I1949" t="s">
        <v>1774</v>
      </c>
      <c r="J1949" s="2" t="str">
        <f>HYPERLINK("https://www.facebook.com/100009990394010")</f>
        <v>https://www.facebook.com/100009990394010</v>
      </c>
      <c r="K1949">
        <v>2208</v>
      </c>
      <c r="L1949" t="s">
        <v>6064</v>
      </c>
      <c r="N1949" t="s">
        <v>13</v>
      </c>
      <c r="O1949" t="s">
        <v>1041</v>
      </c>
      <c r="P1949" s="2" t="str">
        <f>HYPERLINK("https://www.facebook.com/1457135507899312")</f>
        <v>https://www.facebook.com/1457135507899312</v>
      </c>
      <c r="R1949" t="s">
        <v>6067</v>
      </c>
      <c r="S1949" t="s">
        <v>6073</v>
      </c>
    </row>
    <row r="1950" spans="1:19" ht="14.25" customHeight="1" x14ac:dyDescent="0.3">
      <c r="A1950" t="s">
        <v>629</v>
      </c>
      <c r="B1950" t="s">
        <v>409</v>
      </c>
      <c r="C1950" t="s">
        <v>95</v>
      </c>
      <c r="D1950" t="s">
        <v>370</v>
      </c>
      <c r="E1950" t="s">
        <v>371</v>
      </c>
      <c r="F1950" t="s">
        <v>6058</v>
      </c>
      <c r="G1950" s="2" t="str">
        <f>HYPERLINK("https://www.facebook.com/1457135507899312/posts/625311321145209")</f>
        <v>https://www.facebook.com/1457135507899312/posts/625311321145209</v>
      </c>
      <c r="H1950" t="s">
        <v>6062</v>
      </c>
      <c r="I1950" t="s">
        <v>1774</v>
      </c>
      <c r="J1950" s="2" t="str">
        <f>HYPERLINK("https://www.facebook.com/100009990394010")</f>
        <v>https://www.facebook.com/100009990394010</v>
      </c>
      <c r="K1950">
        <v>2208</v>
      </c>
      <c r="L1950" t="s">
        <v>6064</v>
      </c>
      <c r="N1950" t="s">
        <v>13</v>
      </c>
      <c r="O1950" t="s">
        <v>1041</v>
      </c>
      <c r="P1950" s="2" t="str">
        <f>HYPERLINK("https://www.facebook.com/1457135507899312")</f>
        <v>https://www.facebook.com/1457135507899312</v>
      </c>
      <c r="R1950" t="s">
        <v>6067</v>
      </c>
      <c r="S1950" t="s">
        <v>6073</v>
      </c>
    </row>
    <row r="1951" spans="1:19" ht="14.25" customHeight="1" x14ac:dyDescent="0.3">
      <c r="A1951" t="s">
        <v>629</v>
      </c>
      <c r="B1951" t="s">
        <v>411</v>
      </c>
      <c r="C1951" t="s">
        <v>95</v>
      </c>
      <c r="D1951" t="s">
        <v>370</v>
      </c>
      <c r="E1951" t="s">
        <v>371</v>
      </c>
      <c r="F1951" t="s">
        <v>6058</v>
      </c>
      <c r="G1951" s="2" t="str">
        <f>HYPERLINK("https://www.facebook.com/100009990394010/posts/625311124478562")</f>
        <v>https://www.facebook.com/100009990394010/posts/625311124478562</v>
      </c>
      <c r="H1951" t="s">
        <v>6062</v>
      </c>
      <c r="I1951" t="s">
        <v>1774</v>
      </c>
      <c r="J1951" s="2" t="str">
        <f>HYPERLINK("https://www.facebook.com/100009990394010")</f>
        <v>https://www.facebook.com/100009990394010</v>
      </c>
      <c r="K1951">
        <v>2208</v>
      </c>
      <c r="L1951" t="s">
        <v>6064</v>
      </c>
      <c r="N1951" t="s">
        <v>13</v>
      </c>
      <c r="O1951" t="s">
        <v>1774</v>
      </c>
      <c r="P1951" s="2" t="str">
        <f>HYPERLINK("https://www.facebook.com/100009990394010")</f>
        <v>https://www.facebook.com/100009990394010</v>
      </c>
      <c r="Q1951">
        <v>2208</v>
      </c>
      <c r="R1951" t="s">
        <v>6067</v>
      </c>
      <c r="S1951" t="s">
        <v>6073</v>
      </c>
    </row>
    <row r="1952" spans="1:19" ht="14.25" customHeight="1" x14ac:dyDescent="0.3">
      <c r="A1952" t="s">
        <v>2225</v>
      </c>
      <c r="B1952" t="s">
        <v>2759</v>
      </c>
      <c r="C1952" t="s">
        <v>95</v>
      </c>
      <c r="D1952" t="s">
        <v>853</v>
      </c>
      <c r="E1952" t="s">
        <v>2763</v>
      </c>
      <c r="F1952" t="s">
        <v>6059</v>
      </c>
      <c r="G1952" s="2" t="str">
        <f>HYPERLINK("https://www.facebook.com/100008934274771/posts/1810262525948206?comment_id=1810271755947283")</f>
        <v>https://www.facebook.com/100008934274771/posts/1810262525948206?comment_id=1810271755947283</v>
      </c>
      <c r="H1952" t="s">
        <v>6062</v>
      </c>
      <c r="I1952" t="s">
        <v>2764</v>
      </c>
      <c r="J1952" s="2" t="str">
        <f>HYPERLINK("https://www.facebook.com/100008818517993")</f>
        <v>https://www.facebook.com/100008818517993</v>
      </c>
      <c r="K1952">
        <v>22</v>
      </c>
      <c r="L1952" t="s">
        <v>6064</v>
      </c>
      <c r="N1952" t="s">
        <v>13</v>
      </c>
      <c r="O1952" t="s">
        <v>856</v>
      </c>
      <c r="P1952" s="2" t="str">
        <f>HYPERLINK("https://www.facebook.com/100008934274771")</f>
        <v>https://www.facebook.com/100008934274771</v>
      </c>
      <c r="Q1952">
        <v>10395</v>
      </c>
      <c r="R1952" t="s">
        <v>6067</v>
      </c>
      <c r="S1952" t="s">
        <v>6073</v>
      </c>
    </row>
    <row r="1953" spans="1:19" ht="14.25" customHeight="1" x14ac:dyDescent="0.3">
      <c r="A1953" t="s">
        <v>2225</v>
      </c>
      <c r="B1953" t="s">
        <v>2803</v>
      </c>
      <c r="C1953" t="s">
        <v>95</v>
      </c>
      <c r="D1953" t="s">
        <v>853</v>
      </c>
      <c r="E1953" t="s">
        <v>2814</v>
      </c>
      <c r="F1953" t="s">
        <v>6059</v>
      </c>
      <c r="G1953" s="2" t="str">
        <f>HYPERLINK("https://www.facebook.com/100008934274771/posts/1810262525948206?comment_id=1810268262614299")</f>
        <v>https://www.facebook.com/100008934274771/posts/1810262525948206?comment_id=1810268262614299</v>
      </c>
      <c r="H1953" t="s">
        <v>6062</v>
      </c>
      <c r="I1953" t="s">
        <v>2764</v>
      </c>
      <c r="J1953" s="2" t="str">
        <f>HYPERLINK("https://www.facebook.com/100008818517993")</f>
        <v>https://www.facebook.com/100008818517993</v>
      </c>
      <c r="K1953">
        <v>22</v>
      </c>
      <c r="L1953" t="s">
        <v>6064</v>
      </c>
      <c r="N1953" t="s">
        <v>13</v>
      </c>
      <c r="O1953" t="s">
        <v>856</v>
      </c>
      <c r="P1953" s="2" t="str">
        <f>HYPERLINK("https://www.facebook.com/100008934274771")</f>
        <v>https://www.facebook.com/100008934274771</v>
      </c>
      <c r="Q1953">
        <v>10395</v>
      </c>
      <c r="R1953" t="s">
        <v>6067</v>
      </c>
      <c r="S1953" t="s">
        <v>6073</v>
      </c>
    </row>
    <row r="1954" spans="1:19" ht="14.25" customHeight="1" x14ac:dyDescent="0.3">
      <c r="A1954" t="s">
        <v>5409</v>
      </c>
      <c r="B1954" t="s">
        <v>1476</v>
      </c>
      <c r="C1954" t="s">
        <v>3538</v>
      </c>
      <c r="D1954" t="s">
        <v>2321</v>
      </c>
      <c r="E1954" t="s">
        <v>5815</v>
      </c>
      <c r="F1954" t="s">
        <v>6056</v>
      </c>
      <c r="G1954" s="2" t="str">
        <f>HYPERLINK("https://www.facebook.com/100001664988119/posts/1748105275254955")</f>
        <v>https://www.facebook.com/100001664988119/posts/1748105275254955</v>
      </c>
      <c r="H1954" t="s">
        <v>6062</v>
      </c>
      <c r="I1954" t="s">
        <v>5816</v>
      </c>
      <c r="J1954" s="2" t="str">
        <f>HYPERLINK("https://www.facebook.com/100001664988119")</f>
        <v>https://www.facebook.com/100001664988119</v>
      </c>
      <c r="K1954">
        <v>404</v>
      </c>
      <c r="L1954" t="s">
        <v>6064</v>
      </c>
      <c r="N1954" t="s">
        <v>13</v>
      </c>
      <c r="O1954" t="s">
        <v>5816</v>
      </c>
      <c r="P1954" s="2" t="str">
        <f>HYPERLINK("https://www.facebook.com/100001664988119")</f>
        <v>https://www.facebook.com/100001664988119</v>
      </c>
      <c r="Q1954">
        <v>404</v>
      </c>
      <c r="R1954" t="s">
        <v>6067</v>
      </c>
      <c r="S1954" t="s">
        <v>6073</v>
      </c>
    </row>
    <row r="1955" spans="1:19" ht="14.25" customHeight="1" x14ac:dyDescent="0.3">
      <c r="A1955" t="s">
        <v>629</v>
      </c>
      <c r="B1955" t="s">
        <v>1975</v>
      </c>
      <c r="C1955" t="s">
        <v>95</v>
      </c>
      <c r="D1955" t="s">
        <v>370</v>
      </c>
      <c r="E1955" t="s">
        <v>371</v>
      </c>
      <c r="F1955" t="s">
        <v>6058</v>
      </c>
      <c r="G1955" s="2" t="str">
        <f>HYPERLINK("https://www.facebook.com/100008432231579/posts/1921144618176594")</f>
        <v>https://www.facebook.com/100008432231579/posts/1921144618176594</v>
      </c>
      <c r="H1955" t="s">
        <v>6062</v>
      </c>
      <c r="I1955" t="s">
        <v>1980</v>
      </c>
      <c r="J1955" s="2" t="str">
        <f>HYPERLINK("https://www.facebook.com/100008432231579")</f>
        <v>https://www.facebook.com/100008432231579</v>
      </c>
      <c r="K1955">
        <v>323</v>
      </c>
      <c r="L1955" t="s">
        <v>6064</v>
      </c>
      <c r="N1955" t="s">
        <v>13</v>
      </c>
      <c r="O1955" t="s">
        <v>1980</v>
      </c>
      <c r="P1955" s="2" t="str">
        <f>HYPERLINK("https://www.facebook.com/100008432231579")</f>
        <v>https://www.facebook.com/100008432231579</v>
      </c>
      <c r="Q1955">
        <v>323</v>
      </c>
      <c r="R1955" t="s">
        <v>6067</v>
      </c>
      <c r="S1955" t="s">
        <v>6073</v>
      </c>
    </row>
    <row r="1956" spans="1:19" ht="14.25" customHeight="1" x14ac:dyDescent="0.3">
      <c r="A1956" t="s">
        <v>2225</v>
      </c>
      <c r="B1956" t="s">
        <v>2433</v>
      </c>
      <c r="C1956" t="s">
        <v>95</v>
      </c>
      <c r="D1956" t="s">
        <v>853</v>
      </c>
      <c r="E1956" t="s">
        <v>2436</v>
      </c>
      <c r="F1956" t="s">
        <v>6059</v>
      </c>
      <c r="G1956" s="2" t="str">
        <f>HYPERLINK("https://www.facebook.com/100008934274771/posts/1810262525948206?comment_id=1810295139278278")</f>
        <v>https://www.facebook.com/100008934274771/posts/1810262525948206?comment_id=1810295139278278</v>
      </c>
      <c r="H1956" t="s">
        <v>6062</v>
      </c>
      <c r="I1956" t="s">
        <v>2437</v>
      </c>
      <c r="J1956" s="2" t="str">
        <f>HYPERLINK("https://www.facebook.com/100003302533297")</f>
        <v>https://www.facebook.com/100003302533297</v>
      </c>
      <c r="K1956">
        <v>2558</v>
      </c>
      <c r="L1956" t="s">
        <v>6064</v>
      </c>
      <c r="N1956" t="s">
        <v>13</v>
      </c>
      <c r="O1956" t="s">
        <v>856</v>
      </c>
      <c r="P1956" s="2" t="str">
        <f>HYPERLINK("https://www.facebook.com/100008934274771")</f>
        <v>https://www.facebook.com/100008934274771</v>
      </c>
      <c r="Q1956">
        <v>10395</v>
      </c>
      <c r="R1956" t="s">
        <v>6067</v>
      </c>
      <c r="S1956" t="s">
        <v>6073</v>
      </c>
    </row>
    <row r="1957" spans="1:19" ht="14.25" customHeight="1" x14ac:dyDescent="0.3">
      <c r="A1957" t="s">
        <v>4995</v>
      </c>
      <c r="B1957" t="s">
        <v>2356</v>
      </c>
      <c r="C1957" t="s">
        <v>3538</v>
      </c>
      <c r="D1957" t="s">
        <v>5029</v>
      </c>
      <c r="E1957" t="s">
        <v>5030</v>
      </c>
      <c r="F1957" t="s">
        <v>6058</v>
      </c>
      <c r="G1957" s="2" t="str">
        <f>HYPERLINK("https://www.facebook.com/100009699284880/posts/585681838431787")</f>
        <v>https://www.facebook.com/100009699284880/posts/585681838431787</v>
      </c>
      <c r="H1957" t="s">
        <v>6062</v>
      </c>
      <c r="I1957" t="s">
        <v>5031</v>
      </c>
      <c r="J1957" s="2" t="str">
        <f>HYPERLINK("https://www.facebook.com/100009699284880")</f>
        <v>https://www.facebook.com/100009699284880</v>
      </c>
      <c r="K1957">
        <v>0</v>
      </c>
      <c r="L1957" t="s">
        <v>6063</v>
      </c>
      <c r="N1957" t="s">
        <v>13</v>
      </c>
      <c r="O1957" t="s">
        <v>5031</v>
      </c>
      <c r="P1957" s="2" t="str">
        <f>HYPERLINK("https://www.facebook.com/100009699284880")</f>
        <v>https://www.facebook.com/100009699284880</v>
      </c>
      <c r="Q1957">
        <v>0</v>
      </c>
      <c r="R1957" t="s">
        <v>6067</v>
      </c>
      <c r="S1957" t="s">
        <v>6073</v>
      </c>
    </row>
    <row r="1958" spans="1:19" ht="14.25" customHeight="1" x14ac:dyDescent="0.3">
      <c r="A1958" t="s">
        <v>629</v>
      </c>
      <c r="B1958" t="s">
        <v>250</v>
      </c>
      <c r="C1958" t="s">
        <v>95</v>
      </c>
      <c r="D1958" t="s">
        <v>370</v>
      </c>
      <c r="E1958" t="s">
        <v>371</v>
      </c>
      <c r="F1958" t="s">
        <v>6058</v>
      </c>
      <c r="G1958" s="2" t="str">
        <f>HYPERLINK("https://www.facebook.com/100022488525629/posts/208280553264894")</f>
        <v>https://www.facebook.com/100022488525629/posts/208280553264894</v>
      </c>
      <c r="H1958" t="s">
        <v>6062</v>
      </c>
      <c r="I1958" t="s">
        <v>1458</v>
      </c>
      <c r="J1958" s="2" t="str">
        <f>HYPERLINK("https://www.facebook.com/100022488525629")</f>
        <v>https://www.facebook.com/100022488525629</v>
      </c>
      <c r="K1958">
        <v>77</v>
      </c>
      <c r="L1958" t="s">
        <v>6063</v>
      </c>
      <c r="N1958" t="s">
        <v>13</v>
      </c>
      <c r="O1958" t="s">
        <v>1458</v>
      </c>
      <c r="P1958" s="2" t="str">
        <f>HYPERLINK("https://www.facebook.com/100022488525629")</f>
        <v>https://www.facebook.com/100022488525629</v>
      </c>
      <c r="Q1958">
        <v>77</v>
      </c>
      <c r="R1958" t="s">
        <v>6067</v>
      </c>
    </row>
    <row r="1959" spans="1:19" ht="14.25" customHeight="1" x14ac:dyDescent="0.3">
      <c r="A1959" t="s">
        <v>5409</v>
      </c>
      <c r="B1959" t="s">
        <v>1322</v>
      </c>
      <c r="C1959" t="s">
        <v>3538</v>
      </c>
      <c r="D1959" t="s">
        <v>4675</v>
      </c>
      <c r="E1959" t="s">
        <v>5708</v>
      </c>
      <c r="F1959" t="s">
        <v>6059</v>
      </c>
      <c r="G1959" s="2" t="str">
        <f>HYPERLINK("https://www.facebook.com/1439247584/posts/10217349741762401?comment_id=10217356448810073")</f>
        <v>https://www.facebook.com/1439247584/posts/10217349741762401?comment_id=10217356448810073</v>
      </c>
      <c r="H1959" t="s">
        <v>6062</v>
      </c>
      <c r="I1959" t="s">
        <v>5709</v>
      </c>
      <c r="J1959" s="2" t="str">
        <f>HYPERLINK("https://www.facebook.com/100004136011994")</f>
        <v>https://www.facebook.com/100004136011994</v>
      </c>
      <c r="K1959">
        <v>895</v>
      </c>
      <c r="L1959" t="s">
        <v>6063</v>
      </c>
      <c r="N1959" t="s">
        <v>13</v>
      </c>
      <c r="O1959" t="s">
        <v>4678</v>
      </c>
      <c r="P1959" s="2" t="str">
        <f>HYPERLINK("https://www.facebook.com/1439247584")</f>
        <v>https://www.facebook.com/1439247584</v>
      </c>
      <c r="Q1959">
        <v>54</v>
      </c>
      <c r="R1959" t="s">
        <v>6067</v>
      </c>
      <c r="S1959" t="s">
        <v>6073</v>
      </c>
    </row>
    <row r="1960" spans="1:19" ht="14.25" customHeight="1" x14ac:dyDescent="0.3">
      <c r="A1960" t="s">
        <v>2225</v>
      </c>
      <c r="B1960" t="s">
        <v>704</v>
      </c>
      <c r="C1960" t="s">
        <v>95</v>
      </c>
      <c r="D1960" t="s">
        <v>544</v>
      </c>
      <c r="E1960" t="s">
        <v>545</v>
      </c>
      <c r="F1960" t="s">
        <v>6058</v>
      </c>
      <c r="G1960" s="2" t="str">
        <f>HYPERLINK("https://www.facebook.com/100003626140683/posts/1165279700269557")</f>
        <v>https://www.facebook.com/100003626140683/posts/1165279700269557</v>
      </c>
      <c r="H1960" t="s">
        <v>6062</v>
      </c>
      <c r="I1960" t="s">
        <v>2301</v>
      </c>
      <c r="J1960" s="2" t="str">
        <f>HYPERLINK("https://www.facebook.com/100003626140683")</f>
        <v>https://www.facebook.com/100003626140683</v>
      </c>
      <c r="K1960">
        <v>38</v>
      </c>
      <c r="L1960" t="s">
        <v>6063</v>
      </c>
      <c r="N1960" t="s">
        <v>13</v>
      </c>
      <c r="O1960" t="s">
        <v>2301</v>
      </c>
      <c r="P1960" s="2" t="str">
        <f>HYPERLINK("https://www.facebook.com/100003626140683")</f>
        <v>https://www.facebook.com/100003626140683</v>
      </c>
      <c r="Q1960">
        <v>38</v>
      </c>
      <c r="R1960" t="s">
        <v>6067</v>
      </c>
    </row>
    <row r="1961" spans="1:19" ht="14.25" customHeight="1" x14ac:dyDescent="0.3">
      <c r="A1961" t="s">
        <v>3527</v>
      </c>
      <c r="B1961" t="s">
        <v>634</v>
      </c>
      <c r="C1961" t="s">
        <v>95</v>
      </c>
      <c r="D1961" t="s">
        <v>3469</v>
      </c>
      <c r="E1961" t="s">
        <v>3470</v>
      </c>
      <c r="F1961" t="s">
        <v>6058</v>
      </c>
      <c r="G1961" s="2" t="str">
        <f>HYPERLINK("https://www.facebook.com/100003586877914/posts/1456379157824966")</f>
        <v>https://www.facebook.com/100003586877914/posts/1456379157824966</v>
      </c>
      <c r="H1961" t="s">
        <v>6062</v>
      </c>
      <c r="I1961" t="s">
        <v>1674</v>
      </c>
      <c r="J1961" s="2" t="str">
        <f>HYPERLINK("https://www.facebook.com/100003586877914")</f>
        <v>https://www.facebook.com/100003586877914</v>
      </c>
      <c r="K1961">
        <v>377</v>
      </c>
      <c r="L1961" t="s">
        <v>6064</v>
      </c>
      <c r="N1961" t="s">
        <v>13</v>
      </c>
      <c r="O1961" t="s">
        <v>1674</v>
      </c>
      <c r="P1961" s="2" t="str">
        <f>HYPERLINK("https://www.facebook.com/100003586877914")</f>
        <v>https://www.facebook.com/100003586877914</v>
      </c>
      <c r="Q1961">
        <v>377</v>
      </c>
      <c r="R1961" t="s">
        <v>6067</v>
      </c>
      <c r="S1961" t="s">
        <v>6073</v>
      </c>
    </row>
    <row r="1962" spans="1:19" ht="14.25" customHeight="1" x14ac:dyDescent="0.3">
      <c r="A1962" t="s">
        <v>629</v>
      </c>
      <c r="B1962" t="s">
        <v>1672</v>
      </c>
      <c r="C1962" t="s">
        <v>95</v>
      </c>
      <c r="D1962" t="s">
        <v>370</v>
      </c>
      <c r="E1962" t="s">
        <v>371</v>
      </c>
      <c r="F1962" t="s">
        <v>6058</v>
      </c>
      <c r="G1962" s="2" t="str">
        <f>HYPERLINK("https://www.facebook.com/100003586877914/posts/1457716324357916")</f>
        <v>https://www.facebook.com/100003586877914/posts/1457716324357916</v>
      </c>
      <c r="H1962" t="s">
        <v>6062</v>
      </c>
      <c r="I1962" t="s">
        <v>1674</v>
      </c>
      <c r="J1962" s="2" t="str">
        <f>HYPERLINK("https://www.facebook.com/100003586877914")</f>
        <v>https://www.facebook.com/100003586877914</v>
      </c>
      <c r="K1962">
        <v>377</v>
      </c>
      <c r="L1962" t="s">
        <v>6064</v>
      </c>
      <c r="N1962" t="s">
        <v>13</v>
      </c>
      <c r="O1962" t="s">
        <v>1674</v>
      </c>
      <c r="P1962" s="2" t="str">
        <f>HYPERLINK("https://www.facebook.com/100003586877914")</f>
        <v>https://www.facebook.com/100003586877914</v>
      </c>
      <c r="Q1962">
        <v>377</v>
      </c>
      <c r="R1962" t="s">
        <v>6067</v>
      </c>
      <c r="S1962" t="s">
        <v>6073</v>
      </c>
    </row>
    <row r="1963" spans="1:19" ht="14.25" customHeight="1" x14ac:dyDescent="0.3">
      <c r="A1963" t="s">
        <v>629</v>
      </c>
      <c r="B1963" t="s">
        <v>1690</v>
      </c>
      <c r="C1963" t="s">
        <v>95</v>
      </c>
      <c r="D1963" t="s">
        <v>370</v>
      </c>
      <c r="E1963" t="s">
        <v>371</v>
      </c>
      <c r="F1963" t="s">
        <v>6058</v>
      </c>
      <c r="G1963" s="2" t="str">
        <f>HYPERLINK("https://www.facebook.com/100003586877914/posts/1457711757691706")</f>
        <v>https://www.facebook.com/100003586877914/posts/1457711757691706</v>
      </c>
      <c r="H1963" t="s">
        <v>6062</v>
      </c>
      <c r="I1963" t="s">
        <v>1674</v>
      </c>
      <c r="J1963" s="2" t="str">
        <f>HYPERLINK("https://www.facebook.com/100003586877914")</f>
        <v>https://www.facebook.com/100003586877914</v>
      </c>
      <c r="K1963">
        <v>377</v>
      </c>
      <c r="L1963" t="s">
        <v>6064</v>
      </c>
      <c r="N1963" t="s">
        <v>13</v>
      </c>
      <c r="O1963" t="s">
        <v>1674</v>
      </c>
      <c r="P1963" s="2" t="str">
        <f>HYPERLINK("https://www.facebook.com/100003586877914")</f>
        <v>https://www.facebook.com/100003586877914</v>
      </c>
      <c r="Q1963">
        <v>377</v>
      </c>
      <c r="R1963" t="s">
        <v>6067</v>
      </c>
      <c r="S1963" t="s">
        <v>6073</v>
      </c>
    </row>
    <row r="1964" spans="1:19" ht="14.25" customHeight="1" x14ac:dyDescent="0.3">
      <c r="A1964" t="s">
        <v>629</v>
      </c>
      <c r="B1964" t="s">
        <v>1690</v>
      </c>
      <c r="C1964" t="s">
        <v>95</v>
      </c>
      <c r="D1964" t="s">
        <v>370</v>
      </c>
      <c r="E1964" t="s">
        <v>371</v>
      </c>
      <c r="F1964" t="s">
        <v>6058</v>
      </c>
      <c r="G1964" s="2" t="str">
        <f>HYPERLINK("https://www.facebook.com/100003586877914/posts/1457711654358383")</f>
        <v>https://www.facebook.com/100003586877914/posts/1457711654358383</v>
      </c>
      <c r="H1964" t="s">
        <v>6062</v>
      </c>
      <c r="I1964" t="s">
        <v>1674</v>
      </c>
      <c r="J1964" s="2" t="str">
        <f>HYPERLINK("https://www.facebook.com/100003586877914")</f>
        <v>https://www.facebook.com/100003586877914</v>
      </c>
      <c r="K1964">
        <v>377</v>
      </c>
      <c r="L1964" t="s">
        <v>6064</v>
      </c>
      <c r="N1964" t="s">
        <v>13</v>
      </c>
      <c r="O1964" t="s">
        <v>1674</v>
      </c>
      <c r="P1964" s="2" t="str">
        <f>HYPERLINK("https://www.facebook.com/100003586877914")</f>
        <v>https://www.facebook.com/100003586877914</v>
      </c>
      <c r="Q1964">
        <v>377</v>
      </c>
      <c r="R1964" t="s">
        <v>6067</v>
      </c>
      <c r="S1964" t="s">
        <v>6073</v>
      </c>
    </row>
    <row r="1965" spans="1:19" ht="14.25" customHeight="1" x14ac:dyDescent="0.3">
      <c r="A1965" t="s">
        <v>629</v>
      </c>
      <c r="B1965" t="s">
        <v>1713</v>
      </c>
      <c r="C1965" t="s">
        <v>95</v>
      </c>
      <c r="D1965" t="s">
        <v>370</v>
      </c>
      <c r="E1965" t="s">
        <v>371</v>
      </c>
      <c r="F1965" t="s">
        <v>6058</v>
      </c>
      <c r="G1965" s="2" t="str">
        <f>HYPERLINK("https://www.facebook.com/100009299584463/posts/2007696486216985")</f>
        <v>https://www.facebook.com/100009299584463/posts/2007696486216985</v>
      </c>
      <c r="H1965" t="s">
        <v>6062</v>
      </c>
      <c r="I1965" t="s">
        <v>1721</v>
      </c>
      <c r="J1965" s="2" t="str">
        <f>HYPERLINK("https://www.facebook.com/100009299584463")</f>
        <v>https://www.facebook.com/100009299584463</v>
      </c>
      <c r="K1965">
        <v>75</v>
      </c>
      <c r="L1965" t="s">
        <v>6063</v>
      </c>
      <c r="N1965" t="s">
        <v>13</v>
      </c>
      <c r="O1965" t="s">
        <v>1721</v>
      </c>
      <c r="P1965" s="2" t="str">
        <f>HYPERLINK("https://www.facebook.com/100009299584463")</f>
        <v>https://www.facebook.com/100009299584463</v>
      </c>
      <c r="Q1965">
        <v>75</v>
      </c>
      <c r="R1965" t="s">
        <v>6067</v>
      </c>
      <c r="S1965" t="s">
        <v>6073</v>
      </c>
    </row>
    <row r="1966" spans="1:19" ht="14.25" customHeight="1" x14ac:dyDescent="0.3">
      <c r="A1966" t="s">
        <v>2225</v>
      </c>
      <c r="B1966" t="s">
        <v>2433</v>
      </c>
      <c r="C1966" t="s">
        <v>95</v>
      </c>
      <c r="D1966" t="s">
        <v>544</v>
      </c>
      <c r="E1966" t="s">
        <v>545</v>
      </c>
      <c r="F1966" t="s">
        <v>6058</v>
      </c>
      <c r="G1966" s="2" t="str">
        <f>HYPERLINK("https://www.facebook.com/100005313308854/posts/860498704137232")</f>
        <v>https://www.facebook.com/100005313308854/posts/860498704137232</v>
      </c>
      <c r="H1966" t="s">
        <v>6062</v>
      </c>
      <c r="I1966" t="s">
        <v>2439</v>
      </c>
      <c r="J1966" s="2" t="str">
        <f>HYPERLINK("https://www.facebook.com/100005313308854")</f>
        <v>https://www.facebook.com/100005313308854</v>
      </c>
      <c r="K1966">
        <v>527</v>
      </c>
      <c r="L1966" t="s">
        <v>6063</v>
      </c>
      <c r="N1966" t="s">
        <v>13</v>
      </c>
      <c r="O1966" t="s">
        <v>2439</v>
      </c>
      <c r="P1966" s="2" t="str">
        <f>HYPERLINK("https://www.facebook.com/100005313308854")</f>
        <v>https://www.facebook.com/100005313308854</v>
      </c>
      <c r="Q1966">
        <v>527</v>
      </c>
      <c r="R1966" t="s">
        <v>6067</v>
      </c>
    </row>
    <row r="1967" spans="1:19" ht="14.25" customHeight="1" x14ac:dyDescent="0.3">
      <c r="A1967" t="s">
        <v>1</v>
      </c>
      <c r="B1967" t="s">
        <v>231</v>
      </c>
      <c r="C1967" t="s">
        <v>95</v>
      </c>
      <c r="D1967" t="s">
        <v>232</v>
      </c>
      <c r="E1967" t="s">
        <v>233</v>
      </c>
      <c r="F1967" t="s">
        <v>6058</v>
      </c>
      <c r="G1967" s="2" t="str">
        <f>HYPERLINK("https://www.facebook.com/100000882781775/posts/1761625367210206")</f>
        <v>https://www.facebook.com/100000882781775/posts/1761625367210206</v>
      </c>
      <c r="H1967" t="s">
        <v>6062</v>
      </c>
      <c r="I1967" t="s">
        <v>234</v>
      </c>
      <c r="J1967" s="2" t="str">
        <f>HYPERLINK("https://www.facebook.com/100000882781775")</f>
        <v>https://www.facebook.com/100000882781775</v>
      </c>
      <c r="K1967">
        <v>135</v>
      </c>
      <c r="L1967" t="s">
        <v>6064</v>
      </c>
      <c r="N1967" t="s">
        <v>13</v>
      </c>
      <c r="O1967" t="s">
        <v>234</v>
      </c>
      <c r="P1967" s="2" t="str">
        <f>HYPERLINK("https://www.facebook.com/100000882781775")</f>
        <v>https://www.facebook.com/100000882781775</v>
      </c>
      <c r="Q1967">
        <v>135</v>
      </c>
      <c r="R1967" t="s">
        <v>6067</v>
      </c>
      <c r="S1967" t="s">
        <v>6073</v>
      </c>
    </row>
    <row r="1968" spans="1:19" ht="14.25" customHeight="1" x14ac:dyDescent="0.3">
      <c r="A1968" t="s">
        <v>5409</v>
      </c>
      <c r="B1968" t="s">
        <v>4967</v>
      </c>
      <c r="C1968" t="s">
        <v>3538</v>
      </c>
      <c r="D1968" t="s">
        <v>4675</v>
      </c>
      <c r="E1968" t="s">
        <v>6028</v>
      </c>
      <c r="F1968" t="s">
        <v>6059</v>
      </c>
      <c r="G1968" s="2" t="str">
        <f>HYPERLINK("https://www.facebook.com/1439247584/posts/10217349741762401?comment_id=10217350926552020")</f>
        <v>https://www.facebook.com/1439247584/posts/10217349741762401?comment_id=10217350926552020</v>
      </c>
      <c r="H1968" t="s">
        <v>6062</v>
      </c>
      <c r="I1968" t="s">
        <v>4678</v>
      </c>
      <c r="J1968" s="2" t="str">
        <f>HYPERLINK("https://www.facebook.com/1439247584")</f>
        <v>https://www.facebook.com/1439247584</v>
      </c>
      <c r="K1968">
        <v>54</v>
      </c>
      <c r="L1968" t="s">
        <v>6063</v>
      </c>
      <c r="N1968" t="s">
        <v>13</v>
      </c>
      <c r="O1968" t="s">
        <v>4678</v>
      </c>
      <c r="P1968" s="2" t="str">
        <f>HYPERLINK("https://www.facebook.com/1439247584")</f>
        <v>https://www.facebook.com/1439247584</v>
      </c>
      <c r="Q1968">
        <v>54</v>
      </c>
      <c r="R1968" t="s">
        <v>6067</v>
      </c>
      <c r="S1968" t="s">
        <v>6073</v>
      </c>
    </row>
    <row r="1969" spans="1:19" ht="14.25" customHeight="1" x14ac:dyDescent="0.3">
      <c r="A1969" t="s">
        <v>4995</v>
      </c>
      <c r="B1969" t="s">
        <v>939</v>
      </c>
      <c r="C1969" t="s">
        <v>3538</v>
      </c>
      <c r="D1969" t="s">
        <v>4675</v>
      </c>
      <c r="E1969" t="s">
        <v>5139</v>
      </c>
      <c r="F1969" t="s">
        <v>6059</v>
      </c>
      <c r="G1969" s="2" t="str">
        <f>HYPERLINK("https://www.facebook.com/1439247584/posts/10217349741762401?comment_id=10217365703561436")</f>
        <v>https://www.facebook.com/1439247584/posts/10217349741762401?comment_id=10217365703561436</v>
      </c>
      <c r="H1969" t="s">
        <v>6062</v>
      </c>
      <c r="I1969" t="s">
        <v>4678</v>
      </c>
      <c r="J1969" s="2" t="str">
        <f>HYPERLINK("https://www.facebook.com/1439247584")</f>
        <v>https://www.facebook.com/1439247584</v>
      </c>
      <c r="K1969">
        <v>54</v>
      </c>
      <c r="L1969" t="s">
        <v>6063</v>
      </c>
      <c r="N1969" t="s">
        <v>13</v>
      </c>
      <c r="O1969" t="s">
        <v>4678</v>
      </c>
      <c r="P1969" s="2" t="str">
        <f>HYPERLINK("https://www.facebook.com/1439247584")</f>
        <v>https://www.facebook.com/1439247584</v>
      </c>
      <c r="Q1969">
        <v>54</v>
      </c>
      <c r="R1969" t="s">
        <v>6067</v>
      </c>
      <c r="S1969" t="s">
        <v>6073</v>
      </c>
    </row>
    <row r="1970" spans="1:19" ht="14.25" customHeight="1" x14ac:dyDescent="0.3">
      <c r="A1970" t="s">
        <v>3527</v>
      </c>
      <c r="B1970" t="s">
        <v>3908</v>
      </c>
      <c r="C1970" t="s">
        <v>95</v>
      </c>
      <c r="D1970" t="s">
        <v>3909</v>
      </c>
      <c r="E1970" t="s">
        <v>3910</v>
      </c>
      <c r="F1970" t="s">
        <v>6056</v>
      </c>
      <c r="G1970" s="2" t="str">
        <f>HYPERLINK("https://www.facebook.com/417583551775210/posts/828995563967338")</f>
        <v>https://www.facebook.com/417583551775210/posts/828995563967338</v>
      </c>
      <c r="H1970" t="s">
        <v>6062</v>
      </c>
      <c r="I1970" t="s">
        <v>3911</v>
      </c>
      <c r="J1970" s="2" t="str">
        <f>HYPERLINK("https://www.facebook.com/417583551775210")</f>
        <v>https://www.facebook.com/417583551775210</v>
      </c>
      <c r="K1970">
        <v>2010</v>
      </c>
      <c r="L1970" t="s">
        <v>6065</v>
      </c>
      <c r="N1970" t="s">
        <v>13</v>
      </c>
      <c r="O1970" t="s">
        <v>3911</v>
      </c>
      <c r="P1970" s="2" t="str">
        <f>HYPERLINK("https://www.facebook.com/417583551775210")</f>
        <v>https://www.facebook.com/417583551775210</v>
      </c>
      <c r="Q1970">
        <v>2010</v>
      </c>
      <c r="R1970" t="s">
        <v>6067</v>
      </c>
    </row>
    <row r="1971" spans="1:19" ht="14.25" customHeight="1" x14ac:dyDescent="0.3">
      <c r="A1971" t="s">
        <v>2225</v>
      </c>
      <c r="B1971" t="s">
        <v>2887</v>
      </c>
      <c r="C1971" t="s">
        <v>95</v>
      </c>
      <c r="D1971" t="s">
        <v>544</v>
      </c>
      <c r="E1971" t="s">
        <v>545</v>
      </c>
      <c r="F1971" t="s">
        <v>6058</v>
      </c>
      <c r="G1971" s="2" t="str">
        <f>HYPERLINK("https://www.facebook.com/100001152796008/posts/1741821135866296")</f>
        <v>https://www.facebook.com/100001152796008/posts/1741821135866296</v>
      </c>
      <c r="H1971" t="s">
        <v>6062</v>
      </c>
      <c r="I1971" t="s">
        <v>1799</v>
      </c>
      <c r="J1971" s="2" t="str">
        <f>HYPERLINK("https://www.facebook.com/100001152796008")</f>
        <v>https://www.facebook.com/100001152796008</v>
      </c>
      <c r="K1971">
        <v>7741</v>
      </c>
      <c r="L1971" t="s">
        <v>6064</v>
      </c>
      <c r="N1971" t="s">
        <v>13</v>
      </c>
      <c r="O1971" t="s">
        <v>1799</v>
      </c>
      <c r="P1971" s="2" t="str">
        <f>HYPERLINK("https://www.facebook.com/100001152796008")</f>
        <v>https://www.facebook.com/100001152796008</v>
      </c>
      <c r="Q1971">
        <v>7741</v>
      </c>
      <c r="R1971" t="s">
        <v>6067</v>
      </c>
      <c r="S1971" t="s">
        <v>6073</v>
      </c>
    </row>
    <row r="1972" spans="1:19" ht="14.25" customHeight="1" x14ac:dyDescent="0.3">
      <c r="A1972" t="s">
        <v>629</v>
      </c>
      <c r="B1972" t="s">
        <v>1795</v>
      </c>
      <c r="C1972" t="s">
        <v>95</v>
      </c>
      <c r="D1972" t="s">
        <v>370</v>
      </c>
      <c r="E1972" t="s">
        <v>371</v>
      </c>
      <c r="F1972" t="s">
        <v>6058</v>
      </c>
      <c r="G1972" s="2" t="str">
        <f>HYPERLINK("https://www.facebook.com/100001152796008/posts/1742390575809352")</f>
        <v>https://www.facebook.com/100001152796008/posts/1742390575809352</v>
      </c>
      <c r="H1972" t="s">
        <v>6062</v>
      </c>
      <c r="I1972" t="s">
        <v>1799</v>
      </c>
      <c r="J1972" s="2" t="str">
        <f>HYPERLINK("https://www.facebook.com/100001152796008")</f>
        <v>https://www.facebook.com/100001152796008</v>
      </c>
      <c r="K1972">
        <v>7741</v>
      </c>
      <c r="L1972" t="s">
        <v>6064</v>
      </c>
      <c r="N1972" t="s">
        <v>13</v>
      </c>
      <c r="O1972" t="s">
        <v>1799</v>
      </c>
      <c r="P1972" s="2" t="str">
        <f>HYPERLINK("https://www.facebook.com/100001152796008")</f>
        <v>https://www.facebook.com/100001152796008</v>
      </c>
      <c r="Q1972">
        <v>7741</v>
      </c>
      <c r="R1972" t="s">
        <v>6067</v>
      </c>
      <c r="S1972" t="s">
        <v>6073</v>
      </c>
    </row>
    <row r="1973" spans="1:19" ht="14.25" customHeight="1" x14ac:dyDescent="0.3">
      <c r="A1973" t="s">
        <v>629</v>
      </c>
      <c r="B1973" t="s">
        <v>1966</v>
      </c>
      <c r="C1973" t="s">
        <v>95</v>
      </c>
      <c r="D1973" t="s">
        <v>370</v>
      </c>
      <c r="E1973" t="s">
        <v>371</v>
      </c>
      <c r="F1973" t="s">
        <v>6058</v>
      </c>
      <c r="G1973" s="2" t="str">
        <f>HYPERLINK("https://www.facebook.com/100008766097756/posts/1842289616073224")</f>
        <v>https://www.facebook.com/100008766097756/posts/1842289616073224</v>
      </c>
      <c r="H1973" t="s">
        <v>6062</v>
      </c>
      <c r="I1973" t="s">
        <v>1968</v>
      </c>
      <c r="J1973" s="2" t="str">
        <f>HYPERLINK("https://www.facebook.com/100008766097756")</f>
        <v>https://www.facebook.com/100008766097756</v>
      </c>
      <c r="K1973">
        <v>231</v>
      </c>
      <c r="L1973" t="s">
        <v>6063</v>
      </c>
      <c r="N1973" t="s">
        <v>13</v>
      </c>
      <c r="O1973" t="s">
        <v>1968</v>
      </c>
      <c r="P1973" s="2" t="str">
        <f>HYPERLINK("https://www.facebook.com/100008766097756")</f>
        <v>https://www.facebook.com/100008766097756</v>
      </c>
      <c r="Q1973">
        <v>231</v>
      </c>
      <c r="R1973" t="s">
        <v>6067</v>
      </c>
    </row>
    <row r="1974" spans="1:19" ht="14.25" customHeight="1" x14ac:dyDescent="0.3">
      <c r="A1974" t="s">
        <v>2225</v>
      </c>
      <c r="B1974" t="s">
        <v>2890</v>
      </c>
      <c r="C1974" t="s">
        <v>95</v>
      </c>
      <c r="D1974" t="s">
        <v>544</v>
      </c>
      <c r="E1974" t="s">
        <v>545</v>
      </c>
      <c r="F1974" t="s">
        <v>6058</v>
      </c>
      <c r="G1974" s="2" t="str">
        <f>HYPERLINK("https://www.facebook.com/100007062842291/posts/2137611039817637")</f>
        <v>https://www.facebook.com/100007062842291/posts/2137611039817637</v>
      </c>
      <c r="H1974" t="s">
        <v>6062</v>
      </c>
      <c r="I1974" t="s">
        <v>2627</v>
      </c>
      <c r="J1974" s="2" t="str">
        <f t="shared" ref="J1974:J1979" si="55">HYPERLINK("https://www.facebook.com/100007062842291")</f>
        <v>https://www.facebook.com/100007062842291</v>
      </c>
      <c r="K1974">
        <v>2928</v>
      </c>
      <c r="L1974" t="s">
        <v>6064</v>
      </c>
      <c r="N1974" t="s">
        <v>13</v>
      </c>
      <c r="O1974" t="s">
        <v>2627</v>
      </c>
      <c r="P1974" s="2" t="str">
        <f>HYPERLINK("https://www.facebook.com/100007062842291")</f>
        <v>https://www.facebook.com/100007062842291</v>
      </c>
      <c r="Q1974">
        <v>2928</v>
      </c>
      <c r="R1974" t="s">
        <v>6067</v>
      </c>
      <c r="S1974" t="s">
        <v>6073</v>
      </c>
    </row>
    <row r="1975" spans="1:19" ht="14.25" customHeight="1" x14ac:dyDescent="0.3">
      <c r="A1975" t="s">
        <v>2225</v>
      </c>
      <c r="B1975" t="s">
        <v>2847</v>
      </c>
      <c r="C1975" t="s">
        <v>95</v>
      </c>
      <c r="D1975" t="s">
        <v>853</v>
      </c>
      <c r="E1975" t="s">
        <v>2848</v>
      </c>
      <c r="F1975" t="s">
        <v>6059</v>
      </c>
      <c r="G1975" s="2" t="str">
        <f>HYPERLINK("https://www.facebook.com/100008934274771/posts/1810262525948206?comment_id=1810266399281152")</f>
        <v>https://www.facebook.com/100008934274771/posts/1810262525948206?comment_id=1810266399281152</v>
      </c>
      <c r="H1975" t="s">
        <v>6062</v>
      </c>
      <c r="I1975" t="s">
        <v>2627</v>
      </c>
      <c r="J1975" s="2" t="str">
        <f t="shared" si="55"/>
        <v>https://www.facebook.com/100007062842291</v>
      </c>
      <c r="K1975">
        <v>2928</v>
      </c>
      <c r="L1975" t="s">
        <v>6064</v>
      </c>
      <c r="N1975" t="s">
        <v>13</v>
      </c>
      <c r="O1975" t="s">
        <v>856</v>
      </c>
      <c r="P1975" s="2" t="str">
        <f>HYPERLINK("https://www.facebook.com/100008934274771")</f>
        <v>https://www.facebook.com/100008934274771</v>
      </c>
      <c r="Q1975">
        <v>10395</v>
      </c>
      <c r="R1975" t="s">
        <v>6067</v>
      </c>
      <c r="S1975" t="s">
        <v>6073</v>
      </c>
    </row>
    <row r="1976" spans="1:19" ht="14.25" customHeight="1" x14ac:dyDescent="0.3">
      <c r="A1976" t="s">
        <v>2225</v>
      </c>
      <c r="B1976" t="s">
        <v>762</v>
      </c>
      <c r="C1976" t="s">
        <v>95</v>
      </c>
      <c r="D1976" t="s">
        <v>853</v>
      </c>
      <c r="E1976" t="s">
        <v>2820</v>
      </c>
      <c r="F1976" t="s">
        <v>6059</v>
      </c>
      <c r="G1976" s="2" t="str">
        <f>HYPERLINK("https://www.facebook.com/100008934274771/posts/1810262525948206?comment_id=1810267919281000")</f>
        <v>https://www.facebook.com/100008934274771/posts/1810262525948206?comment_id=1810267919281000</v>
      </c>
      <c r="H1976" t="s">
        <v>6062</v>
      </c>
      <c r="I1976" t="s">
        <v>2627</v>
      </c>
      <c r="J1976" s="2" t="str">
        <f t="shared" si="55"/>
        <v>https://www.facebook.com/100007062842291</v>
      </c>
      <c r="K1976">
        <v>2928</v>
      </c>
      <c r="L1976" t="s">
        <v>6064</v>
      </c>
      <c r="N1976" t="s">
        <v>13</v>
      </c>
      <c r="O1976" t="s">
        <v>856</v>
      </c>
      <c r="P1976" s="2" t="str">
        <f>HYPERLINK("https://www.facebook.com/100008934274771")</f>
        <v>https://www.facebook.com/100008934274771</v>
      </c>
      <c r="Q1976">
        <v>10395</v>
      </c>
      <c r="R1976" t="s">
        <v>6067</v>
      </c>
      <c r="S1976" t="s">
        <v>6073</v>
      </c>
    </row>
    <row r="1977" spans="1:19" ht="14.25" customHeight="1" x14ac:dyDescent="0.3">
      <c r="A1977" t="s">
        <v>2225</v>
      </c>
      <c r="B1977" t="s">
        <v>2836</v>
      </c>
      <c r="C1977" t="s">
        <v>95</v>
      </c>
      <c r="D1977" t="s">
        <v>2837</v>
      </c>
      <c r="E1977" t="s">
        <v>2838</v>
      </c>
      <c r="F1977" t="s">
        <v>6057</v>
      </c>
      <c r="G1977" s="2" t="str">
        <f>HYPERLINK("https://www.facebook.com/323046447887576/posts/810122055846677")</f>
        <v>https://www.facebook.com/323046447887576/posts/810122055846677</v>
      </c>
      <c r="H1977" t="s">
        <v>6062</v>
      </c>
      <c r="I1977" t="s">
        <v>2627</v>
      </c>
      <c r="J1977" s="2" t="str">
        <f t="shared" si="55"/>
        <v>https://www.facebook.com/100007062842291</v>
      </c>
      <c r="K1977">
        <v>2928</v>
      </c>
      <c r="L1977" t="s">
        <v>6064</v>
      </c>
      <c r="N1977" t="s">
        <v>13</v>
      </c>
      <c r="O1977" t="s">
        <v>2839</v>
      </c>
      <c r="P1977" s="2" t="str">
        <f>HYPERLINK("https://www.facebook.com/323046447887576")</f>
        <v>https://www.facebook.com/323046447887576</v>
      </c>
      <c r="R1977" t="s">
        <v>6067</v>
      </c>
      <c r="S1977" t="s">
        <v>6073</v>
      </c>
    </row>
    <row r="1978" spans="1:19" ht="14.25" customHeight="1" x14ac:dyDescent="0.3">
      <c r="A1978" t="s">
        <v>2225</v>
      </c>
      <c r="B1978" t="s">
        <v>2836</v>
      </c>
      <c r="C1978" t="s">
        <v>95</v>
      </c>
      <c r="D1978" t="s">
        <v>2837</v>
      </c>
      <c r="E1978" t="s">
        <v>2838</v>
      </c>
      <c r="F1978" t="s">
        <v>6057</v>
      </c>
      <c r="G1978" s="2" t="str">
        <f>HYPERLINK("https://www.facebook.com/323046447887576/posts/2137612586484149")</f>
        <v>https://www.facebook.com/323046447887576/posts/2137612586484149</v>
      </c>
      <c r="H1978" t="s">
        <v>6062</v>
      </c>
      <c r="I1978" t="s">
        <v>2627</v>
      </c>
      <c r="J1978" s="2" t="str">
        <f t="shared" si="55"/>
        <v>https://www.facebook.com/100007062842291</v>
      </c>
      <c r="K1978">
        <v>2928</v>
      </c>
      <c r="L1978" t="s">
        <v>6064</v>
      </c>
      <c r="N1978" t="s">
        <v>13</v>
      </c>
      <c r="O1978" t="s">
        <v>2839</v>
      </c>
      <c r="P1978" s="2" t="str">
        <f>HYPERLINK("https://www.facebook.com/323046447887576")</f>
        <v>https://www.facebook.com/323046447887576</v>
      </c>
      <c r="R1978" t="s">
        <v>6067</v>
      </c>
      <c r="S1978" t="s">
        <v>6073</v>
      </c>
    </row>
    <row r="1979" spans="1:19" ht="14.25" customHeight="1" x14ac:dyDescent="0.3">
      <c r="A1979" t="s">
        <v>2225</v>
      </c>
      <c r="B1979" t="s">
        <v>2712</v>
      </c>
      <c r="C1979" t="s">
        <v>95</v>
      </c>
      <c r="D1979" t="s">
        <v>853</v>
      </c>
      <c r="E1979" t="s">
        <v>2713</v>
      </c>
      <c r="F1979" t="s">
        <v>6059</v>
      </c>
      <c r="G1979" s="2" t="str">
        <f>HYPERLINK("https://www.facebook.com/100008934274771/posts/1810262525948206?comment_id=1810276485946810")</f>
        <v>https://www.facebook.com/100008934274771/posts/1810262525948206?comment_id=1810276485946810</v>
      </c>
      <c r="H1979" t="s">
        <v>6062</v>
      </c>
      <c r="I1979" t="s">
        <v>2627</v>
      </c>
      <c r="J1979" s="2" t="str">
        <f t="shared" si="55"/>
        <v>https://www.facebook.com/100007062842291</v>
      </c>
      <c r="K1979">
        <v>2928</v>
      </c>
      <c r="L1979" t="s">
        <v>6064</v>
      </c>
      <c r="N1979" t="s">
        <v>13</v>
      </c>
      <c r="O1979" t="s">
        <v>856</v>
      </c>
      <c r="P1979" s="2" t="str">
        <f>HYPERLINK("https://www.facebook.com/100008934274771")</f>
        <v>https://www.facebook.com/100008934274771</v>
      </c>
      <c r="Q1979">
        <v>10395</v>
      </c>
      <c r="R1979" t="s">
        <v>6067</v>
      </c>
      <c r="S1979" t="s">
        <v>6073</v>
      </c>
    </row>
    <row r="1980" spans="1:19" ht="14.25" customHeight="1" x14ac:dyDescent="0.3">
      <c r="A1980" t="s">
        <v>2225</v>
      </c>
      <c r="B1980" t="s">
        <v>764</v>
      </c>
      <c r="C1980" t="s">
        <v>95</v>
      </c>
      <c r="D1980" t="s">
        <v>544</v>
      </c>
      <c r="E1980" t="s">
        <v>545</v>
      </c>
      <c r="F1980" t="s">
        <v>6058</v>
      </c>
      <c r="G1980" s="2" t="str">
        <f>HYPERLINK("https://www.facebook.com/100008322848547/posts/2044875109133231")</f>
        <v>https://www.facebook.com/100008322848547/posts/2044875109133231</v>
      </c>
      <c r="H1980" t="s">
        <v>6062</v>
      </c>
      <c r="I1980" t="s">
        <v>2863</v>
      </c>
      <c r="J1980" s="2" t="str">
        <f>HYPERLINK("https://www.facebook.com/100008322848547")</f>
        <v>https://www.facebook.com/100008322848547</v>
      </c>
      <c r="K1980">
        <v>525</v>
      </c>
      <c r="L1980" t="s">
        <v>6063</v>
      </c>
      <c r="N1980" t="s">
        <v>13</v>
      </c>
      <c r="O1980" t="s">
        <v>2863</v>
      </c>
      <c r="P1980" s="2" t="str">
        <f>HYPERLINK("https://www.facebook.com/100008322848547")</f>
        <v>https://www.facebook.com/100008322848547</v>
      </c>
      <c r="Q1980">
        <v>525</v>
      </c>
      <c r="R1980" t="s">
        <v>6067</v>
      </c>
      <c r="S1980" t="s">
        <v>6073</v>
      </c>
    </row>
    <row r="1981" spans="1:19" ht="14.25" customHeight="1" x14ac:dyDescent="0.3">
      <c r="A1981" t="s">
        <v>629</v>
      </c>
      <c r="B1981" t="s">
        <v>363</v>
      </c>
      <c r="C1981" t="s">
        <v>95</v>
      </c>
      <c r="D1981" t="s">
        <v>370</v>
      </c>
      <c r="E1981" t="s">
        <v>371</v>
      </c>
      <c r="F1981" t="s">
        <v>6058</v>
      </c>
      <c r="G1981" s="2" t="str">
        <f>HYPERLINK("https://www.facebook.com/100002125843958/posts/1653893024691543")</f>
        <v>https://www.facebook.com/100002125843958/posts/1653893024691543</v>
      </c>
      <c r="H1981" t="s">
        <v>6062</v>
      </c>
      <c r="I1981" t="s">
        <v>1655</v>
      </c>
      <c r="J1981" s="2" t="str">
        <f>HYPERLINK("https://www.facebook.com/100002125843958")</f>
        <v>https://www.facebook.com/100002125843958</v>
      </c>
      <c r="K1981">
        <v>124</v>
      </c>
      <c r="L1981" t="s">
        <v>6063</v>
      </c>
      <c r="N1981" t="s">
        <v>13</v>
      </c>
      <c r="O1981" t="s">
        <v>1655</v>
      </c>
      <c r="P1981" s="2" t="str">
        <f>HYPERLINK("https://www.facebook.com/100002125843958")</f>
        <v>https://www.facebook.com/100002125843958</v>
      </c>
      <c r="Q1981">
        <v>124</v>
      </c>
      <c r="R1981" t="s">
        <v>6067</v>
      </c>
      <c r="S1981" t="s">
        <v>6073</v>
      </c>
    </row>
    <row r="1982" spans="1:19" ht="14.25" customHeight="1" x14ac:dyDescent="0.3">
      <c r="A1982" t="s">
        <v>4439</v>
      </c>
      <c r="B1982" t="s">
        <v>926</v>
      </c>
      <c r="C1982" t="s">
        <v>3538</v>
      </c>
      <c r="D1982" t="s">
        <v>4580</v>
      </c>
      <c r="E1982" t="s">
        <v>4581</v>
      </c>
      <c r="F1982" t="s">
        <v>6057</v>
      </c>
      <c r="G1982" s="2" t="str">
        <f>HYPERLINK("https://www.facebook.com/100001743428715/posts/1695867750481323")</f>
        <v>https://www.facebook.com/100001743428715/posts/1695867750481323</v>
      </c>
      <c r="H1982" t="s">
        <v>6062</v>
      </c>
      <c r="I1982" t="s">
        <v>4582</v>
      </c>
      <c r="J1982" s="2" t="str">
        <f>HYPERLINK("https://www.facebook.com/100001743428715")</f>
        <v>https://www.facebook.com/100001743428715</v>
      </c>
      <c r="K1982">
        <v>1803</v>
      </c>
      <c r="L1982" t="s">
        <v>6063</v>
      </c>
      <c r="N1982" t="s">
        <v>13</v>
      </c>
      <c r="O1982" t="s">
        <v>4582</v>
      </c>
      <c r="P1982" s="2" t="str">
        <f>HYPERLINK("https://www.facebook.com/100001743428715")</f>
        <v>https://www.facebook.com/100001743428715</v>
      </c>
      <c r="Q1982">
        <v>1803</v>
      </c>
      <c r="R1982" t="s">
        <v>6067</v>
      </c>
      <c r="S1982" t="s">
        <v>6073</v>
      </c>
    </row>
    <row r="1983" spans="1:19" ht="14.25" customHeight="1" x14ac:dyDescent="0.3">
      <c r="A1983" t="s">
        <v>2225</v>
      </c>
      <c r="B1983" t="s">
        <v>3149</v>
      </c>
      <c r="C1983" t="s">
        <v>95</v>
      </c>
      <c r="D1983" t="s">
        <v>464</v>
      </c>
      <c r="E1983" t="s">
        <v>3150</v>
      </c>
      <c r="F1983" t="s">
        <v>6059</v>
      </c>
      <c r="G1983" s="2" t="str">
        <f>HYPERLINK("https://www.facebook.com/1362386453/posts/10216460219362335?comment_id=10216460268883573")</f>
        <v>https://www.facebook.com/1362386453/posts/10216460219362335?comment_id=10216460268883573</v>
      </c>
      <c r="H1983" t="s">
        <v>6062</v>
      </c>
      <c r="I1983" t="s">
        <v>3151</v>
      </c>
      <c r="J1983" s="2" t="str">
        <f>HYPERLINK("https://www.facebook.com/100000755982042")</f>
        <v>https://www.facebook.com/100000755982042</v>
      </c>
      <c r="K1983">
        <v>4794</v>
      </c>
      <c r="L1983" t="s">
        <v>6063</v>
      </c>
      <c r="N1983" t="s">
        <v>13</v>
      </c>
      <c r="O1983" t="s">
        <v>467</v>
      </c>
      <c r="P1983" s="2" t="str">
        <f>HYPERLINK("https://www.facebook.com/1362386453")</f>
        <v>https://www.facebook.com/1362386453</v>
      </c>
      <c r="Q1983">
        <v>3896</v>
      </c>
      <c r="R1983" t="s">
        <v>6067</v>
      </c>
      <c r="S1983" t="s">
        <v>6073</v>
      </c>
    </row>
    <row r="1984" spans="1:19" ht="14.25" customHeight="1" x14ac:dyDescent="0.3">
      <c r="A1984" t="s">
        <v>2225</v>
      </c>
      <c r="B1984" t="s">
        <v>3159</v>
      </c>
      <c r="C1984" t="s">
        <v>95</v>
      </c>
      <c r="D1984" t="s">
        <v>464</v>
      </c>
      <c r="E1984" t="s">
        <v>3160</v>
      </c>
      <c r="F1984" t="s">
        <v>6059</v>
      </c>
      <c r="G1984" s="2" t="str">
        <f>HYPERLINK("https://www.facebook.com/1362386453/posts/10216460219362335?comment_id=10216460253763195")</f>
        <v>https://www.facebook.com/1362386453/posts/10216460219362335?comment_id=10216460253763195</v>
      </c>
      <c r="H1984" t="s">
        <v>6062</v>
      </c>
      <c r="I1984" t="s">
        <v>3151</v>
      </c>
      <c r="J1984" s="2" t="str">
        <f>HYPERLINK("https://www.facebook.com/100000755982042")</f>
        <v>https://www.facebook.com/100000755982042</v>
      </c>
      <c r="K1984">
        <v>4794</v>
      </c>
      <c r="L1984" t="s">
        <v>6063</v>
      </c>
      <c r="N1984" t="s">
        <v>13</v>
      </c>
      <c r="O1984" t="s">
        <v>467</v>
      </c>
      <c r="P1984" s="2" t="str">
        <f>HYPERLINK("https://www.facebook.com/1362386453")</f>
        <v>https://www.facebook.com/1362386453</v>
      </c>
      <c r="Q1984">
        <v>3896</v>
      </c>
      <c r="R1984" t="s">
        <v>6067</v>
      </c>
      <c r="S1984" t="s">
        <v>6073</v>
      </c>
    </row>
    <row r="1985" spans="1:19" ht="14.25" customHeight="1" x14ac:dyDescent="0.3">
      <c r="A1985" t="s">
        <v>2225</v>
      </c>
      <c r="B1985" t="s">
        <v>1070</v>
      </c>
      <c r="C1985" t="s">
        <v>95</v>
      </c>
      <c r="D1985" t="s">
        <v>464</v>
      </c>
      <c r="E1985" t="s">
        <v>3154</v>
      </c>
      <c r="F1985" t="s">
        <v>6059</v>
      </c>
      <c r="G1985" s="2" t="str">
        <f>HYPERLINK("https://www.facebook.com/1362386453/posts/10216460219362335?comment_id=10216460259843347")</f>
        <v>https://www.facebook.com/1362386453/posts/10216460219362335?comment_id=10216460259843347</v>
      </c>
      <c r="H1985" t="s">
        <v>6062</v>
      </c>
      <c r="I1985" t="s">
        <v>3151</v>
      </c>
      <c r="J1985" s="2" t="str">
        <f>HYPERLINK("https://www.facebook.com/100000755982042")</f>
        <v>https://www.facebook.com/100000755982042</v>
      </c>
      <c r="K1985">
        <v>4794</v>
      </c>
      <c r="L1985" t="s">
        <v>6063</v>
      </c>
      <c r="N1985" t="s">
        <v>13</v>
      </c>
      <c r="O1985" t="s">
        <v>467</v>
      </c>
      <c r="P1985" s="2" t="str">
        <f>HYPERLINK("https://www.facebook.com/1362386453")</f>
        <v>https://www.facebook.com/1362386453</v>
      </c>
      <c r="Q1985">
        <v>3896</v>
      </c>
      <c r="R1985" t="s">
        <v>6067</v>
      </c>
      <c r="S1985" t="s">
        <v>6073</v>
      </c>
    </row>
    <row r="1986" spans="1:19" ht="14.25" customHeight="1" x14ac:dyDescent="0.3">
      <c r="A1986" t="s">
        <v>629</v>
      </c>
      <c r="B1986" t="s">
        <v>1393</v>
      </c>
      <c r="C1986" t="s">
        <v>95</v>
      </c>
      <c r="D1986" t="s">
        <v>370</v>
      </c>
      <c r="E1986" t="s">
        <v>371</v>
      </c>
      <c r="F1986" t="s">
        <v>6058</v>
      </c>
      <c r="G1986" s="2" t="str">
        <f>HYPERLINK("https://www.facebook.com/100009971017434/posts/606546109687751")</f>
        <v>https://www.facebook.com/100009971017434/posts/606546109687751</v>
      </c>
      <c r="H1986" t="s">
        <v>6062</v>
      </c>
      <c r="I1986" t="s">
        <v>1394</v>
      </c>
      <c r="J1986" s="2" t="str">
        <f>HYPERLINK("https://www.facebook.com/100009971017434")</f>
        <v>https://www.facebook.com/100009971017434</v>
      </c>
      <c r="K1986">
        <v>0</v>
      </c>
      <c r="L1986" t="s">
        <v>6063</v>
      </c>
      <c r="N1986" t="s">
        <v>13</v>
      </c>
      <c r="O1986" t="s">
        <v>1394</v>
      </c>
      <c r="P1986" s="2" t="str">
        <f>HYPERLINK("https://www.facebook.com/100009971017434")</f>
        <v>https://www.facebook.com/100009971017434</v>
      </c>
      <c r="Q1986">
        <v>0</v>
      </c>
      <c r="R1986" t="s">
        <v>6067</v>
      </c>
      <c r="S1986" t="s">
        <v>6101</v>
      </c>
    </row>
    <row r="1987" spans="1:19" ht="14.25" customHeight="1" x14ac:dyDescent="0.3">
      <c r="A1987" t="s">
        <v>5409</v>
      </c>
      <c r="B1987" t="s">
        <v>1365</v>
      </c>
      <c r="C1987" t="s">
        <v>3538</v>
      </c>
      <c r="D1987" t="s">
        <v>3780</v>
      </c>
      <c r="E1987" t="s">
        <v>4672</v>
      </c>
      <c r="F1987" t="s">
        <v>6058</v>
      </c>
      <c r="G1987" s="2" t="str">
        <f>HYPERLINK("https://www.facebook.com/100000394547440/posts/2045360485487083")</f>
        <v>https://www.facebook.com/100000394547440/posts/2045360485487083</v>
      </c>
      <c r="H1987" t="s">
        <v>6062</v>
      </c>
      <c r="I1987" t="s">
        <v>1530</v>
      </c>
      <c r="J1987" s="2" t="str">
        <f>HYPERLINK("https://www.facebook.com/100000394547440")</f>
        <v>https://www.facebook.com/100000394547440</v>
      </c>
      <c r="K1987">
        <v>1665</v>
      </c>
      <c r="L1987" t="s">
        <v>6063</v>
      </c>
      <c r="N1987" t="s">
        <v>13</v>
      </c>
      <c r="O1987" t="s">
        <v>1530</v>
      </c>
      <c r="P1987" s="2" t="str">
        <f>HYPERLINK("https://www.facebook.com/100000394547440")</f>
        <v>https://www.facebook.com/100000394547440</v>
      </c>
      <c r="Q1987">
        <v>1665</v>
      </c>
      <c r="R1987" t="s">
        <v>6067</v>
      </c>
      <c r="S1987" t="s">
        <v>6073</v>
      </c>
    </row>
    <row r="1988" spans="1:19" ht="14.25" customHeight="1" x14ac:dyDescent="0.3">
      <c r="A1988" t="s">
        <v>629</v>
      </c>
      <c r="B1988" t="s">
        <v>1527</v>
      </c>
      <c r="C1988" t="s">
        <v>95</v>
      </c>
      <c r="D1988" t="s">
        <v>1528</v>
      </c>
      <c r="E1988" t="s">
        <v>1529</v>
      </c>
      <c r="F1988" t="s">
        <v>6057</v>
      </c>
      <c r="G1988" s="2" t="str">
        <f>HYPERLINK("https://www.facebook.com/100000394547440/posts/2050376944985437")</f>
        <v>https://www.facebook.com/100000394547440/posts/2050376944985437</v>
      </c>
      <c r="H1988" t="s">
        <v>6062</v>
      </c>
      <c r="I1988" t="s">
        <v>1530</v>
      </c>
      <c r="J1988" s="2" t="str">
        <f>HYPERLINK("https://www.facebook.com/100000394547440")</f>
        <v>https://www.facebook.com/100000394547440</v>
      </c>
      <c r="K1988">
        <v>1665</v>
      </c>
      <c r="L1988" t="s">
        <v>6063</v>
      </c>
      <c r="N1988" t="s">
        <v>13</v>
      </c>
      <c r="O1988" t="s">
        <v>1530</v>
      </c>
      <c r="P1988" s="2" t="str">
        <f>HYPERLINK("https://www.facebook.com/100000394547440")</f>
        <v>https://www.facebook.com/100000394547440</v>
      </c>
      <c r="Q1988">
        <v>1665</v>
      </c>
      <c r="R1988" t="s">
        <v>6067</v>
      </c>
      <c r="S1988" t="s">
        <v>6073</v>
      </c>
    </row>
    <row r="1989" spans="1:19" ht="14.25" customHeight="1" x14ac:dyDescent="0.3">
      <c r="A1989" t="s">
        <v>2225</v>
      </c>
      <c r="B1989" t="s">
        <v>1571</v>
      </c>
      <c r="C1989" t="s">
        <v>95</v>
      </c>
      <c r="D1989" t="s">
        <v>3194</v>
      </c>
      <c r="E1989" t="s">
        <v>3195</v>
      </c>
      <c r="F1989" t="s">
        <v>6058</v>
      </c>
      <c r="G1989" s="2" t="str">
        <f>HYPERLINK("https://www.facebook.com/100023177751440/posts/188347888614468")</f>
        <v>https://www.facebook.com/100023177751440/posts/188347888614468</v>
      </c>
      <c r="H1989" t="s">
        <v>6062</v>
      </c>
      <c r="I1989" t="s">
        <v>3395</v>
      </c>
      <c r="J1989" s="2" t="str">
        <f>HYPERLINK("https://www.facebook.com/100023177751440")</f>
        <v>https://www.facebook.com/100023177751440</v>
      </c>
      <c r="K1989">
        <v>79</v>
      </c>
      <c r="L1989" t="s">
        <v>6063</v>
      </c>
      <c r="N1989" t="s">
        <v>13</v>
      </c>
      <c r="O1989" t="s">
        <v>3395</v>
      </c>
      <c r="P1989" s="2" t="str">
        <f>HYPERLINK("https://www.facebook.com/100023177751440")</f>
        <v>https://www.facebook.com/100023177751440</v>
      </c>
      <c r="Q1989">
        <v>79</v>
      </c>
      <c r="R1989" t="s">
        <v>6067</v>
      </c>
    </row>
    <row r="1990" spans="1:19" ht="14.25" customHeight="1" x14ac:dyDescent="0.3">
      <c r="A1990" t="s">
        <v>2225</v>
      </c>
      <c r="B1990" t="s">
        <v>2824</v>
      </c>
      <c r="C1990" t="s">
        <v>95</v>
      </c>
      <c r="D1990" t="s">
        <v>544</v>
      </c>
      <c r="E1990" t="s">
        <v>545</v>
      </c>
      <c r="F1990" t="s">
        <v>6058</v>
      </c>
      <c r="G1990" s="2" t="str">
        <f>HYPERLINK("https://www.facebook.com/100011164053742/posts/560692017646262")</f>
        <v>https://www.facebook.com/100011164053742/posts/560692017646262</v>
      </c>
      <c r="H1990" t="s">
        <v>6062</v>
      </c>
      <c r="I1990" t="s">
        <v>2830</v>
      </c>
      <c r="J1990" s="2" t="str">
        <f>HYPERLINK("https://www.facebook.com/100011164053742")</f>
        <v>https://www.facebook.com/100011164053742</v>
      </c>
      <c r="K1990">
        <v>3639</v>
      </c>
      <c r="L1990" t="s">
        <v>6063</v>
      </c>
      <c r="N1990" t="s">
        <v>13</v>
      </c>
      <c r="O1990" t="s">
        <v>2830</v>
      </c>
      <c r="P1990" s="2" t="str">
        <f>HYPERLINK("https://www.facebook.com/100011164053742")</f>
        <v>https://www.facebook.com/100011164053742</v>
      </c>
      <c r="Q1990">
        <v>3639</v>
      </c>
      <c r="R1990" t="s">
        <v>6067</v>
      </c>
      <c r="S1990" t="s">
        <v>6073</v>
      </c>
    </row>
    <row r="1991" spans="1:19" ht="14.25" customHeight="1" x14ac:dyDescent="0.3">
      <c r="A1991" t="s">
        <v>4439</v>
      </c>
      <c r="B1991" t="s">
        <v>54</v>
      </c>
      <c r="C1991" t="s">
        <v>3538</v>
      </c>
      <c r="D1991" t="s">
        <v>4656</v>
      </c>
      <c r="E1991" t="s">
        <v>4657</v>
      </c>
      <c r="F1991" t="s">
        <v>6059</v>
      </c>
      <c r="G1991" s="2" t="str">
        <f>HYPERLINK("https://www.facebook.com/100009254472228/posts/1975307496121047?comment_id=1992820574369739")</f>
        <v>https://www.facebook.com/100009254472228/posts/1975307496121047?comment_id=1992820574369739</v>
      </c>
      <c r="H1991" t="s">
        <v>6062</v>
      </c>
      <c r="I1991" t="s">
        <v>4658</v>
      </c>
      <c r="J1991" s="2" t="str">
        <f>HYPERLINK("https://www.facebook.com/100009254472228")</f>
        <v>https://www.facebook.com/100009254472228</v>
      </c>
      <c r="K1991">
        <v>195</v>
      </c>
      <c r="L1991" t="s">
        <v>6063</v>
      </c>
      <c r="N1991" t="s">
        <v>13</v>
      </c>
      <c r="O1991" t="s">
        <v>4658</v>
      </c>
      <c r="P1991" s="2" t="str">
        <f>HYPERLINK("https://www.facebook.com/100009254472228")</f>
        <v>https://www.facebook.com/100009254472228</v>
      </c>
      <c r="Q1991">
        <v>195</v>
      </c>
      <c r="R1991" t="s">
        <v>6067</v>
      </c>
      <c r="S1991" t="s">
        <v>6073</v>
      </c>
    </row>
    <row r="1992" spans="1:19" ht="14.25" customHeight="1" x14ac:dyDescent="0.3">
      <c r="A1992" t="s">
        <v>629</v>
      </c>
      <c r="B1992" t="s">
        <v>441</v>
      </c>
      <c r="C1992" t="s">
        <v>95</v>
      </c>
      <c r="D1992" t="s">
        <v>370</v>
      </c>
      <c r="E1992" t="s">
        <v>371</v>
      </c>
      <c r="F1992" t="s">
        <v>6058</v>
      </c>
      <c r="G1992" s="2" t="str">
        <f>HYPERLINK("https://www.facebook.com/100001629911516/posts/1763677100363270")</f>
        <v>https://www.facebook.com/100001629911516/posts/1763677100363270</v>
      </c>
      <c r="H1992" t="s">
        <v>6062</v>
      </c>
      <c r="I1992" t="s">
        <v>1867</v>
      </c>
      <c r="J1992" s="2" t="str">
        <f>HYPERLINK("https://www.facebook.com/100001629911516")</f>
        <v>https://www.facebook.com/100001629911516</v>
      </c>
      <c r="K1992">
        <v>1708</v>
      </c>
      <c r="L1992" t="s">
        <v>6063</v>
      </c>
      <c r="N1992" t="s">
        <v>13</v>
      </c>
      <c r="O1992" t="s">
        <v>1867</v>
      </c>
      <c r="P1992" s="2" t="str">
        <f>HYPERLINK("https://www.facebook.com/100001629911516")</f>
        <v>https://www.facebook.com/100001629911516</v>
      </c>
      <c r="Q1992">
        <v>1708</v>
      </c>
      <c r="R1992" t="s">
        <v>6067</v>
      </c>
      <c r="S1992" t="s">
        <v>6073</v>
      </c>
    </row>
    <row r="1993" spans="1:19" ht="14.25" customHeight="1" x14ac:dyDescent="0.3">
      <c r="A1993" t="s">
        <v>2225</v>
      </c>
      <c r="B1993" t="s">
        <v>2685</v>
      </c>
      <c r="C1993" t="s">
        <v>95</v>
      </c>
      <c r="D1993" t="s">
        <v>544</v>
      </c>
      <c r="E1993" t="s">
        <v>545</v>
      </c>
      <c r="F1993" t="s">
        <v>6058</v>
      </c>
      <c r="G1993" s="2" t="str">
        <f>HYPERLINK("https://www.facebook.com/100014773187151/posts/366372417198528")</f>
        <v>https://www.facebook.com/100014773187151/posts/366372417198528</v>
      </c>
      <c r="H1993" t="s">
        <v>6062</v>
      </c>
      <c r="I1993" t="s">
        <v>2686</v>
      </c>
      <c r="J1993" s="2" t="str">
        <f>HYPERLINK("https://www.facebook.com/100014773187151")</f>
        <v>https://www.facebook.com/100014773187151</v>
      </c>
      <c r="K1993">
        <v>1418</v>
      </c>
      <c r="L1993" t="s">
        <v>6063</v>
      </c>
      <c r="N1993" t="s">
        <v>13</v>
      </c>
      <c r="O1993" t="s">
        <v>2686</v>
      </c>
      <c r="P1993" s="2" t="str">
        <f>HYPERLINK("https://www.facebook.com/100014773187151")</f>
        <v>https://www.facebook.com/100014773187151</v>
      </c>
      <c r="Q1993">
        <v>1418</v>
      </c>
      <c r="R1993" t="s">
        <v>6067</v>
      </c>
      <c r="S1993" t="s">
        <v>6073</v>
      </c>
    </row>
    <row r="1994" spans="1:19" ht="14.25" customHeight="1" x14ac:dyDescent="0.3">
      <c r="A1994" t="s">
        <v>3527</v>
      </c>
      <c r="B1994" t="s">
        <v>4024</v>
      </c>
      <c r="C1994" t="s">
        <v>95</v>
      </c>
      <c r="D1994" t="s">
        <v>690</v>
      </c>
      <c r="E1994" t="s">
        <v>4029</v>
      </c>
      <c r="F1994" t="s">
        <v>6059</v>
      </c>
      <c r="G1994" s="2" t="str">
        <f>HYPERLINK("https://www.facebook.com/278105015535592/posts/1935377959808281?comment_id=1935642886448455")</f>
        <v>https://www.facebook.com/278105015535592/posts/1935377959808281?comment_id=1935642886448455</v>
      </c>
      <c r="H1994" t="s">
        <v>6062</v>
      </c>
      <c r="I1994" t="s">
        <v>995</v>
      </c>
      <c r="J1994" s="2" t="str">
        <f>HYPERLINK("https://www.facebook.com/100013084470327")</f>
        <v>https://www.facebook.com/100013084470327</v>
      </c>
      <c r="K1994">
        <v>0</v>
      </c>
      <c r="L1994" t="s">
        <v>6063</v>
      </c>
      <c r="N1994" t="s">
        <v>13</v>
      </c>
      <c r="O1994" t="s">
        <v>996</v>
      </c>
      <c r="P1994" s="2" t="str">
        <f>HYPERLINK("https://www.facebook.com/278105015535592")</f>
        <v>https://www.facebook.com/278105015535592</v>
      </c>
      <c r="Q1994">
        <v>4845</v>
      </c>
      <c r="R1994" t="s">
        <v>6067</v>
      </c>
      <c r="S1994" t="s">
        <v>6073</v>
      </c>
    </row>
    <row r="1995" spans="1:19" ht="14.25" customHeight="1" x14ac:dyDescent="0.3">
      <c r="A1995" t="s">
        <v>629</v>
      </c>
      <c r="B1995" t="s">
        <v>993</v>
      </c>
      <c r="C1995" t="s">
        <v>95</v>
      </c>
      <c r="D1995" t="s">
        <v>690</v>
      </c>
      <c r="E1995" t="s">
        <v>994</v>
      </c>
      <c r="F1995" t="s">
        <v>6059</v>
      </c>
      <c r="G1995" s="2" t="str">
        <f>HYPERLINK("https://www.facebook.com/278105015535592/posts/1935377959808281?comment_id=1937851312894279")</f>
        <v>https://www.facebook.com/278105015535592/posts/1935377959808281?comment_id=1937851312894279</v>
      </c>
      <c r="H1995" t="s">
        <v>6062</v>
      </c>
      <c r="I1995" t="s">
        <v>995</v>
      </c>
      <c r="J1995" s="2" t="str">
        <f>HYPERLINK("https://www.facebook.com/100013084470327")</f>
        <v>https://www.facebook.com/100013084470327</v>
      </c>
      <c r="K1995">
        <v>0</v>
      </c>
      <c r="L1995" t="s">
        <v>6063</v>
      </c>
      <c r="N1995" t="s">
        <v>13</v>
      </c>
      <c r="O1995" t="s">
        <v>996</v>
      </c>
      <c r="P1995" s="2" t="str">
        <f>HYPERLINK("https://www.facebook.com/278105015535592")</f>
        <v>https://www.facebook.com/278105015535592</v>
      </c>
      <c r="Q1995">
        <v>4845</v>
      </c>
      <c r="R1995" t="s">
        <v>6067</v>
      </c>
      <c r="S1995" t="s">
        <v>6073</v>
      </c>
    </row>
    <row r="1996" spans="1:19" ht="14.25" customHeight="1" x14ac:dyDescent="0.3">
      <c r="A1996" t="s">
        <v>2225</v>
      </c>
      <c r="B1996" t="s">
        <v>2723</v>
      </c>
      <c r="C1996" t="s">
        <v>95</v>
      </c>
      <c r="D1996" t="s">
        <v>544</v>
      </c>
      <c r="E1996" t="s">
        <v>545</v>
      </c>
      <c r="F1996" t="s">
        <v>6058</v>
      </c>
      <c r="G1996" s="2" t="str">
        <f>HYPERLINK("https://www.facebook.com/100010814294940/posts/553842114986260")</f>
        <v>https://www.facebook.com/100010814294940/posts/553842114986260</v>
      </c>
      <c r="H1996" t="s">
        <v>6062</v>
      </c>
      <c r="I1996" t="s">
        <v>2727</v>
      </c>
      <c r="J1996" s="2" t="str">
        <f>HYPERLINK("https://www.facebook.com/100010814294940")</f>
        <v>https://www.facebook.com/100010814294940</v>
      </c>
      <c r="K1996">
        <v>40</v>
      </c>
      <c r="L1996" t="s">
        <v>6064</v>
      </c>
      <c r="N1996" t="s">
        <v>13</v>
      </c>
      <c r="O1996" t="s">
        <v>2727</v>
      </c>
      <c r="P1996" s="2" t="str">
        <f>HYPERLINK("https://www.facebook.com/100010814294940")</f>
        <v>https://www.facebook.com/100010814294940</v>
      </c>
      <c r="Q1996">
        <v>40</v>
      </c>
      <c r="R1996" t="s">
        <v>6067</v>
      </c>
    </row>
    <row r="1997" spans="1:19" ht="14.25" customHeight="1" x14ac:dyDescent="0.3">
      <c r="A1997" t="s">
        <v>4995</v>
      </c>
      <c r="B1997" t="s">
        <v>5218</v>
      </c>
      <c r="C1997" t="s">
        <v>3538</v>
      </c>
      <c r="D1997" t="s">
        <v>5017</v>
      </c>
      <c r="E1997" t="s">
        <v>5018</v>
      </c>
      <c r="F1997" t="s">
        <v>6058</v>
      </c>
      <c r="G1997" s="2" t="str">
        <f>HYPERLINK("https://www.facebook.com/100003575579241/posts/1481643835298121")</f>
        <v>https://www.facebook.com/100003575579241/posts/1481643835298121</v>
      </c>
      <c r="H1997" t="s">
        <v>6062</v>
      </c>
      <c r="I1997" t="s">
        <v>3756</v>
      </c>
      <c r="J1997" s="2" t="str">
        <f>HYPERLINK("https://www.facebook.com/100003575579241")</f>
        <v>https://www.facebook.com/100003575579241</v>
      </c>
      <c r="K1997">
        <v>1898</v>
      </c>
      <c r="L1997" t="s">
        <v>6064</v>
      </c>
      <c r="N1997" t="s">
        <v>13</v>
      </c>
      <c r="O1997" t="s">
        <v>3756</v>
      </c>
      <c r="P1997" s="2" t="str">
        <f>HYPERLINK("https://www.facebook.com/100003575579241")</f>
        <v>https://www.facebook.com/100003575579241</v>
      </c>
      <c r="Q1997">
        <v>1898</v>
      </c>
      <c r="R1997" t="s">
        <v>6067</v>
      </c>
      <c r="S1997" t="s">
        <v>6073</v>
      </c>
    </row>
    <row r="1998" spans="1:19" ht="14.25" customHeight="1" x14ac:dyDescent="0.3">
      <c r="A1998" t="s">
        <v>5409</v>
      </c>
      <c r="B1998" t="s">
        <v>290</v>
      </c>
      <c r="C1998" t="s">
        <v>3538</v>
      </c>
      <c r="D1998" t="s">
        <v>4318</v>
      </c>
      <c r="E1998" t="s">
        <v>5429</v>
      </c>
      <c r="F1998" t="s">
        <v>6058</v>
      </c>
      <c r="G1998" s="2" t="str">
        <f>HYPERLINK("https://www.facebook.com/100003575579241/posts/1480525565409948")</f>
        <v>https://www.facebook.com/100003575579241/posts/1480525565409948</v>
      </c>
      <c r="H1998" t="s">
        <v>6062</v>
      </c>
      <c r="I1998" t="s">
        <v>3756</v>
      </c>
      <c r="J1998" s="2" t="str">
        <f>HYPERLINK("https://www.facebook.com/100003575579241")</f>
        <v>https://www.facebook.com/100003575579241</v>
      </c>
      <c r="K1998">
        <v>1898</v>
      </c>
      <c r="L1998" t="s">
        <v>6064</v>
      </c>
      <c r="N1998" t="s">
        <v>13</v>
      </c>
      <c r="O1998" t="s">
        <v>3756</v>
      </c>
      <c r="P1998" s="2" t="str">
        <f>HYPERLINK("https://www.facebook.com/100003575579241")</f>
        <v>https://www.facebook.com/100003575579241</v>
      </c>
      <c r="Q1998">
        <v>1898</v>
      </c>
      <c r="R1998" t="s">
        <v>6067</v>
      </c>
      <c r="S1998" t="s">
        <v>6073</v>
      </c>
    </row>
    <row r="1999" spans="1:19" ht="14.25" customHeight="1" x14ac:dyDescent="0.3">
      <c r="A1999" t="s">
        <v>3527</v>
      </c>
      <c r="B1999" t="s">
        <v>812</v>
      </c>
      <c r="C1999" t="s">
        <v>95</v>
      </c>
      <c r="D1999" t="s">
        <v>522</v>
      </c>
      <c r="E1999" t="s">
        <v>523</v>
      </c>
      <c r="F1999" t="s">
        <v>6058</v>
      </c>
      <c r="G1999" s="2" t="str">
        <f>HYPERLINK("https://www.facebook.com/100003575579241/posts/1483936718402166")</f>
        <v>https://www.facebook.com/100003575579241/posts/1483936718402166</v>
      </c>
      <c r="H1999" t="s">
        <v>6062</v>
      </c>
      <c r="I1999" t="s">
        <v>3756</v>
      </c>
      <c r="J1999" s="2" t="str">
        <f>HYPERLINK("https://www.facebook.com/100003575579241")</f>
        <v>https://www.facebook.com/100003575579241</v>
      </c>
      <c r="K1999">
        <v>1898</v>
      </c>
      <c r="L1999" t="s">
        <v>6064</v>
      </c>
      <c r="N1999" t="s">
        <v>13</v>
      </c>
      <c r="O1999" t="s">
        <v>3756</v>
      </c>
      <c r="P1999" s="2" t="str">
        <f>HYPERLINK("https://www.facebook.com/100003575579241")</f>
        <v>https://www.facebook.com/100003575579241</v>
      </c>
      <c r="Q1999">
        <v>1898</v>
      </c>
      <c r="R1999" t="s">
        <v>6067</v>
      </c>
      <c r="S1999" t="s">
        <v>6073</v>
      </c>
    </row>
    <row r="2000" spans="1:19" ht="14.25" customHeight="1" x14ac:dyDescent="0.3">
      <c r="A2000" t="s">
        <v>629</v>
      </c>
      <c r="B2000" t="s">
        <v>1857</v>
      </c>
      <c r="C2000" t="s">
        <v>95</v>
      </c>
      <c r="D2000" t="s">
        <v>370</v>
      </c>
      <c r="E2000" t="s">
        <v>371</v>
      </c>
      <c r="F2000" t="s">
        <v>6058</v>
      </c>
      <c r="G2000" s="2" t="str">
        <f>HYPERLINK("https://www.facebook.com/100021795591674/posts/224681248268393")</f>
        <v>https://www.facebook.com/100021795591674/posts/224681248268393</v>
      </c>
      <c r="H2000" t="s">
        <v>6062</v>
      </c>
      <c r="I2000" t="s">
        <v>1858</v>
      </c>
      <c r="J2000" s="2" t="str">
        <f>HYPERLINK("https://www.facebook.com/100021795591674")</f>
        <v>https://www.facebook.com/100021795591674</v>
      </c>
      <c r="K2000">
        <v>2</v>
      </c>
      <c r="L2000" t="s">
        <v>6064</v>
      </c>
      <c r="N2000" t="s">
        <v>13</v>
      </c>
      <c r="O2000" t="s">
        <v>1858</v>
      </c>
      <c r="P2000" s="2" t="str">
        <f>HYPERLINK("https://www.facebook.com/100021795591674")</f>
        <v>https://www.facebook.com/100021795591674</v>
      </c>
      <c r="Q2000">
        <v>2</v>
      </c>
      <c r="R2000" t="s">
        <v>6067</v>
      </c>
    </row>
    <row r="2001" spans="1:19" ht="14.25" customHeight="1" x14ac:dyDescent="0.3">
      <c r="A2001" t="s">
        <v>4995</v>
      </c>
      <c r="B2001" t="s">
        <v>4227</v>
      </c>
      <c r="C2001" t="s">
        <v>3538</v>
      </c>
      <c r="D2001" t="s">
        <v>5017</v>
      </c>
      <c r="E2001" t="s">
        <v>5018</v>
      </c>
      <c r="F2001" t="s">
        <v>6058</v>
      </c>
      <c r="G2001" s="2" t="str">
        <f>HYPERLINK("https://www.facebook.com/100008914969082/posts/1785624365078045")</f>
        <v>https://www.facebook.com/100008914969082/posts/1785624365078045</v>
      </c>
      <c r="H2001" t="s">
        <v>6062</v>
      </c>
      <c r="I2001" t="s">
        <v>5234</v>
      </c>
      <c r="J2001" s="2" t="str">
        <f>HYPERLINK("https://www.facebook.com/100008914969082")</f>
        <v>https://www.facebook.com/100008914969082</v>
      </c>
      <c r="K2001">
        <v>259</v>
      </c>
      <c r="L2001" t="s">
        <v>6064</v>
      </c>
      <c r="N2001" t="s">
        <v>13</v>
      </c>
      <c r="O2001" t="s">
        <v>5234</v>
      </c>
      <c r="P2001" s="2" t="str">
        <f>HYPERLINK("https://www.facebook.com/100008914969082")</f>
        <v>https://www.facebook.com/100008914969082</v>
      </c>
      <c r="Q2001">
        <v>259</v>
      </c>
      <c r="R2001" t="s">
        <v>6067</v>
      </c>
      <c r="S2001" t="s">
        <v>6073</v>
      </c>
    </row>
    <row r="2002" spans="1:19" ht="14.25" customHeight="1" x14ac:dyDescent="0.3">
      <c r="A2002" t="s">
        <v>4439</v>
      </c>
      <c r="B2002" t="s">
        <v>643</v>
      </c>
      <c r="C2002" t="s">
        <v>3538</v>
      </c>
      <c r="D2002" t="s">
        <v>4171</v>
      </c>
      <c r="E2002" t="s">
        <v>4172</v>
      </c>
      <c r="F2002" t="s">
        <v>6058</v>
      </c>
      <c r="G2002" s="2" t="str">
        <f>HYPERLINK("https://www.facebook.com/100012524583394/posts/406658786428271")</f>
        <v>https://www.facebook.com/100012524583394/posts/406658786428271</v>
      </c>
      <c r="H2002" t="s">
        <v>6062</v>
      </c>
      <c r="I2002" t="s">
        <v>2703</v>
      </c>
      <c r="J2002" s="2" t="str">
        <f t="shared" ref="J2002:J2007" si="56">HYPERLINK("https://www.facebook.com/100012524583394")</f>
        <v>https://www.facebook.com/100012524583394</v>
      </c>
      <c r="K2002">
        <v>1389</v>
      </c>
      <c r="L2002" t="s">
        <v>6064</v>
      </c>
      <c r="N2002" t="s">
        <v>13</v>
      </c>
      <c r="O2002" t="s">
        <v>2703</v>
      </c>
      <c r="P2002" s="2" t="str">
        <f t="shared" ref="P2002:P2007" si="57">HYPERLINK("https://www.facebook.com/100012524583394")</f>
        <v>https://www.facebook.com/100012524583394</v>
      </c>
      <c r="Q2002">
        <v>1389</v>
      </c>
      <c r="R2002" t="s">
        <v>6067</v>
      </c>
      <c r="S2002" t="s">
        <v>6091</v>
      </c>
    </row>
    <row r="2003" spans="1:19" ht="14.25" customHeight="1" x14ac:dyDescent="0.3">
      <c r="A2003" t="s">
        <v>2225</v>
      </c>
      <c r="B2003" t="s">
        <v>2702</v>
      </c>
      <c r="C2003" t="s">
        <v>95</v>
      </c>
      <c r="D2003" t="s">
        <v>544</v>
      </c>
      <c r="E2003" t="s">
        <v>545</v>
      </c>
      <c r="F2003" t="s">
        <v>6058</v>
      </c>
      <c r="G2003" s="2" t="str">
        <f>HYPERLINK("https://www.facebook.com/100012524583394/posts/407289829698500")</f>
        <v>https://www.facebook.com/100012524583394/posts/407289829698500</v>
      </c>
      <c r="H2003" t="s">
        <v>6062</v>
      </c>
      <c r="I2003" t="s">
        <v>2703</v>
      </c>
      <c r="J2003" s="2" t="str">
        <f t="shared" si="56"/>
        <v>https://www.facebook.com/100012524583394</v>
      </c>
      <c r="K2003">
        <v>1389</v>
      </c>
      <c r="L2003" t="s">
        <v>6064</v>
      </c>
      <c r="N2003" t="s">
        <v>13</v>
      </c>
      <c r="O2003" t="s">
        <v>2703</v>
      </c>
      <c r="P2003" s="2" t="str">
        <f t="shared" si="57"/>
        <v>https://www.facebook.com/100012524583394</v>
      </c>
      <c r="Q2003">
        <v>1389</v>
      </c>
      <c r="R2003" t="s">
        <v>6067</v>
      </c>
      <c r="S2003" t="s">
        <v>6091</v>
      </c>
    </row>
    <row r="2004" spans="1:19" ht="14.25" customHeight="1" x14ac:dyDescent="0.3">
      <c r="A2004" t="s">
        <v>2225</v>
      </c>
      <c r="B2004" t="s">
        <v>2712</v>
      </c>
      <c r="C2004" t="s">
        <v>95</v>
      </c>
      <c r="D2004" t="s">
        <v>544</v>
      </c>
      <c r="E2004" t="s">
        <v>545</v>
      </c>
      <c r="F2004" t="s">
        <v>6058</v>
      </c>
      <c r="G2004" s="2" t="str">
        <f>HYPERLINK("https://www.facebook.com/100012524583394/posts/407289153031901")</f>
        <v>https://www.facebook.com/100012524583394/posts/407289153031901</v>
      </c>
      <c r="H2004" t="s">
        <v>6062</v>
      </c>
      <c r="I2004" t="s">
        <v>2703</v>
      </c>
      <c r="J2004" s="2" t="str">
        <f t="shared" si="56"/>
        <v>https://www.facebook.com/100012524583394</v>
      </c>
      <c r="K2004">
        <v>1389</v>
      </c>
      <c r="L2004" t="s">
        <v>6064</v>
      </c>
      <c r="N2004" t="s">
        <v>13</v>
      </c>
      <c r="O2004" t="s">
        <v>2703</v>
      </c>
      <c r="P2004" s="2" t="str">
        <f t="shared" si="57"/>
        <v>https://www.facebook.com/100012524583394</v>
      </c>
      <c r="Q2004">
        <v>1389</v>
      </c>
      <c r="R2004" t="s">
        <v>6067</v>
      </c>
      <c r="S2004" t="s">
        <v>6091</v>
      </c>
    </row>
    <row r="2005" spans="1:19" ht="14.25" customHeight="1" x14ac:dyDescent="0.3">
      <c r="A2005" t="s">
        <v>2225</v>
      </c>
      <c r="B2005" t="s">
        <v>2712</v>
      </c>
      <c r="C2005" t="s">
        <v>95</v>
      </c>
      <c r="D2005" t="s">
        <v>544</v>
      </c>
      <c r="E2005" t="s">
        <v>545</v>
      </c>
      <c r="F2005" t="s">
        <v>6058</v>
      </c>
      <c r="G2005" s="2" t="str">
        <f>HYPERLINK("https://www.facebook.com/100012524583394/posts/407289146365235")</f>
        <v>https://www.facebook.com/100012524583394/posts/407289146365235</v>
      </c>
      <c r="H2005" t="s">
        <v>6062</v>
      </c>
      <c r="I2005" t="s">
        <v>2703</v>
      </c>
      <c r="J2005" s="2" t="str">
        <f t="shared" si="56"/>
        <v>https://www.facebook.com/100012524583394</v>
      </c>
      <c r="K2005">
        <v>1389</v>
      </c>
      <c r="L2005" t="s">
        <v>6064</v>
      </c>
      <c r="N2005" t="s">
        <v>13</v>
      </c>
      <c r="O2005" t="s">
        <v>2703</v>
      </c>
      <c r="P2005" s="2" t="str">
        <f t="shared" si="57"/>
        <v>https://www.facebook.com/100012524583394</v>
      </c>
      <c r="Q2005">
        <v>1389</v>
      </c>
      <c r="R2005" t="s">
        <v>6067</v>
      </c>
      <c r="S2005" t="s">
        <v>6091</v>
      </c>
    </row>
    <row r="2006" spans="1:19" ht="14.25" customHeight="1" x14ac:dyDescent="0.3">
      <c r="A2006" t="s">
        <v>2225</v>
      </c>
      <c r="B2006" t="s">
        <v>756</v>
      </c>
      <c r="C2006" t="s">
        <v>95</v>
      </c>
      <c r="D2006" t="s">
        <v>544</v>
      </c>
      <c r="E2006" t="s">
        <v>545</v>
      </c>
      <c r="F2006" t="s">
        <v>6058</v>
      </c>
      <c r="G2006" s="2" t="str">
        <f>HYPERLINK("https://www.facebook.com/100012524583394/posts/407288356365314")</f>
        <v>https://www.facebook.com/100012524583394/posts/407288356365314</v>
      </c>
      <c r="H2006" t="s">
        <v>6062</v>
      </c>
      <c r="I2006" t="s">
        <v>2703</v>
      </c>
      <c r="J2006" s="2" t="str">
        <f t="shared" si="56"/>
        <v>https://www.facebook.com/100012524583394</v>
      </c>
      <c r="K2006">
        <v>1389</v>
      </c>
      <c r="L2006" t="s">
        <v>6064</v>
      </c>
      <c r="N2006" t="s">
        <v>13</v>
      </c>
      <c r="O2006" t="s">
        <v>2703</v>
      </c>
      <c r="P2006" s="2" t="str">
        <f t="shared" si="57"/>
        <v>https://www.facebook.com/100012524583394</v>
      </c>
      <c r="Q2006">
        <v>1389</v>
      </c>
      <c r="R2006" t="s">
        <v>6067</v>
      </c>
      <c r="S2006" t="s">
        <v>6091</v>
      </c>
    </row>
    <row r="2007" spans="1:19" ht="14.25" customHeight="1" x14ac:dyDescent="0.3">
      <c r="A2007" t="s">
        <v>2225</v>
      </c>
      <c r="B2007" t="s">
        <v>759</v>
      </c>
      <c r="C2007" t="s">
        <v>95</v>
      </c>
      <c r="D2007" t="s">
        <v>544</v>
      </c>
      <c r="E2007" t="s">
        <v>545</v>
      </c>
      <c r="F2007" t="s">
        <v>6058</v>
      </c>
      <c r="G2007" s="2" t="str">
        <f>HYPERLINK("https://www.facebook.com/100012524583394/posts/407288149698668")</f>
        <v>https://www.facebook.com/100012524583394/posts/407288149698668</v>
      </c>
      <c r="H2007" t="s">
        <v>6062</v>
      </c>
      <c r="I2007" t="s">
        <v>2703</v>
      </c>
      <c r="J2007" s="2" t="str">
        <f t="shared" si="56"/>
        <v>https://www.facebook.com/100012524583394</v>
      </c>
      <c r="K2007">
        <v>1389</v>
      </c>
      <c r="L2007" t="s">
        <v>6064</v>
      </c>
      <c r="N2007" t="s">
        <v>13</v>
      </c>
      <c r="O2007" t="s">
        <v>2703</v>
      </c>
      <c r="P2007" s="2" t="str">
        <f t="shared" si="57"/>
        <v>https://www.facebook.com/100012524583394</v>
      </c>
      <c r="Q2007">
        <v>1389</v>
      </c>
      <c r="R2007" t="s">
        <v>6067</v>
      </c>
      <c r="S2007" t="s">
        <v>6091</v>
      </c>
    </row>
    <row r="2008" spans="1:19" ht="14.25" customHeight="1" x14ac:dyDescent="0.3">
      <c r="A2008" t="s">
        <v>2225</v>
      </c>
      <c r="B2008" t="s">
        <v>2536</v>
      </c>
      <c r="C2008" t="s">
        <v>95</v>
      </c>
      <c r="D2008" t="s">
        <v>544</v>
      </c>
      <c r="E2008" t="s">
        <v>2543</v>
      </c>
      <c r="F2008" t="s">
        <v>6059</v>
      </c>
      <c r="G2008" s="2" t="str">
        <f>HYPERLINK("https://www.facebook.com/100007298550248/posts/2014497642136835?comment_id=2014520495467883")</f>
        <v>https://www.facebook.com/100007298550248/posts/2014497642136835?comment_id=2014520495467883</v>
      </c>
      <c r="H2008" t="s">
        <v>6062</v>
      </c>
      <c r="I2008" t="s">
        <v>2544</v>
      </c>
      <c r="J2008" s="2" t="str">
        <f>HYPERLINK("https://www.facebook.com/100002035153347")</f>
        <v>https://www.facebook.com/100002035153347</v>
      </c>
      <c r="K2008">
        <v>194</v>
      </c>
      <c r="L2008" t="s">
        <v>6064</v>
      </c>
      <c r="N2008" t="s">
        <v>13</v>
      </c>
      <c r="O2008" t="s">
        <v>765</v>
      </c>
      <c r="P2008" s="2" t="str">
        <f>HYPERLINK("https://www.facebook.com/100007298550248")</f>
        <v>https://www.facebook.com/100007298550248</v>
      </c>
      <c r="Q2008">
        <v>4993</v>
      </c>
      <c r="R2008" t="s">
        <v>6067</v>
      </c>
      <c r="S2008" t="s">
        <v>6073</v>
      </c>
    </row>
    <row r="2009" spans="1:19" ht="14.25" customHeight="1" x14ac:dyDescent="0.3">
      <c r="A2009" t="s">
        <v>2225</v>
      </c>
      <c r="B2009" t="s">
        <v>2588</v>
      </c>
      <c r="C2009" t="s">
        <v>95</v>
      </c>
      <c r="D2009" t="s">
        <v>544</v>
      </c>
      <c r="E2009" t="s">
        <v>545</v>
      </c>
      <c r="F2009" t="s">
        <v>6058</v>
      </c>
      <c r="G2009" s="2" t="str">
        <f>HYPERLINK("https://www.facebook.com/100009385071501/posts/2047541468902002")</f>
        <v>https://www.facebook.com/100009385071501/posts/2047541468902002</v>
      </c>
      <c r="H2009" t="s">
        <v>6062</v>
      </c>
      <c r="I2009" t="s">
        <v>1856</v>
      </c>
      <c r="J2009" s="2" t="str">
        <f>HYPERLINK("https://www.facebook.com/100009385071501")</f>
        <v>https://www.facebook.com/100009385071501</v>
      </c>
      <c r="K2009">
        <v>1840</v>
      </c>
      <c r="L2009" t="s">
        <v>6064</v>
      </c>
      <c r="N2009" t="s">
        <v>13</v>
      </c>
      <c r="O2009" t="s">
        <v>1856</v>
      </c>
      <c r="P2009" s="2" t="str">
        <f>HYPERLINK("https://www.facebook.com/100009385071501")</f>
        <v>https://www.facebook.com/100009385071501</v>
      </c>
      <c r="Q2009">
        <v>1840</v>
      </c>
      <c r="R2009" t="s">
        <v>6067</v>
      </c>
      <c r="S2009" t="s">
        <v>6073</v>
      </c>
    </row>
    <row r="2010" spans="1:19" ht="14.25" customHeight="1" x14ac:dyDescent="0.3">
      <c r="A2010" t="s">
        <v>629</v>
      </c>
      <c r="B2010" t="s">
        <v>1854</v>
      </c>
      <c r="C2010" t="s">
        <v>95</v>
      </c>
      <c r="D2010" t="s">
        <v>370</v>
      </c>
      <c r="E2010" t="s">
        <v>371</v>
      </c>
      <c r="F2010" t="s">
        <v>6058</v>
      </c>
      <c r="G2010" s="2" t="str">
        <f>HYPERLINK("https://www.facebook.com/100009385071501/posts/2047790395543776")</f>
        <v>https://www.facebook.com/100009385071501/posts/2047790395543776</v>
      </c>
      <c r="H2010" t="s">
        <v>6062</v>
      </c>
      <c r="I2010" t="s">
        <v>1856</v>
      </c>
      <c r="J2010" s="2" t="str">
        <f>HYPERLINK("https://www.facebook.com/100009385071501")</f>
        <v>https://www.facebook.com/100009385071501</v>
      </c>
      <c r="K2010">
        <v>1840</v>
      </c>
      <c r="L2010" t="s">
        <v>6064</v>
      </c>
      <c r="N2010" t="s">
        <v>13</v>
      </c>
      <c r="O2010" t="s">
        <v>1856</v>
      </c>
      <c r="P2010" s="2" t="str">
        <f>HYPERLINK("https://www.facebook.com/100009385071501")</f>
        <v>https://www.facebook.com/100009385071501</v>
      </c>
      <c r="Q2010">
        <v>1840</v>
      </c>
      <c r="R2010" t="s">
        <v>6067</v>
      </c>
      <c r="S2010" t="s">
        <v>6073</v>
      </c>
    </row>
    <row r="2011" spans="1:19" ht="14.25" customHeight="1" x14ac:dyDescent="0.3">
      <c r="A2011" t="s">
        <v>4439</v>
      </c>
      <c r="B2011" t="s">
        <v>3585</v>
      </c>
      <c r="C2011" t="s">
        <v>3538</v>
      </c>
      <c r="D2011" t="s">
        <v>1892</v>
      </c>
      <c r="E2011" t="s">
        <v>4451</v>
      </c>
      <c r="F2011" t="s">
        <v>6058</v>
      </c>
      <c r="G2011" s="2" t="str">
        <f>HYPERLINK("https://www.facebook.com/100014728296435/posts/357039718130302")</f>
        <v>https://www.facebook.com/100014728296435/posts/357039718130302</v>
      </c>
      <c r="H2011" t="s">
        <v>6062</v>
      </c>
      <c r="I2011" t="s">
        <v>4452</v>
      </c>
      <c r="J2011" s="2" t="str">
        <f>HYPERLINK("https://www.facebook.com/100014728296435")</f>
        <v>https://www.facebook.com/100014728296435</v>
      </c>
      <c r="K2011">
        <v>205</v>
      </c>
      <c r="L2011" t="s">
        <v>6064</v>
      </c>
      <c r="N2011" t="s">
        <v>13</v>
      </c>
      <c r="O2011" t="s">
        <v>4452</v>
      </c>
      <c r="P2011" s="2" t="str">
        <f>HYPERLINK("https://www.facebook.com/100014728296435")</f>
        <v>https://www.facebook.com/100014728296435</v>
      </c>
      <c r="Q2011">
        <v>205</v>
      </c>
      <c r="R2011" t="s">
        <v>6067</v>
      </c>
      <c r="S2011" t="s">
        <v>6073</v>
      </c>
    </row>
    <row r="2012" spans="1:19" ht="14.25" customHeight="1" x14ac:dyDescent="0.3">
      <c r="A2012" t="s">
        <v>2225</v>
      </c>
      <c r="B2012" t="s">
        <v>2628</v>
      </c>
      <c r="C2012" t="s">
        <v>95</v>
      </c>
      <c r="D2012" t="s">
        <v>544</v>
      </c>
      <c r="E2012" t="s">
        <v>545</v>
      </c>
      <c r="F2012" t="s">
        <v>6058</v>
      </c>
      <c r="G2012" s="2" t="str">
        <f>HYPERLINK("https://www.facebook.com/100010180952167/posts/600037777012249")</f>
        <v>https://www.facebook.com/100010180952167/posts/600037777012249</v>
      </c>
      <c r="H2012" t="s">
        <v>6062</v>
      </c>
      <c r="I2012" t="s">
        <v>2632</v>
      </c>
      <c r="J2012" s="2" t="str">
        <f>HYPERLINK("https://www.facebook.com/100010180952167")</f>
        <v>https://www.facebook.com/100010180952167</v>
      </c>
      <c r="K2012">
        <v>5258</v>
      </c>
      <c r="L2012" t="s">
        <v>6064</v>
      </c>
      <c r="N2012" t="s">
        <v>13</v>
      </c>
      <c r="O2012" t="s">
        <v>2632</v>
      </c>
      <c r="P2012" s="2" t="str">
        <f>HYPERLINK("https://www.facebook.com/100010180952167")</f>
        <v>https://www.facebook.com/100010180952167</v>
      </c>
      <c r="Q2012">
        <v>5258</v>
      </c>
      <c r="R2012" t="s">
        <v>6067</v>
      </c>
      <c r="S2012" t="s">
        <v>6073</v>
      </c>
    </row>
    <row r="2013" spans="1:19" ht="14.25" customHeight="1" x14ac:dyDescent="0.3">
      <c r="A2013" t="s">
        <v>2225</v>
      </c>
      <c r="B2013" t="s">
        <v>2803</v>
      </c>
      <c r="C2013" t="s">
        <v>95</v>
      </c>
      <c r="D2013" t="s">
        <v>544</v>
      </c>
      <c r="E2013" t="s">
        <v>545</v>
      </c>
      <c r="F2013" t="s">
        <v>6058</v>
      </c>
      <c r="G2013" s="2" t="str">
        <f>HYPERLINK("https://www.facebook.com/100006959585094/posts/2014004725508161")</f>
        <v>https://www.facebook.com/100006959585094/posts/2014004725508161</v>
      </c>
      <c r="H2013" t="s">
        <v>6062</v>
      </c>
      <c r="I2013" t="s">
        <v>2804</v>
      </c>
      <c r="J2013" s="2" t="str">
        <f>HYPERLINK("https://www.facebook.com/100006959585094")</f>
        <v>https://www.facebook.com/100006959585094</v>
      </c>
      <c r="K2013">
        <v>440</v>
      </c>
      <c r="L2013" t="s">
        <v>6064</v>
      </c>
      <c r="N2013" t="s">
        <v>13</v>
      </c>
      <c r="O2013" t="s">
        <v>2804</v>
      </c>
      <c r="P2013" s="2" t="str">
        <f>HYPERLINK("https://www.facebook.com/100006959585094")</f>
        <v>https://www.facebook.com/100006959585094</v>
      </c>
      <c r="Q2013">
        <v>440</v>
      </c>
      <c r="R2013" t="s">
        <v>6067</v>
      </c>
      <c r="S2013" t="s">
        <v>6073</v>
      </c>
    </row>
    <row r="2014" spans="1:19" ht="14.25" customHeight="1" x14ac:dyDescent="0.3">
      <c r="A2014" t="s">
        <v>4995</v>
      </c>
      <c r="B2014" t="s">
        <v>733</v>
      </c>
      <c r="C2014" t="s">
        <v>3538</v>
      </c>
      <c r="D2014" t="s">
        <v>4943</v>
      </c>
      <c r="E2014" t="s">
        <v>5038</v>
      </c>
      <c r="F2014" t="s">
        <v>6059</v>
      </c>
      <c r="G2014" s="2" t="str">
        <f>HYPERLINK("https://www.facebook.com/1181011217/posts/10215757430106998?comment_id=10215774452892557")</f>
        <v>https://www.facebook.com/1181011217/posts/10215757430106998?comment_id=10215774452892557</v>
      </c>
      <c r="H2014" t="s">
        <v>6062</v>
      </c>
      <c r="I2014" t="s">
        <v>5039</v>
      </c>
      <c r="J2014" s="2" t="str">
        <f>HYPERLINK("https://www.facebook.com/100007834809162")</f>
        <v>https://www.facebook.com/100007834809162</v>
      </c>
      <c r="K2014">
        <v>254</v>
      </c>
      <c r="L2014" t="s">
        <v>6064</v>
      </c>
      <c r="N2014" t="s">
        <v>13</v>
      </c>
      <c r="O2014" t="s">
        <v>4945</v>
      </c>
      <c r="P2014" s="2" t="str">
        <f>HYPERLINK("https://www.facebook.com/1181011217")</f>
        <v>https://www.facebook.com/1181011217</v>
      </c>
      <c r="Q2014">
        <v>0</v>
      </c>
      <c r="R2014" t="s">
        <v>6067</v>
      </c>
      <c r="S2014" t="s">
        <v>6073</v>
      </c>
    </row>
    <row r="2015" spans="1:19" ht="14.25" customHeight="1" x14ac:dyDescent="0.3">
      <c r="A2015" t="s">
        <v>4995</v>
      </c>
      <c r="B2015" t="s">
        <v>4760</v>
      </c>
      <c r="C2015" t="s">
        <v>3538</v>
      </c>
      <c r="D2015" t="s">
        <v>5017</v>
      </c>
      <c r="E2015" t="s">
        <v>5018</v>
      </c>
      <c r="F2015" t="s">
        <v>6058</v>
      </c>
      <c r="G2015" s="2" t="str">
        <f>HYPERLINK("https://www.facebook.com/100007245932181/posts/1985239411727571")</f>
        <v>https://www.facebook.com/100007245932181/posts/1985239411727571</v>
      </c>
      <c r="H2015" t="s">
        <v>6062</v>
      </c>
      <c r="I2015" t="s">
        <v>945</v>
      </c>
      <c r="J2015" s="2" t="str">
        <f>HYPERLINK("https://www.facebook.com/100007245932181")</f>
        <v>https://www.facebook.com/100007245932181</v>
      </c>
      <c r="K2015">
        <v>1089</v>
      </c>
      <c r="L2015" t="s">
        <v>6063</v>
      </c>
      <c r="N2015" t="s">
        <v>13</v>
      </c>
      <c r="O2015" t="s">
        <v>945</v>
      </c>
      <c r="P2015" s="2" t="str">
        <f>HYPERLINK("https://www.facebook.com/100007245932181")</f>
        <v>https://www.facebook.com/100007245932181</v>
      </c>
      <c r="Q2015">
        <v>1089</v>
      </c>
      <c r="R2015" t="s">
        <v>6067</v>
      </c>
      <c r="S2015" t="s">
        <v>6073</v>
      </c>
    </row>
    <row r="2016" spans="1:19" ht="14.25" customHeight="1" x14ac:dyDescent="0.3">
      <c r="A2016" t="s">
        <v>5409</v>
      </c>
      <c r="B2016" t="s">
        <v>3568</v>
      </c>
      <c r="C2016" t="s">
        <v>3538</v>
      </c>
      <c r="D2016" t="s">
        <v>4318</v>
      </c>
      <c r="E2016" t="s">
        <v>5429</v>
      </c>
      <c r="F2016" t="s">
        <v>6058</v>
      </c>
      <c r="G2016" s="2" t="str">
        <f>HYPERLINK("https://www.facebook.com/100007245932181/posts/1985001668418012")</f>
        <v>https://www.facebook.com/100007245932181/posts/1985001668418012</v>
      </c>
      <c r="H2016" t="s">
        <v>6062</v>
      </c>
      <c r="I2016" t="s">
        <v>945</v>
      </c>
      <c r="J2016" s="2" t="str">
        <f>HYPERLINK("https://www.facebook.com/100007245932181")</f>
        <v>https://www.facebook.com/100007245932181</v>
      </c>
      <c r="K2016">
        <v>1089</v>
      </c>
      <c r="L2016" t="s">
        <v>6063</v>
      </c>
      <c r="N2016" t="s">
        <v>13</v>
      </c>
      <c r="O2016" t="s">
        <v>945</v>
      </c>
      <c r="P2016" s="2" t="str">
        <f>HYPERLINK("https://www.facebook.com/100007245932181")</f>
        <v>https://www.facebook.com/100007245932181</v>
      </c>
      <c r="Q2016">
        <v>1089</v>
      </c>
      <c r="R2016" t="s">
        <v>6067</v>
      </c>
      <c r="S2016" t="s">
        <v>6073</v>
      </c>
    </row>
    <row r="2017" spans="1:19" ht="14.25" customHeight="1" x14ac:dyDescent="0.3">
      <c r="A2017" t="s">
        <v>629</v>
      </c>
      <c r="B2017" t="s">
        <v>942</v>
      </c>
      <c r="C2017" t="s">
        <v>95</v>
      </c>
      <c r="D2017" t="s">
        <v>943</v>
      </c>
      <c r="E2017" t="s">
        <v>944</v>
      </c>
      <c r="F2017" t="s">
        <v>6059</v>
      </c>
      <c r="G2017" s="2" t="str">
        <f>HYPERLINK("https://www.facebook.com/100001630835629/posts/1791978844199793?comment_id=1794208563976821")</f>
        <v>https://www.facebook.com/100001630835629/posts/1791978844199793?comment_id=1794208563976821</v>
      </c>
      <c r="H2017" t="s">
        <v>6062</v>
      </c>
      <c r="I2017" t="s">
        <v>945</v>
      </c>
      <c r="J2017" s="2" t="str">
        <f>HYPERLINK("https://www.facebook.com/100007245932181")</f>
        <v>https://www.facebook.com/100007245932181</v>
      </c>
      <c r="K2017">
        <v>1089</v>
      </c>
      <c r="L2017" t="s">
        <v>6063</v>
      </c>
      <c r="N2017" t="s">
        <v>13</v>
      </c>
      <c r="O2017" t="s">
        <v>946</v>
      </c>
      <c r="P2017" s="2" t="str">
        <f>HYPERLINK("https://www.facebook.com/100001630835629")</f>
        <v>https://www.facebook.com/100001630835629</v>
      </c>
      <c r="Q2017">
        <v>2530</v>
      </c>
      <c r="R2017" t="s">
        <v>6067</v>
      </c>
      <c r="S2017" t="s">
        <v>6073</v>
      </c>
    </row>
    <row r="2018" spans="1:19" ht="14.25" customHeight="1" x14ac:dyDescent="0.3">
      <c r="A2018" t="s">
        <v>4439</v>
      </c>
      <c r="B2018" t="s">
        <v>2691</v>
      </c>
      <c r="C2018" t="s">
        <v>3538</v>
      </c>
      <c r="D2018" t="s">
        <v>4171</v>
      </c>
      <c r="E2018" t="s">
        <v>4172</v>
      </c>
      <c r="F2018" t="s">
        <v>6058</v>
      </c>
      <c r="G2018" s="2" t="str">
        <f>HYPERLINK("https://www.facebook.com/100003160573160/posts/1648236075291729")</f>
        <v>https://www.facebook.com/100003160573160/posts/1648236075291729</v>
      </c>
      <c r="H2018" t="s">
        <v>6062</v>
      </c>
      <c r="I2018" t="s">
        <v>2013</v>
      </c>
      <c r="J2018" s="2" t="str">
        <f>HYPERLINK("https://www.facebook.com/100003160573160")</f>
        <v>https://www.facebook.com/100003160573160</v>
      </c>
      <c r="K2018">
        <v>299</v>
      </c>
      <c r="L2018" t="s">
        <v>6063</v>
      </c>
      <c r="M2018">
        <v>58</v>
      </c>
      <c r="N2018" t="s">
        <v>13</v>
      </c>
      <c r="O2018" t="s">
        <v>2013</v>
      </c>
      <c r="P2018" s="2" t="str">
        <f>HYPERLINK("https://www.facebook.com/100003160573160")</f>
        <v>https://www.facebook.com/100003160573160</v>
      </c>
      <c r="Q2018">
        <v>299</v>
      </c>
      <c r="R2018" t="s">
        <v>6067</v>
      </c>
      <c r="S2018" t="s">
        <v>6073</v>
      </c>
    </row>
    <row r="2019" spans="1:19" ht="14.25" customHeight="1" x14ac:dyDescent="0.3">
      <c r="A2019" t="s">
        <v>2225</v>
      </c>
      <c r="B2019" t="s">
        <v>2803</v>
      </c>
      <c r="C2019" t="s">
        <v>95</v>
      </c>
      <c r="D2019" t="s">
        <v>544</v>
      </c>
      <c r="E2019" t="s">
        <v>545</v>
      </c>
      <c r="F2019" t="s">
        <v>6058</v>
      </c>
      <c r="G2019" s="2" t="str">
        <f>HYPERLINK("https://www.facebook.com/100003160573160/posts/1650256021756401")</f>
        <v>https://www.facebook.com/100003160573160/posts/1650256021756401</v>
      </c>
      <c r="H2019" t="s">
        <v>6062</v>
      </c>
      <c r="I2019" t="s">
        <v>2013</v>
      </c>
      <c r="J2019" s="2" t="str">
        <f>HYPERLINK("https://www.facebook.com/100003160573160")</f>
        <v>https://www.facebook.com/100003160573160</v>
      </c>
      <c r="K2019">
        <v>299</v>
      </c>
      <c r="L2019" t="s">
        <v>6063</v>
      </c>
      <c r="M2019">
        <v>58</v>
      </c>
      <c r="N2019" t="s">
        <v>13</v>
      </c>
      <c r="O2019" t="s">
        <v>2013</v>
      </c>
      <c r="P2019" s="2" t="str">
        <f>HYPERLINK("https://www.facebook.com/100003160573160")</f>
        <v>https://www.facebook.com/100003160573160</v>
      </c>
      <c r="Q2019">
        <v>299</v>
      </c>
      <c r="R2019" t="s">
        <v>6067</v>
      </c>
      <c r="S2019" t="s">
        <v>6073</v>
      </c>
    </row>
    <row r="2020" spans="1:19" ht="14.25" customHeight="1" x14ac:dyDescent="0.3">
      <c r="A2020" t="s">
        <v>629</v>
      </c>
      <c r="B2020" t="s">
        <v>2012</v>
      </c>
      <c r="C2020" t="s">
        <v>95</v>
      </c>
      <c r="D2020" t="s">
        <v>370</v>
      </c>
      <c r="E2020" t="s">
        <v>371</v>
      </c>
      <c r="F2020" t="s">
        <v>6058</v>
      </c>
      <c r="G2020" s="2" t="str">
        <f>HYPERLINK("https://www.facebook.com/100003160573160/posts/1650729498375720")</f>
        <v>https://www.facebook.com/100003160573160/posts/1650729498375720</v>
      </c>
      <c r="H2020" t="s">
        <v>6062</v>
      </c>
      <c r="I2020" t="s">
        <v>2013</v>
      </c>
      <c r="J2020" s="2" t="str">
        <f>HYPERLINK("https://www.facebook.com/100003160573160")</f>
        <v>https://www.facebook.com/100003160573160</v>
      </c>
      <c r="K2020">
        <v>299</v>
      </c>
      <c r="L2020" t="s">
        <v>6063</v>
      </c>
      <c r="M2020">
        <v>58</v>
      </c>
      <c r="N2020" t="s">
        <v>13</v>
      </c>
      <c r="O2020" t="s">
        <v>2013</v>
      </c>
      <c r="P2020" s="2" t="str">
        <f>HYPERLINK("https://www.facebook.com/100003160573160")</f>
        <v>https://www.facebook.com/100003160573160</v>
      </c>
      <c r="Q2020">
        <v>299</v>
      </c>
      <c r="R2020" t="s">
        <v>6067</v>
      </c>
      <c r="S2020" t="s">
        <v>6073</v>
      </c>
    </row>
    <row r="2021" spans="1:19" ht="14.25" customHeight="1" x14ac:dyDescent="0.3">
      <c r="A2021" t="s">
        <v>629</v>
      </c>
      <c r="B2021" t="s">
        <v>1698</v>
      </c>
      <c r="C2021" t="s">
        <v>95</v>
      </c>
      <c r="D2021" t="s">
        <v>370</v>
      </c>
      <c r="E2021" t="s">
        <v>371</v>
      </c>
      <c r="F2021" t="s">
        <v>6058</v>
      </c>
      <c r="G2021" s="2" t="str">
        <f>HYPERLINK("https://www.facebook.com/100002783323235/posts/1214166502019449")</f>
        <v>https://www.facebook.com/100002783323235/posts/1214166502019449</v>
      </c>
      <c r="H2021" t="s">
        <v>6062</v>
      </c>
      <c r="I2021" t="s">
        <v>1699</v>
      </c>
      <c r="J2021" s="2" t="str">
        <f>HYPERLINK("https://www.facebook.com/100002783323235")</f>
        <v>https://www.facebook.com/100002783323235</v>
      </c>
      <c r="K2021">
        <v>0</v>
      </c>
      <c r="L2021" t="s">
        <v>6063</v>
      </c>
      <c r="N2021" t="s">
        <v>13</v>
      </c>
      <c r="O2021" t="s">
        <v>1699</v>
      </c>
      <c r="P2021" s="2" t="str">
        <f>HYPERLINK("https://www.facebook.com/100002783323235")</f>
        <v>https://www.facebook.com/100002783323235</v>
      </c>
      <c r="Q2021">
        <v>0</v>
      </c>
      <c r="R2021" t="s">
        <v>6067</v>
      </c>
      <c r="S2021" t="s">
        <v>6073</v>
      </c>
    </row>
    <row r="2022" spans="1:19" ht="14.25" customHeight="1" x14ac:dyDescent="0.3">
      <c r="A2022" t="s">
        <v>3527</v>
      </c>
      <c r="B2022" t="s">
        <v>4421</v>
      </c>
      <c r="C2022" t="s">
        <v>3538</v>
      </c>
      <c r="D2022" t="s">
        <v>4422</v>
      </c>
      <c r="E2022" t="s">
        <v>4423</v>
      </c>
      <c r="F2022" t="s">
        <v>6058</v>
      </c>
      <c r="G2022" s="2" t="str">
        <f>HYPERLINK("https://www.facebook.com/100000192795033/posts/2079256502090756")</f>
        <v>https://www.facebook.com/100000192795033/posts/2079256502090756</v>
      </c>
      <c r="H2022" t="s">
        <v>6062</v>
      </c>
      <c r="I2022" t="s">
        <v>4424</v>
      </c>
      <c r="J2022" s="2" t="str">
        <f>HYPERLINK("https://www.facebook.com/100000192795033")</f>
        <v>https://www.facebook.com/100000192795033</v>
      </c>
      <c r="K2022">
        <v>498</v>
      </c>
      <c r="L2022" t="s">
        <v>6063</v>
      </c>
      <c r="M2022">
        <v>46</v>
      </c>
      <c r="N2022" t="s">
        <v>13</v>
      </c>
      <c r="O2022" t="s">
        <v>4424</v>
      </c>
      <c r="P2022" s="2" t="str">
        <f>HYPERLINK("https://www.facebook.com/100000192795033")</f>
        <v>https://www.facebook.com/100000192795033</v>
      </c>
      <c r="Q2022">
        <v>498</v>
      </c>
      <c r="R2022" t="s">
        <v>6067</v>
      </c>
      <c r="S2022" t="s">
        <v>6073</v>
      </c>
    </row>
    <row r="2023" spans="1:19" ht="14.25" customHeight="1" x14ac:dyDescent="0.3">
      <c r="A2023" t="s">
        <v>4995</v>
      </c>
      <c r="B2023" t="s">
        <v>5067</v>
      </c>
      <c r="C2023" t="s">
        <v>3538</v>
      </c>
      <c r="D2023" t="s">
        <v>4637</v>
      </c>
      <c r="E2023" t="s">
        <v>4638</v>
      </c>
      <c r="F2023" t="s">
        <v>6056</v>
      </c>
      <c r="G2023" s="2" t="str">
        <f>HYPERLINK("https://www.facebook.com/100003145903049/posts/1569240633190785")</f>
        <v>https://www.facebook.com/100003145903049/posts/1569240633190785</v>
      </c>
      <c r="H2023" t="s">
        <v>6062</v>
      </c>
      <c r="I2023" t="s">
        <v>5068</v>
      </c>
      <c r="J2023" s="2" t="str">
        <f>HYPERLINK("https://www.facebook.com/100003145903049")</f>
        <v>https://www.facebook.com/100003145903049</v>
      </c>
      <c r="K2023">
        <v>0</v>
      </c>
      <c r="L2023" t="s">
        <v>6063</v>
      </c>
      <c r="N2023" t="s">
        <v>13</v>
      </c>
      <c r="O2023" t="s">
        <v>5068</v>
      </c>
      <c r="P2023" s="2" t="str">
        <f>HYPERLINK("https://www.facebook.com/100003145903049")</f>
        <v>https://www.facebook.com/100003145903049</v>
      </c>
      <c r="Q2023">
        <v>0</v>
      </c>
      <c r="R2023" t="s">
        <v>6067</v>
      </c>
      <c r="S2023" t="s">
        <v>6073</v>
      </c>
    </row>
    <row r="2024" spans="1:19" ht="14.25" customHeight="1" x14ac:dyDescent="0.3">
      <c r="A2024" t="s">
        <v>1</v>
      </c>
      <c r="B2024" t="s">
        <v>476</v>
      </c>
      <c r="C2024" t="s">
        <v>95</v>
      </c>
      <c r="D2024" t="s">
        <v>10</v>
      </c>
      <c r="E2024" t="s">
        <v>477</v>
      </c>
      <c r="F2024" t="s">
        <v>6059</v>
      </c>
      <c r="G2024" s="2" t="str">
        <f>HYPERLINK("https://www.facebook.com/762053551/posts/10156366210158552?comment_id=10156368149598552")</f>
        <v>https://www.facebook.com/762053551/posts/10156366210158552?comment_id=10156368149598552</v>
      </c>
      <c r="H2024" t="s">
        <v>6062</v>
      </c>
      <c r="I2024" t="s">
        <v>478</v>
      </c>
      <c r="J2024" s="2" t="str">
        <f>HYPERLINK("https://www.facebook.com/100002129273057")</f>
        <v>https://www.facebook.com/100002129273057</v>
      </c>
      <c r="K2024">
        <v>74</v>
      </c>
      <c r="L2024" t="s">
        <v>6063</v>
      </c>
      <c r="N2024" t="s">
        <v>13</v>
      </c>
      <c r="O2024" t="s">
        <v>14</v>
      </c>
      <c r="P2024" s="2" t="str">
        <f>HYPERLINK("https://www.facebook.com/762053551")</f>
        <v>https://www.facebook.com/762053551</v>
      </c>
      <c r="Q2024">
        <v>102347</v>
      </c>
      <c r="R2024" t="s">
        <v>6067</v>
      </c>
      <c r="S2024" t="s">
        <v>6073</v>
      </c>
    </row>
    <row r="2025" spans="1:19" ht="14.25" customHeight="1" x14ac:dyDescent="0.3">
      <c r="A2025" t="s">
        <v>4439</v>
      </c>
      <c r="B2025" t="s">
        <v>488</v>
      </c>
      <c r="C2025" t="s">
        <v>3538</v>
      </c>
      <c r="D2025" t="s">
        <v>877</v>
      </c>
      <c r="E2025" t="s">
        <v>4868</v>
      </c>
      <c r="F2025" t="s">
        <v>6059</v>
      </c>
      <c r="G2025" s="2" t="str">
        <f>HYPERLINK("https://www.facebook.com/114364555250747/posts/1804141566273029?comment_id=1805802302773622")</f>
        <v>https://www.facebook.com/114364555250747/posts/1804141566273029?comment_id=1805802302773622</v>
      </c>
      <c r="H2025" t="s">
        <v>6062</v>
      </c>
      <c r="I2025" t="s">
        <v>4869</v>
      </c>
      <c r="J2025" s="2" t="str">
        <f>HYPERLINK("https://www.facebook.com/100001535995022")</f>
        <v>https://www.facebook.com/100001535995022</v>
      </c>
      <c r="K2025">
        <v>351</v>
      </c>
      <c r="L2025" t="s">
        <v>6063</v>
      </c>
      <c r="N2025" t="s">
        <v>13</v>
      </c>
      <c r="O2025" t="s">
        <v>880</v>
      </c>
      <c r="P2025" s="2" t="str">
        <f>HYPERLINK("https://www.facebook.com/114364555250747")</f>
        <v>https://www.facebook.com/114364555250747</v>
      </c>
      <c r="Q2025">
        <v>100059</v>
      </c>
      <c r="R2025" t="s">
        <v>6067</v>
      </c>
      <c r="S2025" t="s">
        <v>6073</v>
      </c>
    </row>
    <row r="2026" spans="1:19" ht="14.25" customHeight="1" x14ac:dyDescent="0.3">
      <c r="A2026" t="s">
        <v>2225</v>
      </c>
      <c r="B2026" t="s">
        <v>275</v>
      </c>
      <c r="C2026" t="s">
        <v>95</v>
      </c>
      <c r="D2026" t="s">
        <v>1099</v>
      </c>
      <c r="E2026" t="s">
        <v>3350</v>
      </c>
      <c r="F2026" t="s">
        <v>6059</v>
      </c>
      <c r="G2026" s="2" t="str">
        <f>HYPERLINK("https://www.facebook.com/100002489064006/posts/1666923993400553?comment_id=1667251700034449")</f>
        <v>https://www.facebook.com/100002489064006/posts/1666923993400553?comment_id=1667251700034449</v>
      </c>
      <c r="H2026" t="s">
        <v>6062</v>
      </c>
      <c r="I2026" t="s">
        <v>3351</v>
      </c>
      <c r="J2026" s="2" t="str">
        <f>HYPERLINK("https://www.facebook.com/100000141918193")</f>
        <v>https://www.facebook.com/100000141918193</v>
      </c>
      <c r="K2026">
        <v>2170</v>
      </c>
      <c r="L2026" t="s">
        <v>6063</v>
      </c>
      <c r="N2026" t="s">
        <v>13</v>
      </c>
      <c r="O2026" t="s">
        <v>1101</v>
      </c>
      <c r="P2026" s="2" t="str">
        <f>HYPERLINK("https://www.facebook.com/100002489064006")</f>
        <v>https://www.facebook.com/100002489064006</v>
      </c>
      <c r="Q2026">
        <v>2089</v>
      </c>
      <c r="R2026" t="s">
        <v>6067</v>
      </c>
      <c r="S2026" t="s">
        <v>6073</v>
      </c>
    </row>
    <row r="2027" spans="1:19" ht="14.25" customHeight="1" x14ac:dyDescent="0.3">
      <c r="A2027" t="s">
        <v>629</v>
      </c>
      <c r="B2027" t="s">
        <v>1966</v>
      </c>
      <c r="C2027" t="s">
        <v>95</v>
      </c>
      <c r="D2027" t="s">
        <v>370</v>
      </c>
      <c r="E2027" t="s">
        <v>371</v>
      </c>
      <c r="F2027" t="s">
        <v>6058</v>
      </c>
      <c r="G2027" s="2" t="str">
        <f>HYPERLINK("https://www.facebook.com/100023364158685/posts/191199295002208")</f>
        <v>https://www.facebook.com/100023364158685/posts/191199295002208</v>
      </c>
      <c r="H2027" t="s">
        <v>6062</v>
      </c>
      <c r="I2027" t="s">
        <v>1971</v>
      </c>
      <c r="J2027" s="2" t="str">
        <f>HYPERLINK("https://www.facebook.com/100023364158685")</f>
        <v>https://www.facebook.com/100023364158685</v>
      </c>
      <c r="K2027">
        <v>0</v>
      </c>
      <c r="L2027" t="s">
        <v>6063</v>
      </c>
      <c r="N2027" t="s">
        <v>13</v>
      </c>
      <c r="O2027" t="s">
        <v>1971</v>
      </c>
      <c r="P2027" s="2" t="str">
        <f>HYPERLINK("https://www.facebook.com/100023364158685")</f>
        <v>https://www.facebook.com/100023364158685</v>
      </c>
      <c r="Q2027">
        <v>0</v>
      </c>
      <c r="R2027" t="s">
        <v>6067</v>
      </c>
      <c r="S2027" t="s">
        <v>6073</v>
      </c>
    </row>
    <row r="2028" spans="1:19" ht="14.25" customHeight="1" x14ac:dyDescent="0.3">
      <c r="A2028" t="s">
        <v>1</v>
      </c>
      <c r="B2028" t="s">
        <v>84</v>
      </c>
      <c r="C2028" t="s">
        <v>27</v>
      </c>
      <c r="D2028" t="s">
        <v>28</v>
      </c>
      <c r="E2028" t="s">
        <v>88</v>
      </c>
      <c r="F2028" t="s">
        <v>6059</v>
      </c>
      <c r="G2028" s="2" t="str">
        <f>HYPERLINK("https://www.facebook.com/100001652702200/posts/1834613723270367?comment_id=1835164719881934")</f>
        <v>https://www.facebook.com/100001652702200/posts/1834613723270367?comment_id=1835164719881934</v>
      </c>
      <c r="H2028" t="s">
        <v>6062</v>
      </c>
      <c r="I2028" t="s">
        <v>89</v>
      </c>
      <c r="J2028" s="2" t="str">
        <f>HYPERLINK("https://www.facebook.com/100001533621733")</f>
        <v>https://www.facebook.com/100001533621733</v>
      </c>
      <c r="K2028">
        <v>3333</v>
      </c>
      <c r="L2028" t="s">
        <v>6063</v>
      </c>
      <c r="N2028" t="s">
        <v>13</v>
      </c>
      <c r="O2028" t="s">
        <v>31</v>
      </c>
      <c r="P2028" s="2" t="str">
        <f>HYPERLINK("https://www.facebook.com/100001652702200")</f>
        <v>https://www.facebook.com/100001652702200</v>
      </c>
      <c r="Q2028">
        <v>0</v>
      </c>
      <c r="R2028" t="s">
        <v>6067</v>
      </c>
      <c r="S2028" t="s">
        <v>6073</v>
      </c>
    </row>
    <row r="2029" spans="1:19" ht="14.25" customHeight="1" x14ac:dyDescent="0.3">
      <c r="A2029" t="s">
        <v>629</v>
      </c>
      <c r="B2029" t="s">
        <v>759</v>
      </c>
      <c r="C2029" t="s">
        <v>95</v>
      </c>
      <c r="D2029" t="s">
        <v>10</v>
      </c>
      <c r="E2029" t="s">
        <v>760</v>
      </c>
      <c r="F2029" t="s">
        <v>6059</v>
      </c>
      <c r="G2029" s="2" t="str">
        <f>HYPERLINK("https://www.facebook.com/762053551/posts/10156366210158552?comment_id=10156366955068552")</f>
        <v>https://www.facebook.com/762053551/posts/10156366210158552?comment_id=10156366955068552</v>
      </c>
      <c r="H2029" t="s">
        <v>6062</v>
      </c>
      <c r="I2029" t="s">
        <v>761</v>
      </c>
      <c r="J2029" s="2" t="str">
        <f>HYPERLINK("https://www.facebook.com/100001880777678")</f>
        <v>https://www.facebook.com/100001880777678</v>
      </c>
      <c r="K2029">
        <v>2769</v>
      </c>
      <c r="L2029" t="s">
        <v>6063</v>
      </c>
      <c r="N2029" t="s">
        <v>13</v>
      </c>
      <c r="O2029" t="s">
        <v>14</v>
      </c>
      <c r="P2029" s="2" t="str">
        <f>HYPERLINK("https://www.facebook.com/762053551")</f>
        <v>https://www.facebook.com/762053551</v>
      </c>
      <c r="Q2029">
        <v>102347</v>
      </c>
      <c r="R2029" t="s">
        <v>6067</v>
      </c>
      <c r="S2029" t="s">
        <v>6073</v>
      </c>
    </row>
    <row r="2030" spans="1:19" ht="14.25" customHeight="1" x14ac:dyDescent="0.3">
      <c r="A2030" t="s">
        <v>1</v>
      </c>
      <c r="B2030" t="s">
        <v>92</v>
      </c>
      <c r="C2030" t="s">
        <v>22</v>
      </c>
      <c r="D2030" t="s">
        <v>45</v>
      </c>
      <c r="E2030" t="s">
        <v>46</v>
      </c>
      <c r="F2030" t="s">
        <v>6058</v>
      </c>
      <c r="G2030" s="2" t="str">
        <f>HYPERLINK("https://www.facebook.com/100000987050261/posts/1737129492996602")</f>
        <v>https://www.facebook.com/100000987050261/posts/1737129492996602</v>
      </c>
      <c r="H2030" t="s">
        <v>6062</v>
      </c>
      <c r="I2030" t="s">
        <v>93</v>
      </c>
      <c r="J2030" s="2" t="str">
        <f>HYPERLINK("https://www.facebook.com/100000987050261")</f>
        <v>https://www.facebook.com/100000987050261</v>
      </c>
      <c r="K2030">
        <v>283</v>
      </c>
      <c r="L2030" t="s">
        <v>6063</v>
      </c>
      <c r="N2030" t="s">
        <v>13</v>
      </c>
      <c r="O2030" t="s">
        <v>93</v>
      </c>
      <c r="P2030" s="2" t="str">
        <f>HYPERLINK("https://www.facebook.com/100000987050261")</f>
        <v>https://www.facebook.com/100000987050261</v>
      </c>
      <c r="Q2030">
        <v>283</v>
      </c>
      <c r="R2030" t="s">
        <v>6067</v>
      </c>
      <c r="S2030" t="s">
        <v>6073</v>
      </c>
    </row>
    <row r="2031" spans="1:19" ht="14.25" customHeight="1" x14ac:dyDescent="0.3">
      <c r="A2031" t="s">
        <v>4995</v>
      </c>
      <c r="B2031" t="s">
        <v>5273</v>
      </c>
      <c r="C2031" t="s">
        <v>3538</v>
      </c>
      <c r="D2031" t="s">
        <v>5274</v>
      </c>
      <c r="E2031" t="s">
        <v>5275</v>
      </c>
      <c r="F2031" t="s">
        <v>6059</v>
      </c>
      <c r="G2031" s="2" t="str">
        <f>HYPERLINK("https://www.facebook.com/1702136056698746/posts/2107707399474941?comment_id=2115047195407628")</f>
        <v>https://www.facebook.com/1702136056698746/posts/2107707399474941?comment_id=2115047195407628</v>
      </c>
      <c r="H2031" t="s">
        <v>6062</v>
      </c>
      <c r="I2031" t="s">
        <v>4192</v>
      </c>
      <c r="J2031" s="2" t="str">
        <f>HYPERLINK("https://www.facebook.com/100022442474292")</f>
        <v>https://www.facebook.com/100022442474292</v>
      </c>
      <c r="K2031">
        <v>21</v>
      </c>
      <c r="L2031" t="s">
        <v>6063</v>
      </c>
      <c r="N2031" t="s">
        <v>13</v>
      </c>
      <c r="O2031" t="s">
        <v>5276</v>
      </c>
      <c r="P2031" s="2" t="str">
        <f>HYPERLINK("https://www.facebook.com/1702136056698746")</f>
        <v>https://www.facebook.com/1702136056698746</v>
      </c>
      <c r="R2031" t="s">
        <v>6067</v>
      </c>
      <c r="S2031" t="s">
        <v>6073</v>
      </c>
    </row>
    <row r="2032" spans="1:19" ht="14.25" customHeight="1" x14ac:dyDescent="0.3">
      <c r="A2032" t="s">
        <v>3527</v>
      </c>
      <c r="B2032" t="s">
        <v>1486</v>
      </c>
      <c r="C2032" t="s">
        <v>3538</v>
      </c>
      <c r="D2032" t="s">
        <v>4279</v>
      </c>
      <c r="E2032" t="s">
        <v>4280</v>
      </c>
      <c r="F2032" t="s">
        <v>6059</v>
      </c>
      <c r="G2032" s="2" t="str">
        <f>HYPERLINK("https://www.facebook.com/100000000549463/posts/1894757563867577?comment_id=1894775387199128")</f>
        <v>https://www.facebook.com/100000000549463/posts/1894757563867577?comment_id=1894775387199128</v>
      </c>
      <c r="H2032" t="s">
        <v>6062</v>
      </c>
      <c r="I2032" t="s">
        <v>4281</v>
      </c>
      <c r="J2032" s="2" t="str">
        <f>HYPERLINK("https://www.facebook.com/100000000549463")</f>
        <v>https://www.facebook.com/100000000549463</v>
      </c>
      <c r="K2032">
        <v>2472</v>
      </c>
      <c r="L2032" t="s">
        <v>6063</v>
      </c>
      <c r="N2032" t="s">
        <v>13</v>
      </c>
      <c r="O2032" t="s">
        <v>4281</v>
      </c>
      <c r="P2032" s="2" t="str">
        <f>HYPERLINK("https://www.facebook.com/100000000549463")</f>
        <v>https://www.facebook.com/100000000549463</v>
      </c>
      <c r="Q2032">
        <v>2472</v>
      </c>
      <c r="R2032" t="s">
        <v>6067</v>
      </c>
      <c r="S2032" t="s">
        <v>6073</v>
      </c>
    </row>
    <row r="2033" spans="1:19" ht="14.25" customHeight="1" x14ac:dyDescent="0.3">
      <c r="A2033" t="s">
        <v>2225</v>
      </c>
      <c r="B2033" t="s">
        <v>332</v>
      </c>
      <c r="C2033" t="s">
        <v>95</v>
      </c>
      <c r="D2033" t="s">
        <v>3194</v>
      </c>
      <c r="E2033" t="s">
        <v>3195</v>
      </c>
      <c r="F2033" t="s">
        <v>6058</v>
      </c>
      <c r="G2033" s="2" t="str">
        <f>HYPERLINK("https://www.facebook.com/100006618556420/posts/2135427733354491")</f>
        <v>https://www.facebook.com/100006618556420/posts/2135427733354491</v>
      </c>
      <c r="H2033" t="s">
        <v>6062</v>
      </c>
      <c r="I2033" t="s">
        <v>3387</v>
      </c>
      <c r="J2033" s="2" t="str">
        <f>HYPERLINK("https://www.facebook.com/100006618556420")</f>
        <v>https://www.facebook.com/100006618556420</v>
      </c>
      <c r="K2033">
        <v>5060</v>
      </c>
      <c r="L2033" t="s">
        <v>6063</v>
      </c>
      <c r="N2033" t="s">
        <v>13</v>
      </c>
      <c r="O2033" t="s">
        <v>3387</v>
      </c>
      <c r="P2033" s="2" t="str">
        <f>HYPERLINK("https://www.facebook.com/100006618556420")</f>
        <v>https://www.facebook.com/100006618556420</v>
      </c>
      <c r="Q2033">
        <v>5060</v>
      </c>
      <c r="R2033" t="s">
        <v>6067</v>
      </c>
      <c r="S2033" t="s">
        <v>6073</v>
      </c>
    </row>
    <row r="2034" spans="1:19" ht="14.25" customHeight="1" x14ac:dyDescent="0.3">
      <c r="A2034" t="s">
        <v>5409</v>
      </c>
      <c r="B2034" t="s">
        <v>4093</v>
      </c>
      <c r="C2034" t="s">
        <v>3538</v>
      </c>
      <c r="D2034" t="s">
        <v>5653</v>
      </c>
      <c r="E2034" t="s">
        <v>5665</v>
      </c>
      <c r="F2034" t="s">
        <v>6059</v>
      </c>
      <c r="G2034" s="2" t="str">
        <f>HYPERLINK("https://www.facebook.com/100001365366967/posts/1575591375829693?comment_id=1575677885821042")</f>
        <v>https://www.facebook.com/100001365366967/posts/1575591375829693?comment_id=1575677885821042</v>
      </c>
      <c r="H2034" t="s">
        <v>6062</v>
      </c>
      <c r="I2034" t="s">
        <v>5666</v>
      </c>
      <c r="J2034" s="2" t="str">
        <f>HYPERLINK("https://www.facebook.com/100006996192850")</f>
        <v>https://www.facebook.com/100006996192850</v>
      </c>
      <c r="K2034">
        <v>0</v>
      </c>
      <c r="L2034" t="s">
        <v>6063</v>
      </c>
      <c r="N2034" t="s">
        <v>13</v>
      </c>
      <c r="O2034" t="s">
        <v>5656</v>
      </c>
      <c r="P2034" s="2" t="str">
        <f>HYPERLINK("https://www.facebook.com/100001365366967")</f>
        <v>https://www.facebook.com/100001365366967</v>
      </c>
      <c r="Q2034">
        <v>6509</v>
      </c>
      <c r="R2034" t="s">
        <v>6067</v>
      </c>
      <c r="S2034" t="s">
        <v>6073</v>
      </c>
    </row>
    <row r="2035" spans="1:19" ht="14.25" customHeight="1" x14ac:dyDescent="0.3">
      <c r="A2035" t="s">
        <v>5409</v>
      </c>
      <c r="B2035" t="s">
        <v>1693</v>
      </c>
      <c r="C2035" t="s">
        <v>3538</v>
      </c>
      <c r="D2035" t="s">
        <v>5871</v>
      </c>
      <c r="E2035" t="s">
        <v>5872</v>
      </c>
      <c r="F2035" t="s">
        <v>6059</v>
      </c>
      <c r="G2035" s="2" t="str">
        <f>HYPERLINK("https://www.facebook.com/762053551/posts/10156352623943552?comment_id=10156352669573552")</f>
        <v>https://www.facebook.com/762053551/posts/10156352623943552?comment_id=10156352669573552</v>
      </c>
      <c r="H2035" t="s">
        <v>6062</v>
      </c>
      <c r="I2035" t="s">
        <v>5873</v>
      </c>
      <c r="J2035" s="2" t="str">
        <f>HYPERLINK("https://www.facebook.com/100001607976190")</f>
        <v>https://www.facebook.com/100001607976190</v>
      </c>
      <c r="K2035">
        <v>667</v>
      </c>
      <c r="L2035" t="s">
        <v>6063</v>
      </c>
      <c r="N2035" t="s">
        <v>13</v>
      </c>
      <c r="O2035" t="s">
        <v>14</v>
      </c>
      <c r="P2035" s="2" t="str">
        <f>HYPERLINK("https://www.facebook.com/762053551")</f>
        <v>https://www.facebook.com/762053551</v>
      </c>
      <c r="Q2035">
        <v>102347</v>
      </c>
      <c r="R2035" t="s">
        <v>6067</v>
      </c>
      <c r="S2035" t="s">
        <v>6073</v>
      </c>
    </row>
    <row r="2036" spans="1:19" ht="14.25" customHeight="1" x14ac:dyDescent="0.3">
      <c r="A2036" t="s">
        <v>629</v>
      </c>
      <c r="B2036" t="s">
        <v>1785</v>
      </c>
      <c r="C2036" t="s">
        <v>95</v>
      </c>
      <c r="D2036" t="s">
        <v>370</v>
      </c>
      <c r="E2036" t="s">
        <v>371</v>
      </c>
      <c r="F2036" t="s">
        <v>6058</v>
      </c>
      <c r="G2036" s="2" t="str">
        <f>HYPERLINK("https://www.facebook.com/100001776323747/posts/1725155394220321")</f>
        <v>https://www.facebook.com/100001776323747/posts/1725155394220321</v>
      </c>
      <c r="H2036" t="s">
        <v>6062</v>
      </c>
      <c r="I2036" t="s">
        <v>1786</v>
      </c>
      <c r="J2036" s="2" t="str">
        <f>HYPERLINK("https://www.facebook.com/100001776323747")</f>
        <v>https://www.facebook.com/100001776323747</v>
      </c>
      <c r="K2036">
        <v>4148</v>
      </c>
      <c r="L2036" t="s">
        <v>6063</v>
      </c>
      <c r="M2036">
        <v>37</v>
      </c>
      <c r="N2036" t="s">
        <v>13</v>
      </c>
      <c r="O2036" t="s">
        <v>1786</v>
      </c>
      <c r="P2036" s="2" t="str">
        <f>HYPERLINK("https://www.facebook.com/100001776323747")</f>
        <v>https://www.facebook.com/100001776323747</v>
      </c>
      <c r="Q2036">
        <v>4148</v>
      </c>
      <c r="R2036" t="s">
        <v>6067</v>
      </c>
      <c r="S2036" t="s">
        <v>6073</v>
      </c>
    </row>
    <row r="2037" spans="1:19" ht="14.25" customHeight="1" x14ac:dyDescent="0.3">
      <c r="A2037" t="s">
        <v>629</v>
      </c>
      <c r="B2037" t="s">
        <v>1582</v>
      </c>
      <c r="C2037" t="s">
        <v>95</v>
      </c>
      <c r="D2037" t="s">
        <v>370</v>
      </c>
      <c r="E2037" t="s">
        <v>371</v>
      </c>
      <c r="F2037" t="s">
        <v>6058</v>
      </c>
      <c r="G2037" s="2" t="str">
        <f>HYPERLINK("https://www.facebook.com/100000630997468/posts/1921667811197567")</f>
        <v>https://www.facebook.com/100000630997468/posts/1921667811197567</v>
      </c>
      <c r="H2037" t="s">
        <v>6062</v>
      </c>
      <c r="I2037" t="s">
        <v>1585</v>
      </c>
      <c r="J2037" s="2" t="str">
        <f>HYPERLINK("https://www.facebook.com/100000630997468")</f>
        <v>https://www.facebook.com/100000630997468</v>
      </c>
      <c r="K2037">
        <v>356</v>
      </c>
      <c r="L2037" t="s">
        <v>6063</v>
      </c>
      <c r="N2037" t="s">
        <v>13</v>
      </c>
      <c r="O2037" t="s">
        <v>1585</v>
      </c>
      <c r="P2037" s="2" t="str">
        <f>HYPERLINK("https://www.facebook.com/100000630997468")</f>
        <v>https://www.facebook.com/100000630997468</v>
      </c>
      <c r="Q2037">
        <v>356</v>
      </c>
      <c r="R2037" t="s">
        <v>6067</v>
      </c>
      <c r="S2037" t="s">
        <v>6073</v>
      </c>
    </row>
    <row r="2038" spans="1:19" ht="14.25" customHeight="1" x14ac:dyDescent="0.3">
      <c r="A2038" t="s">
        <v>629</v>
      </c>
      <c r="B2038" t="s">
        <v>2005</v>
      </c>
      <c r="C2038" t="s">
        <v>95</v>
      </c>
      <c r="D2038" t="s">
        <v>370</v>
      </c>
      <c r="E2038" t="s">
        <v>371</v>
      </c>
      <c r="F2038" t="s">
        <v>6058</v>
      </c>
      <c r="G2038" s="2" t="str">
        <f>HYPERLINK("https://www.facebook.com/210985432722604/posts/369760606839019")</f>
        <v>https://www.facebook.com/210985432722604/posts/369760606839019</v>
      </c>
      <c r="H2038" t="s">
        <v>6062</v>
      </c>
      <c r="I2038" t="s">
        <v>2007</v>
      </c>
      <c r="J2038" s="2" t="str">
        <f>HYPERLINK("https://www.facebook.com/100014152471341")</f>
        <v>https://www.facebook.com/100014152471341</v>
      </c>
      <c r="K2038">
        <v>281</v>
      </c>
      <c r="L2038" t="s">
        <v>6063</v>
      </c>
      <c r="N2038" t="s">
        <v>13</v>
      </c>
      <c r="O2038" t="s">
        <v>2008</v>
      </c>
      <c r="P2038" s="2" t="str">
        <f>HYPERLINK("https://www.facebook.com/210985432722604")</f>
        <v>https://www.facebook.com/210985432722604</v>
      </c>
      <c r="R2038" t="s">
        <v>6067</v>
      </c>
      <c r="S2038" t="s">
        <v>6073</v>
      </c>
    </row>
    <row r="2039" spans="1:19" ht="14.25" customHeight="1" x14ac:dyDescent="0.3">
      <c r="A2039" t="s">
        <v>629</v>
      </c>
      <c r="B2039" t="s">
        <v>1698</v>
      </c>
      <c r="C2039" t="s">
        <v>95</v>
      </c>
      <c r="D2039" t="s">
        <v>667</v>
      </c>
      <c r="E2039" t="s">
        <v>668</v>
      </c>
      <c r="F2039" t="s">
        <v>6058</v>
      </c>
      <c r="G2039" s="2" t="str">
        <f>HYPERLINK("https://www.facebook.com/100001843096475/posts/1878264382244980")</f>
        <v>https://www.facebook.com/100001843096475/posts/1878264382244980</v>
      </c>
      <c r="H2039" t="s">
        <v>6062</v>
      </c>
      <c r="I2039" t="s">
        <v>1703</v>
      </c>
      <c r="J2039" s="2" t="str">
        <f>HYPERLINK("https://www.facebook.com/100001843096475")</f>
        <v>https://www.facebook.com/100001843096475</v>
      </c>
      <c r="K2039">
        <v>208</v>
      </c>
      <c r="L2039" t="s">
        <v>6063</v>
      </c>
      <c r="N2039" t="s">
        <v>13</v>
      </c>
      <c r="O2039" t="s">
        <v>1703</v>
      </c>
      <c r="P2039" s="2" t="str">
        <f>HYPERLINK("https://www.facebook.com/100001843096475")</f>
        <v>https://www.facebook.com/100001843096475</v>
      </c>
      <c r="Q2039">
        <v>208</v>
      </c>
      <c r="R2039" t="s">
        <v>6067</v>
      </c>
      <c r="S2039" t="s">
        <v>6073</v>
      </c>
    </row>
    <row r="2040" spans="1:19" ht="14.25" customHeight="1" x14ac:dyDescent="0.3">
      <c r="A2040" t="s">
        <v>2225</v>
      </c>
      <c r="B2040" t="s">
        <v>733</v>
      </c>
      <c r="C2040" t="s">
        <v>95</v>
      </c>
      <c r="D2040" t="s">
        <v>544</v>
      </c>
      <c r="E2040" t="s">
        <v>545</v>
      </c>
      <c r="F2040" t="s">
        <v>6058</v>
      </c>
      <c r="G2040" s="2" t="str">
        <f>HYPERLINK("https://www.facebook.com/100008900528030/posts/1773622026277798")</f>
        <v>https://www.facebook.com/100008900528030/posts/1773622026277798</v>
      </c>
      <c r="H2040" t="s">
        <v>6062</v>
      </c>
      <c r="I2040" t="s">
        <v>2534</v>
      </c>
      <c r="J2040" s="2" t="str">
        <f>HYPERLINK("https://www.facebook.com/100008900528030")</f>
        <v>https://www.facebook.com/100008900528030</v>
      </c>
      <c r="K2040">
        <v>44</v>
      </c>
      <c r="L2040" t="s">
        <v>6063</v>
      </c>
      <c r="N2040" t="s">
        <v>13</v>
      </c>
      <c r="O2040" t="s">
        <v>2534</v>
      </c>
      <c r="P2040" s="2" t="str">
        <f>HYPERLINK("https://www.facebook.com/100008900528030")</f>
        <v>https://www.facebook.com/100008900528030</v>
      </c>
      <c r="Q2040">
        <v>44</v>
      </c>
      <c r="R2040" t="s">
        <v>6067</v>
      </c>
    </row>
    <row r="2041" spans="1:19" ht="14.25" customHeight="1" x14ac:dyDescent="0.3">
      <c r="A2041" t="s">
        <v>2225</v>
      </c>
      <c r="B2041" t="s">
        <v>2896</v>
      </c>
      <c r="C2041" t="s">
        <v>95</v>
      </c>
      <c r="D2041" t="s">
        <v>2898</v>
      </c>
      <c r="E2041" t="s">
        <v>2899</v>
      </c>
      <c r="F2041" t="s">
        <v>6058</v>
      </c>
      <c r="G2041" s="2" t="str">
        <f>HYPERLINK("https://www.facebook.com/100007852116297/posts/2075943316010719")</f>
        <v>https://www.facebook.com/100007852116297/posts/2075943316010719</v>
      </c>
      <c r="H2041" t="s">
        <v>6062</v>
      </c>
      <c r="I2041" t="s">
        <v>2900</v>
      </c>
      <c r="J2041" s="2" t="str">
        <f>HYPERLINK("https://www.facebook.com/100007852116297")</f>
        <v>https://www.facebook.com/100007852116297</v>
      </c>
      <c r="K2041">
        <v>258</v>
      </c>
      <c r="L2041" t="s">
        <v>6063</v>
      </c>
      <c r="N2041" t="s">
        <v>13</v>
      </c>
      <c r="O2041" t="s">
        <v>2900</v>
      </c>
      <c r="P2041" s="2" t="str">
        <f>HYPERLINK("https://www.facebook.com/100007852116297")</f>
        <v>https://www.facebook.com/100007852116297</v>
      </c>
      <c r="Q2041">
        <v>258</v>
      </c>
      <c r="R2041" t="s">
        <v>6067</v>
      </c>
      <c r="S2041" t="s">
        <v>6073</v>
      </c>
    </row>
    <row r="2042" spans="1:19" ht="14.25" customHeight="1" x14ac:dyDescent="0.3">
      <c r="A2042" t="s">
        <v>2225</v>
      </c>
      <c r="B2042" t="s">
        <v>1360</v>
      </c>
      <c r="C2042" t="s">
        <v>95</v>
      </c>
      <c r="D2042" t="s">
        <v>2086</v>
      </c>
      <c r="E2042" t="s">
        <v>3254</v>
      </c>
      <c r="F2042" t="s">
        <v>6059</v>
      </c>
      <c r="G2042" s="2" t="str">
        <f>HYPERLINK("https://www.facebook.com/100001463526763/posts/1766213380104096?comment_id=1766239766768124")</f>
        <v>https://www.facebook.com/100001463526763/posts/1766213380104096?comment_id=1766239766768124</v>
      </c>
      <c r="H2042" t="s">
        <v>6062</v>
      </c>
      <c r="I2042" t="s">
        <v>3255</v>
      </c>
      <c r="J2042" s="2" t="str">
        <f>HYPERLINK("https://www.facebook.com/100001138207748")</f>
        <v>https://www.facebook.com/100001138207748</v>
      </c>
      <c r="K2042">
        <v>1530</v>
      </c>
      <c r="L2042" t="s">
        <v>6063</v>
      </c>
      <c r="M2042">
        <v>63</v>
      </c>
      <c r="N2042" t="s">
        <v>13</v>
      </c>
      <c r="O2042" t="s">
        <v>2089</v>
      </c>
      <c r="P2042" s="2" t="str">
        <f>HYPERLINK("https://www.facebook.com/100001463526763")</f>
        <v>https://www.facebook.com/100001463526763</v>
      </c>
      <c r="Q2042">
        <v>73186</v>
      </c>
      <c r="R2042" t="s">
        <v>6067</v>
      </c>
      <c r="S2042" t="s">
        <v>6073</v>
      </c>
    </row>
    <row r="2043" spans="1:19" ht="14.25" customHeight="1" x14ac:dyDescent="0.3">
      <c r="A2043" t="s">
        <v>629</v>
      </c>
      <c r="B2043" t="s">
        <v>1520</v>
      </c>
      <c r="C2043" t="s">
        <v>95</v>
      </c>
      <c r="D2043" t="s">
        <v>370</v>
      </c>
      <c r="E2043" t="s">
        <v>371</v>
      </c>
      <c r="F2043" t="s">
        <v>6058</v>
      </c>
      <c r="G2043" s="2" t="str">
        <f>HYPERLINK("https://www.facebook.com/100008256907037/posts/2094351304183413")</f>
        <v>https://www.facebook.com/100008256907037/posts/2094351304183413</v>
      </c>
      <c r="H2043" t="s">
        <v>6062</v>
      </c>
      <c r="I2043" t="s">
        <v>1521</v>
      </c>
      <c r="J2043" s="2" t="str">
        <f>HYPERLINK("https://www.facebook.com/100008256907037")</f>
        <v>https://www.facebook.com/100008256907037</v>
      </c>
      <c r="K2043">
        <v>172</v>
      </c>
      <c r="L2043" t="s">
        <v>6063</v>
      </c>
      <c r="N2043" t="s">
        <v>13</v>
      </c>
      <c r="O2043" t="s">
        <v>1521</v>
      </c>
      <c r="P2043" s="2" t="str">
        <f>HYPERLINK("https://www.facebook.com/100008256907037")</f>
        <v>https://www.facebook.com/100008256907037</v>
      </c>
      <c r="Q2043">
        <v>172</v>
      </c>
      <c r="R2043" t="s">
        <v>6067</v>
      </c>
    </row>
    <row r="2044" spans="1:19" ht="14.25" customHeight="1" x14ac:dyDescent="0.3">
      <c r="A2044" t="s">
        <v>2225</v>
      </c>
      <c r="B2044" t="s">
        <v>2588</v>
      </c>
      <c r="C2044" t="s">
        <v>95</v>
      </c>
      <c r="D2044" t="s">
        <v>544</v>
      </c>
      <c r="E2044" t="s">
        <v>545</v>
      </c>
      <c r="F2044" t="s">
        <v>6058</v>
      </c>
      <c r="G2044" s="2" t="str">
        <f>HYPERLINK("https://www.facebook.com/100016645667873/posts/238280560070131")</f>
        <v>https://www.facebook.com/100016645667873/posts/238280560070131</v>
      </c>
      <c r="H2044" t="s">
        <v>6062</v>
      </c>
      <c r="I2044" t="s">
        <v>2591</v>
      </c>
      <c r="J2044" s="2" t="str">
        <f>HYPERLINK("https://www.facebook.com/100016645667873")</f>
        <v>https://www.facebook.com/100016645667873</v>
      </c>
      <c r="K2044">
        <v>1284</v>
      </c>
      <c r="L2044" t="s">
        <v>6063</v>
      </c>
      <c r="N2044" t="s">
        <v>13</v>
      </c>
      <c r="O2044" t="s">
        <v>2591</v>
      </c>
      <c r="P2044" s="2" t="str">
        <f>HYPERLINK("https://www.facebook.com/100016645667873")</f>
        <v>https://www.facebook.com/100016645667873</v>
      </c>
      <c r="Q2044">
        <v>1284</v>
      </c>
      <c r="R2044" t="s">
        <v>6067</v>
      </c>
      <c r="S2044" t="s">
        <v>6073</v>
      </c>
    </row>
    <row r="2045" spans="1:19" ht="14.25" customHeight="1" x14ac:dyDescent="0.3">
      <c r="A2045" t="s">
        <v>2225</v>
      </c>
      <c r="B2045" t="s">
        <v>3113</v>
      </c>
      <c r="C2045" t="s">
        <v>95</v>
      </c>
      <c r="D2045" t="s">
        <v>464</v>
      </c>
      <c r="E2045" t="s">
        <v>3116</v>
      </c>
      <c r="F2045" t="s">
        <v>6059</v>
      </c>
      <c r="G2045" s="2" t="str">
        <f>HYPERLINK("https://www.facebook.com/1362386453/posts/10216460219362335?comment_id=10216460362485913")</f>
        <v>https://www.facebook.com/1362386453/posts/10216460219362335?comment_id=10216460362485913</v>
      </c>
      <c r="H2045" t="s">
        <v>6062</v>
      </c>
      <c r="I2045" t="s">
        <v>467</v>
      </c>
      <c r="J2045" s="2" t="str">
        <f t="shared" ref="J2045:J2069" si="58">HYPERLINK("https://www.facebook.com/1362386453")</f>
        <v>https://www.facebook.com/1362386453</v>
      </c>
      <c r="K2045">
        <v>3896</v>
      </c>
      <c r="L2045" t="s">
        <v>6063</v>
      </c>
      <c r="N2045" t="s">
        <v>13</v>
      </c>
      <c r="O2045" t="s">
        <v>467</v>
      </c>
      <c r="P2045" s="2" t="str">
        <f t="shared" ref="P2045:P2069" si="59">HYPERLINK("https://www.facebook.com/1362386453")</f>
        <v>https://www.facebook.com/1362386453</v>
      </c>
      <c r="Q2045">
        <v>3896</v>
      </c>
      <c r="R2045" t="s">
        <v>6067</v>
      </c>
      <c r="S2045" t="s">
        <v>6073</v>
      </c>
    </row>
    <row r="2046" spans="1:19" ht="14.25" customHeight="1" x14ac:dyDescent="0.3">
      <c r="A2046" t="s">
        <v>2225</v>
      </c>
      <c r="B2046" t="s">
        <v>3142</v>
      </c>
      <c r="C2046" t="s">
        <v>95</v>
      </c>
      <c r="D2046" t="s">
        <v>464</v>
      </c>
      <c r="E2046" t="s">
        <v>3143</v>
      </c>
      <c r="F2046" t="s">
        <v>6059</v>
      </c>
      <c r="G2046" s="2" t="str">
        <f>HYPERLINK("https://www.facebook.com/1362386453/posts/10216460219362335?comment_id=10216460303804446")</f>
        <v>https://www.facebook.com/1362386453/posts/10216460219362335?comment_id=10216460303804446</v>
      </c>
      <c r="H2046" t="s">
        <v>6062</v>
      </c>
      <c r="I2046" t="s">
        <v>467</v>
      </c>
      <c r="J2046" s="2" t="str">
        <f t="shared" si="58"/>
        <v>https://www.facebook.com/1362386453</v>
      </c>
      <c r="K2046">
        <v>3896</v>
      </c>
      <c r="L2046" t="s">
        <v>6063</v>
      </c>
      <c r="N2046" t="s">
        <v>13</v>
      </c>
      <c r="O2046" t="s">
        <v>467</v>
      </c>
      <c r="P2046" s="2" t="str">
        <f t="shared" si="59"/>
        <v>https://www.facebook.com/1362386453</v>
      </c>
      <c r="Q2046">
        <v>3896</v>
      </c>
      <c r="R2046" t="s">
        <v>6067</v>
      </c>
      <c r="S2046" t="s">
        <v>6073</v>
      </c>
    </row>
    <row r="2047" spans="1:19" ht="14.25" customHeight="1" x14ac:dyDescent="0.3">
      <c r="A2047" t="s">
        <v>2225</v>
      </c>
      <c r="B2047" t="s">
        <v>1052</v>
      </c>
      <c r="C2047" t="s">
        <v>95</v>
      </c>
      <c r="D2047" t="s">
        <v>464</v>
      </c>
      <c r="E2047" t="s">
        <v>3125</v>
      </c>
      <c r="F2047" t="s">
        <v>6059</v>
      </c>
      <c r="G2047" s="2" t="str">
        <f>HYPERLINK("https://www.facebook.com/1362386453/posts/10216460219362335?comment_id=10216460314884723")</f>
        <v>https://www.facebook.com/1362386453/posts/10216460219362335?comment_id=10216460314884723</v>
      </c>
      <c r="H2047" t="s">
        <v>6062</v>
      </c>
      <c r="I2047" t="s">
        <v>467</v>
      </c>
      <c r="J2047" s="2" t="str">
        <f t="shared" si="58"/>
        <v>https://www.facebook.com/1362386453</v>
      </c>
      <c r="K2047">
        <v>3896</v>
      </c>
      <c r="L2047" t="s">
        <v>6063</v>
      </c>
      <c r="N2047" t="s">
        <v>13</v>
      </c>
      <c r="O2047" t="s">
        <v>467</v>
      </c>
      <c r="P2047" s="2" t="str">
        <f t="shared" si="59"/>
        <v>https://www.facebook.com/1362386453</v>
      </c>
      <c r="Q2047">
        <v>3896</v>
      </c>
      <c r="R2047" t="s">
        <v>6067</v>
      </c>
      <c r="S2047" t="s">
        <v>6073</v>
      </c>
    </row>
    <row r="2048" spans="1:19" ht="14.25" customHeight="1" x14ac:dyDescent="0.3">
      <c r="A2048" t="s">
        <v>2225</v>
      </c>
      <c r="B2048" t="s">
        <v>3083</v>
      </c>
      <c r="C2048" t="s">
        <v>95</v>
      </c>
      <c r="D2048" t="s">
        <v>464</v>
      </c>
      <c r="E2048" t="s">
        <v>3084</v>
      </c>
      <c r="F2048" t="s">
        <v>6059</v>
      </c>
      <c r="G2048" s="2" t="str">
        <f>HYPERLINK("https://www.facebook.com/1362386453/posts/10216460219362335?comment_id=10216460547650542")</f>
        <v>https://www.facebook.com/1362386453/posts/10216460219362335?comment_id=10216460547650542</v>
      </c>
      <c r="H2048" t="s">
        <v>6062</v>
      </c>
      <c r="I2048" t="s">
        <v>467</v>
      </c>
      <c r="J2048" s="2" t="str">
        <f t="shared" si="58"/>
        <v>https://www.facebook.com/1362386453</v>
      </c>
      <c r="K2048">
        <v>3896</v>
      </c>
      <c r="L2048" t="s">
        <v>6063</v>
      </c>
      <c r="N2048" t="s">
        <v>13</v>
      </c>
      <c r="O2048" t="s">
        <v>467</v>
      </c>
      <c r="P2048" s="2" t="str">
        <f t="shared" si="59"/>
        <v>https://www.facebook.com/1362386453</v>
      </c>
      <c r="Q2048">
        <v>3896</v>
      </c>
      <c r="R2048" t="s">
        <v>6067</v>
      </c>
      <c r="S2048" t="s">
        <v>6073</v>
      </c>
    </row>
    <row r="2049" spans="1:19" ht="14.25" customHeight="1" x14ac:dyDescent="0.3">
      <c r="A2049" t="s">
        <v>2225</v>
      </c>
      <c r="B2049" t="s">
        <v>3110</v>
      </c>
      <c r="C2049" t="s">
        <v>95</v>
      </c>
      <c r="D2049" t="s">
        <v>464</v>
      </c>
      <c r="E2049" t="s">
        <v>3111</v>
      </c>
      <c r="F2049" t="s">
        <v>6059</v>
      </c>
      <c r="G2049" s="2" t="str">
        <f>HYPERLINK("https://www.facebook.com/1362386453/posts/10216460219362335?comment_id=10216460380766370")</f>
        <v>https://www.facebook.com/1362386453/posts/10216460219362335?comment_id=10216460380766370</v>
      </c>
      <c r="H2049" t="s">
        <v>6062</v>
      </c>
      <c r="I2049" t="s">
        <v>467</v>
      </c>
      <c r="J2049" s="2" t="str">
        <f t="shared" si="58"/>
        <v>https://www.facebook.com/1362386453</v>
      </c>
      <c r="K2049">
        <v>3896</v>
      </c>
      <c r="L2049" t="s">
        <v>6063</v>
      </c>
      <c r="N2049" t="s">
        <v>13</v>
      </c>
      <c r="O2049" t="s">
        <v>467</v>
      </c>
      <c r="P2049" s="2" t="str">
        <f t="shared" si="59"/>
        <v>https://www.facebook.com/1362386453</v>
      </c>
      <c r="Q2049">
        <v>3896</v>
      </c>
      <c r="R2049" t="s">
        <v>6067</v>
      </c>
      <c r="S2049" t="s">
        <v>6073</v>
      </c>
    </row>
    <row r="2050" spans="1:19" ht="14.25" customHeight="1" x14ac:dyDescent="0.3">
      <c r="A2050" t="s">
        <v>2225</v>
      </c>
      <c r="B2050" t="s">
        <v>2994</v>
      </c>
      <c r="C2050" t="s">
        <v>95</v>
      </c>
      <c r="D2050" t="s">
        <v>464</v>
      </c>
      <c r="E2050" t="s">
        <v>2995</v>
      </c>
      <c r="F2050" t="s">
        <v>6059</v>
      </c>
      <c r="G2050" s="2" t="str">
        <f>HYPERLINK("https://www.facebook.com/1362386453/posts/10216460219362335?comment_id=10216461444392960")</f>
        <v>https://www.facebook.com/1362386453/posts/10216460219362335?comment_id=10216461444392960</v>
      </c>
      <c r="H2050" t="s">
        <v>6062</v>
      </c>
      <c r="I2050" t="s">
        <v>467</v>
      </c>
      <c r="J2050" s="2" t="str">
        <f t="shared" si="58"/>
        <v>https://www.facebook.com/1362386453</v>
      </c>
      <c r="K2050">
        <v>3896</v>
      </c>
      <c r="L2050" t="s">
        <v>6063</v>
      </c>
      <c r="N2050" t="s">
        <v>13</v>
      </c>
      <c r="O2050" t="s">
        <v>467</v>
      </c>
      <c r="P2050" s="2" t="str">
        <f t="shared" si="59"/>
        <v>https://www.facebook.com/1362386453</v>
      </c>
      <c r="Q2050">
        <v>3896</v>
      </c>
      <c r="R2050" t="s">
        <v>6067</v>
      </c>
      <c r="S2050" t="s">
        <v>6073</v>
      </c>
    </row>
    <row r="2051" spans="1:19" ht="14.25" customHeight="1" x14ac:dyDescent="0.3">
      <c r="A2051" t="s">
        <v>2225</v>
      </c>
      <c r="B2051" t="s">
        <v>993</v>
      </c>
      <c r="C2051" t="s">
        <v>95</v>
      </c>
      <c r="D2051" t="s">
        <v>464</v>
      </c>
      <c r="E2051" t="s">
        <v>3076</v>
      </c>
      <c r="F2051" t="s">
        <v>6059</v>
      </c>
      <c r="G2051" s="2" t="str">
        <f>HYPERLINK("https://www.facebook.com/1362386453/posts/10216460219362335?comment_id=10216460596931774")</f>
        <v>https://www.facebook.com/1362386453/posts/10216460219362335?comment_id=10216460596931774</v>
      </c>
      <c r="H2051" t="s">
        <v>6062</v>
      </c>
      <c r="I2051" t="s">
        <v>467</v>
      </c>
      <c r="J2051" s="2" t="str">
        <f t="shared" si="58"/>
        <v>https://www.facebook.com/1362386453</v>
      </c>
      <c r="K2051">
        <v>3896</v>
      </c>
      <c r="L2051" t="s">
        <v>6063</v>
      </c>
      <c r="N2051" t="s">
        <v>13</v>
      </c>
      <c r="O2051" t="s">
        <v>467</v>
      </c>
      <c r="P2051" s="2" t="str">
        <f t="shared" si="59"/>
        <v>https://www.facebook.com/1362386453</v>
      </c>
      <c r="Q2051">
        <v>3896</v>
      </c>
      <c r="R2051" t="s">
        <v>6067</v>
      </c>
      <c r="S2051" t="s">
        <v>6073</v>
      </c>
    </row>
    <row r="2052" spans="1:19" ht="14.25" customHeight="1" x14ac:dyDescent="0.3">
      <c r="A2052" t="s">
        <v>629</v>
      </c>
      <c r="B2052" t="s">
        <v>828</v>
      </c>
      <c r="C2052" t="s">
        <v>95</v>
      </c>
      <c r="D2052" t="s">
        <v>464</v>
      </c>
      <c r="E2052" t="s">
        <v>830</v>
      </c>
      <c r="F2052" t="s">
        <v>6059</v>
      </c>
      <c r="G2052" s="2" t="str">
        <f>HYPERLINK("https://www.facebook.com/1362386453/posts/10216460219362335?comment_id=10216469327990045")</f>
        <v>https://www.facebook.com/1362386453/posts/10216460219362335?comment_id=10216469327990045</v>
      </c>
      <c r="H2052" t="s">
        <v>6062</v>
      </c>
      <c r="I2052" t="s">
        <v>467</v>
      </c>
      <c r="J2052" s="2" t="str">
        <f t="shared" si="58"/>
        <v>https://www.facebook.com/1362386453</v>
      </c>
      <c r="K2052">
        <v>3896</v>
      </c>
      <c r="L2052" t="s">
        <v>6063</v>
      </c>
      <c r="N2052" t="s">
        <v>13</v>
      </c>
      <c r="O2052" t="s">
        <v>467</v>
      </c>
      <c r="P2052" s="2" t="str">
        <f t="shared" si="59"/>
        <v>https://www.facebook.com/1362386453</v>
      </c>
      <c r="Q2052">
        <v>3896</v>
      </c>
      <c r="R2052" t="s">
        <v>6067</v>
      </c>
      <c r="S2052" t="s">
        <v>6073</v>
      </c>
    </row>
    <row r="2053" spans="1:19" ht="14.25" customHeight="1" x14ac:dyDescent="0.3">
      <c r="A2053" t="s">
        <v>2225</v>
      </c>
      <c r="B2053" t="s">
        <v>3100</v>
      </c>
      <c r="C2053" t="s">
        <v>95</v>
      </c>
      <c r="D2053" t="s">
        <v>464</v>
      </c>
      <c r="E2053" t="s">
        <v>3101</v>
      </c>
      <c r="F2053" t="s">
        <v>6059</v>
      </c>
      <c r="G2053" s="2" t="str">
        <f>HYPERLINK("https://www.facebook.com/1362386453/posts/10216460219362335?comment_id=10216460406287008")</f>
        <v>https://www.facebook.com/1362386453/posts/10216460219362335?comment_id=10216460406287008</v>
      </c>
      <c r="H2053" t="s">
        <v>6062</v>
      </c>
      <c r="I2053" t="s">
        <v>467</v>
      </c>
      <c r="J2053" s="2" t="str">
        <f t="shared" si="58"/>
        <v>https://www.facebook.com/1362386453</v>
      </c>
      <c r="K2053">
        <v>3896</v>
      </c>
      <c r="L2053" t="s">
        <v>6063</v>
      </c>
      <c r="N2053" t="s">
        <v>13</v>
      </c>
      <c r="O2053" t="s">
        <v>467</v>
      </c>
      <c r="P2053" s="2" t="str">
        <f t="shared" si="59"/>
        <v>https://www.facebook.com/1362386453</v>
      </c>
      <c r="Q2053">
        <v>3896</v>
      </c>
      <c r="R2053" t="s">
        <v>6067</v>
      </c>
      <c r="S2053" t="s">
        <v>6073</v>
      </c>
    </row>
    <row r="2054" spans="1:19" ht="14.25" customHeight="1" x14ac:dyDescent="0.3">
      <c r="A2054" t="s">
        <v>2225</v>
      </c>
      <c r="B2054" t="s">
        <v>3163</v>
      </c>
      <c r="C2054" t="s">
        <v>95</v>
      </c>
      <c r="D2054" t="s">
        <v>464</v>
      </c>
      <c r="E2054" t="s">
        <v>3164</v>
      </c>
      <c r="F2054" t="s">
        <v>6056</v>
      </c>
      <c r="G2054" s="2" t="str">
        <f>HYPERLINK("https://www.facebook.com/1362386453/posts/10216460219362335")</f>
        <v>https://www.facebook.com/1362386453/posts/10216460219362335</v>
      </c>
      <c r="H2054" t="s">
        <v>6062</v>
      </c>
      <c r="I2054" t="s">
        <v>467</v>
      </c>
      <c r="J2054" s="2" t="str">
        <f t="shared" si="58"/>
        <v>https://www.facebook.com/1362386453</v>
      </c>
      <c r="K2054">
        <v>3896</v>
      </c>
      <c r="L2054" t="s">
        <v>6063</v>
      </c>
      <c r="N2054" t="s">
        <v>13</v>
      </c>
      <c r="O2054" t="s">
        <v>467</v>
      </c>
      <c r="P2054" s="2" t="str">
        <f t="shared" si="59"/>
        <v>https://www.facebook.com/1362386453</v>
      </c>
      <c r="Q2054">
        <v>3896</v>
      </c>
      <c r="R2054" t="s">
        <v>6067</v>
      </c>
      <c r="S2054" t="s">
        <v>6073</v>
      </c>
    </row>
    <row r="2055" spans="1:19" ht="14.25" customHeight="1" x14ac:dyDescent="0.3">
      <c r="A2055" t="s">
        <v>2225</v>
      </c>
      <c r="B2055" t="s">
        <v>3091</v>
      </c>
      <c r="C2055" t="s">
        <v>95</v>
      </c>
      <c r="D2055" t="s">
        <v>464</v>
      </c>
      <c r="E2055" t="s">
        <v>3092</v>
      </c>
      <c r="F2055" t="s">
        <v>6059</v>
      </c>
      <c r="G2055" s="2" t="str">
        <f>HYPERLINK("https://www.facebook.com/1362386453/posts/10216460219362335?comment_id=10216460493369185")</f>
        <v>https://www.facebook.com/1362386453/posts/10216460219362335?comment_id=10216460493369185</v>
      </c>
      <c r="H2055" t="s">
        <v>6062</v>
      </c>
      <c r="I2055" t="s">
        <v>467</v>
      </c>
      <c r="J2055" s="2" t="str">
        <f t="shared" si="58"/>
        <v>https://www.facebook.com/1362386453</v>
      </c>
      <c r="K2055">
        <v>3896</v>
      </c>
      <c r="L2055" t="s">
        <v>6063</v>
      </c>
      <c r="N2055" t="s">
        <v>13</v>
      </c>
      <c r="O2055" t="s">
        <v>467</v>
      </c>
      <c r="P2055" s="2" t="str">
        <f t="shared" si="59"/>
        <v>https://www.facebook.com/1362386453</v>
      </c>
      <c r="Q2055">
        <v>3896</v>
      </c>
      <c r="R2055" t="s">
        <v>6067</v>
      </c>
      <c r="S2055" t="s">
        <v>6073</v>
      </c>
    </row>
    <row r="2056" spans="1:19" ht="14.25" customHeight="1" x14ac:dyDescent="0.3">
      <c r="A2056" t="s">
        <v>2225</v>
      </c>
      <c r="B2056" t="s">
        <v>3123</v>
      </c>
      <c r="C2056" t="s">
        <v>95</v>
      </c>
      <c r="D2056" t="s">
        <v>464</v>
      </c>
      <c r="E2056" t="s">
        <v>3124</v>
      </c>
      <c r="F2056" t="s">
        <v>6059</v>
      </c>
      <c r="G2056" s="2" t="str">
        <f>HYPERLINK("https://www.facebook.com/1362386453/posts/10216460219362335?comment_id=10216460316964775")</f>
        <v>https://www.facebook.com/1362386453/posts/10216460219362335?comment_id=10216460316964775</v>
      </c>
      <c r="H2056" t="s">
        <v>6062</v>
      </c>
      <c r="I2056" t="s">
        <v>467</v>
      </c>
      <c r="J2056" s="2" t="str">
        <f t="shared" si="58"/>
        <v>https://www.facebook.com/1362386453</v>
      </c>
      <c r="K2056">
        <v>3896</v>
      </c>
      <c r="L2056" t="s">
        <v>6063</v>
      </c>
      <c r="N2056" t="s">
        <v>13</v>
      </c>
      <c r="O2056" t="s">
        <v>467</v>
      </c>
      <c r="P2056" s="2" t="str">
        <f t="shared" si="59"/>
        <v>https://www.facebook.com/1362386453</v>
      </c>
      <c r="Q2056">
        <v>3896</v>
      </c>
      <c r="R2056" t="s">
        <v>6067</v>
      </c>
      <c r="S2056" t="s">
        <v>6073</v>
      </c>
    </row>
    <row r="2057" spans="1:19" ht="14.25" customHeight="1" x14ac:dyDescent="0.3">
      <c r="A2057" t="s">
        <v>2225</v>
      </c>
      <c r="B2057" t="s">
        <v>3110</v>
      </c>
      <c r="C2057" t="s">
        <v>95</v>
      </c>
      <c r="D2057" t="s">
        <v>464</v>
      </c>
      <c r="E2057" t="s">
        <v>3112</v>
      </c>
      <c r="F2057" t="s">
        <v>6059</v>
      </c>
      <c r="G2057" s="2" t="str">
        <f>HYPERLINK("https://www.facebook.com/1362386453/posts/10216460219362335?comment_id=10216460378366310")</f>
        <v>https://www.facebook.com/1362386453/posts/10216460219362335?comment_id=10216460378366310</v>
      </c>
      <c r="H2057" t="s">
        <v>6062</v>
      </c>
      <c r="I2057" t="s">
        <v>467</v>
      </c>
      <c r="J2057" s="2" t="str">
        <f t="shared" si="58"/>
        <v>https://www.facebook.com/1362386453</v>
      </c>
      <c r="K2057">
        <v>3896</v>
      </c>
      <c r="L2057" t="s">
        <v>6063</v>
      </c>
      <c r="N2057" t="s">
        <v>13</v>
      </c>
      <c r="O2057" t="s">
        <v>467</v>
      </c>
      <c r="P2057" s="2" t="str">
        <f t="shared" si="59"/>
        <v>https://www.facebook.com/1362386453</v>
      </c>
      <c r="Q2057">
        <v>3896</v>
      </c>
      <c r="R2057" t="s">
        <v>6067</v>
      </c>
      <c r="S2057" t="s">
        <v>6073</v>
      </c>
    </row>
    <row r="2058" spans="1:19" ht="14.25" customHeight="1" x14ac:dyDescent="0.3">
      <c r="A2058" t="s">
        <v>2225</v>
      </c>
      <c r="B2058" t="s">
        <v>3065</v>
      </c>
      <c r="C2058" t="s">
        <v>95</v>
      </c>
      <c r="D2058" t="s">
        <v>464</v>
      </c>
      <c r="E2058" t="s">
        <v>3066</v>
      </c>
      <c r="F2058" t="s">
        <v>6059</v>
      </c>
      <c r="G2058" s="2" t="str">
        <f>HYPERLINK("https://www.facebook.com/1362386453/posts/10216460219362335?comment_id=10216460671493638")</f>
        <v>https://www.facebook.com/1362386453/posts/10216460219362335?comment_id=10216460671493638</v>
      </c>
      <c r="H2058" t="s">
        <v>6062</v>
      </c>
      <c r="I2058" t="s">
        <v>467</v>
      </c>
      <c r="J2058" s="2" t="str">
        <f t="shared" si="58"/>
        <v>https://www.facebook.com/1362386453</v>
      </c>
      <c r="K2058">
        <v>3896</v>
      </c>
      <c r="L2058" t="s">
        <v>6063</v>
      </c>
      <c r="N2058" t="s">
        <v>13</v>
      </c>
      <c r="O2058" t="s">
        <v>467</v>
      </c>
      <c r="P2058" s="2" t="str">
        <f t="shared" si="59"/>
        <v>https://www.facebook.com/1362386453</v>
      </c>
      <c r="Q2058">
        <v>3896</v>
      </c>
      <c r="R2058" t="s">
        <v>6067</v>
      </c>
      <c r="S2058" t="s">
        <v>6073</v>
      </c>
    </row>
    <row r="2059" spans="1:19" ht="14.25" customHeight="1" x14ac:dyDescent="0.3">
      <c r="A2059" t="s">
        <v>2225</v>
      </c>
      <c r="B2059" t="s">
        <v>3157</v>
      </c>
      <c r="C2059" t="s">
        <v>95</v>
      </c>
      <c r="D2059" t="s">
        <v>464</v>
      </c>
      <c r="E2059" t="s">
        <v>3158</v>
      </c>
      <c r="F2059" t="s">
        <v>6059</v>
      </c>
      <c r="G2059" s="2" t="str">
        <f>HYPERLINK("https://www.facebook.com/1362386453/posts/10216460219362335?comment_id=10216460256563265")</f>
        <v>https://www.facebook.com/1362386453/posts/10216460219362335?comment_id=10216460256563265</v>
      </c>
      <c r="H2059" t="s">
        <v>6062</v>
      </c>
      <c r="I2059" t="s">
        <v>467</v>
      </c>
      <c r="J2059" s="2" t="str">
        <f t="shared" si="58"/>
        <v>https://www.facebook.com/1362386453</v>
      </c>
      <c r="K2059">
        <v>3896</v>
      </c>
      <c r="L2059" t="s">
        <v>6063</v>
      </c>
      <c r="N2059" t="s">
        <v>13</v>
      </c>
      <c r="O2059" t="s">
        <v>467</v>
      </c>
      <c r="P2059" s="2" t="str">
        <f t="shared" si="59"/>
        <v>https://www.facebook.com/1362386453</v>
      </c>
      <c r="Q2059">
        <v>3896</v>
      </c>
      <c r="R2059" t="s">
        <v>6067</v>
      </c>
      <c r="S2059" t="s">
        <v>6073</v>
      </c>
    </row>
    <row r="2060" spans="1:19" ht="14.25" customHeight="1" x14ac:dyDescent="0.3">
      <c r="A2060" t="s">
        <v>2225</v>
      </c>
      <c r="B2060" t="s">
        <v>3152</v>
      </c>
      <c r="C2060" t="s">
        <v>95</v>
      </c>
      <c r="D2060" t="s">
        <v>464</v>
      </c>
      <c r="E2060" t="s">
        <v>3153</v>
      </c>
      <c r="F2060" t="s">
        <v>6059</v>
      </c>
      <c r="G2060" s="2" t="str">
        <f>HYPERLINK("https://www.facebook.com/1362386453/posts/10216460219362335?comment_id=10216460265163480")</f>
        <v>https://www.facebook.com/1362386453/posts/10216460219362335?comment_id=10216460265163480</v>
      </c>
      <c r="H2060" t="s">
        <v>6062</v>
      </c>
      <c r="I2060" t="s">
        <v>467</v>
      </c>
      <c r="J2060" s="2" t="str">
        <f t="shared" si="58"/>
        <v>https://www.facebook.com/1362386453</v>
      </c>
      <c r="K2060">
        <v>3896</v>
      </c>
      <c r="L2060" t="s">
        <v>6063</v>
      </c>
      <c r="N2060" t="s">
        <v>13</v>
      </c>
      <c r="O2060" t="s">
        <v>467</v>
      </c>
      <c r="P2060" s="2" t="str">
        <f t="shared" si="59"/>
        <v>https://www.facebook.com/1362386453</v>
      </c>
      <c r="Q2060">
        <v>3896</v>
      </c>
      <c r="R2060" t="s">
        <v>6067</v>
      </c>
      <c r="S2060" t="s">
        <v>6073</v>
      </c>
    </row>
    <row r="2061" spans="1:19" ht="14.25" customHeight="1" x14ac:dyDescent="0.3">
      <c r="A2061" t="s">
        <v>629</v>
      </c>
      <c r="B2061" t="s">
        <v>1415</v>
      </c>
      <c r="C2061" t="s">
        <v>95</v>
      </c>
      <c r="D2061" t="s">
        <v>464</v>
      </c>
      <c r="E2061" t="s">
        <v>1416</v>
      </c>
      <c r="F2061" t="s">
        <v>6059</v>
      </c>
      <c r="G2061" s="2" t="str">
        <f>HYPERLINK("https://www.facebook.com/1362386453/posts/10216460219362335?comment_id=10216466960850868")</f>
        <v>https://www.facebook.com/1362386453/posts/10216460219362335?comment_id=10216466960850868</v>
      </c>
      <c r="H2061" t="s">
        <v>6062</v>
      </c>
      <c r="I2061" t="s">
        <v>467</v>
      </c>
      <c r="J2061" s="2" t="str">
        <f t="shared" si="58"/>
        <v>https://www.facebook.com/1362386453</v>
      </c>
      <c r="K2061">
        <v>3896</v>
      </c>
      <c r="L2061" t="s">
        <v>6063</v>
      </c>
      <c r="N2061" t="s">
        <v>13</v>
      </c>
      <c r="O2061" t="s">
        <v>467</v>
      </c>
      <c r="P2061" s="2" t="str">
        <f t="shared" si="59"/>
        <v>https://www.facebook.com/1362386453</v>
      </c>
      <c r="Q2061">
        <v>3896</v>
      </c>
      <c r="R2061" t="s">
        <v>6067</v>
      </c>
      <c r="S2061" t="s">
        <v>6073</v>
      </c>
    </row>
    <row r="2062" spans="1:19" ht="14.25" customHeight="1" x14ac:dyDescent="0.3">
      <c r="A2062" t="s">
        <v>1</v>
      </c>
      <c r="B2062" t="s">
        <v>474</v>
      </c>
      <c r="C2062" t="s">
        <v>95</v>
      </c>
      <c r="D2062" t="s">
        <v>464</v>
      </c>
      <c r="E2062" t="s">
        <v>475</v>
      </c>
      <c r="F2062" t="s">
        <v>6059</v>
      </c>
      <c r="G2062" s="2" t="str">
        <f>HYPERLINK("https://www.facebook.com/1362386453/posts/10216460219362335?comment_id=10216473981266374")</f>
        <v>https://www.facebook.com/1362386453/posts/10216460219362335?comment_id=10216473981266374</v>
      </c>
      <c r="H2062" t="s">
        <v>6062</v>
      </c>
      <c r="I2062" t="s">
        <v>467</v>
      </c>
      <c r="J2062" s="2" t="str">
        <f t="shared" si="58"/>
        <v>https://www.facebook.com/1362386453</v>
      </c>
      <c r="K2062">
        <v>3896</v>
      </c>
      <c r="L2062" t="s">
        <v>6063</v>
      </c>
      <c r="N2062" t="s">
        <v>13</v>
      </c>
      <c r="O2062" t="s">
        <v>467</v>
      </c>
      <c r="P2062" s="2" t="str">
        <f t="shared" si="59"/>
        <v>https://www.facebook.com/1362386453</v>
      </c>
      <c r="Q2062">
        <v>3896</v>
      </c>
      <c r="R2062" t="s">
        <v>6067</v>
      </c>
      <c r="S2062" t="s">
        <v>6073</v>
      </c>
    </row>
    <row r="2063" spans="1:19" ht="14.25" customHeight="1" x14ac:dyDescent="0.3">
      <c r="A2063" t="s">
        <v>2225</v>
      </c>
      <c r="B2063" t="s">
        <v>1014</v>
      </c>
      <c r="C2063" t="s">
        <v>95</v>
      </c>
      <c r="D2063" t="s">
        <v>464</v>
      </c>
      <c r="E2063" t="s">
        <v>3098</v>
      </c>
      <c r="F2063" t="s">
        <v>6059</v>
      </c>
      <c r="G2063" s="2" t="str">
        <f>HYPERLINK("https://www.facebook.com/1362386453/posts/10216460219362335?comment_id=10216460412887173")</f>
        <v>https://www.facebook.com/1362386453/posts/10216460219362335?comment_id=10216460412887173</v>
      </c>
      <c r="H2063" t="s">
        <v>6062</v>
      </c>
      <c r="I2063" t="s">
        <v>467</v>
      </c>
      <c r="J2063" s="2" t="str">
        <f t="shared" si="58"/>
        <v>https://www.facebook.com/1362386453</v>
      </c>
      <c r="K2063">
        <v>3896</v>
      </c>
      <c r="L2063" t="s">
        <v>6063</v>
      </c>
      <c r="N2063" t="s">
        <v>13</v>
      </c>
      <c r="O2063" t="s">
        <v>467</v>
      </c>
      <c r="P2063" s="2" t="str">
        <f t="shared" si="59"/>
        <v>https://www.facebook.com/1362386453</v>
      </c>
      <c r="Q2063">
        <v>3896</v>
      </c>
      <c r="R2063" t="s">
        <v>6067</v>
      </c>
      <c r="S2063" t="s">
        <v>6073</v>
      </c>
    </row>
    <row r="2064" spans="1:19" ht="14.25" customHeight="1" x14ac:dyDescent="0.3">
      <c r="A2064" t="s">
        <v>2225</v>
      </c>
      <c r="B2064" t="s">
        <v>3142</v>
      </c>
      <c r="C2064" t="s">
        <v>95</v>
      </c>
      <c r="D2064" t="s">
        <v>464</v>
      </c>
      <c r="E2064" t="s">
        <v>3145</v>
      </c>
      <c r="F2064" t="s">
        <v>6059</v>
      </c>
      <c r="G2064" s="2" t="str">
        <f>HYPERLINK("https://www.facebook.com/1362386453/posts/10216460219362335?comment_id=10216460300764370")</f>
        <v>https://www.facebook.com/1362386453/posts/10216460219362335?comment_id=10216460300764370</v>
      </c>
      <c r="H2064" t="s">
        <v>6062</v>
      </c>
      <c r="I2064" t="s">
        <v>467</v>
      </c>
      <c r="J2064" s="2" t="str">
        <f t="shared" si="58"/>
        <v>https://www.facebook.com/1362386453</v>
      </c>
      <c r="K2064">
        <v>3896</v>
      </c>
      <c r="L2064" t="s">
        <v>6063</v>
      </c>
      <c r="N2064" t="s">
        <v>13</v>
      </c>
      <c r="O2064" t="s">
        <v>467</v>
      </c>
      <c r="P2064" s="2" t="str">
        <f t="shared" si="59"/>
        <v>https://www.facebook.com/1362386453</v>
      </c>
      <c r="Q2064">
        <v>3896</v>
      </c>
      <c r="R2064" t="s">
        <v>6067</v>
      </c>
      <c r="S2064" t="s">
        <v>6073</v>
      </c>
    </row>
    <row r="2065" spans="1:19" ht="14.25" customHeight="1" x14ac:dyDescent="0.3">
      <c r="A2065" t="s">
        <v>1</v>
      </c>
      <c r="B2065" t="s">
        <v>468</v>
      </c>
      <c r="C2065" t="s">
        <v>95</v>
      </c>
      <c r="D2065" t="s">
        <v>464</v>
      </c>
      <c r="E2065" t="s">
        <v>469</v>
      </c>
      <c r="F2065" t="s">
        <v>6059</v>
      </c>
      <c r="G2065" s="2" t="str">
        <f>HYPERLINK("https://www.facebook.com/1362386453/posts/10216460219362335?comment_id=10216473987746536")</f>
        <v>https://www.facebook.com/1362386453/posts/10216460219362335?comment_id=10216473987746536</v>
      </c>
      <c r="H2065" t="s">
        <v>6062</v>
      </c>
      <c r="I2065" t="s">
        <v>467</v>
      </c>
      <c r="J2065" s="2" t="str">
        <f t="shared" si="58"/>
        <v>https://www.facebook.com/1362386453</v>
      </c>
      <c r="K2065">
        <v>3896</v>
      </c>
      <c r="L2065" t="s">
        <v>6063</v>
      </c>
      <c r="N2065" t="s">
        <v>13</v>
      </c>
      <c r="O2065" t="s">
        <v>467</v>
      </c>
      <c r="P2065" s="2" t="str">
        <f t="shared" si="59"/>
        <v>https://www.facebook.com/1362386453</v>
      </c>
      <c r="Q2065">
        <v>3896</v>
      </c>
      <c r="R2065" t="s">
        <v>6067</v>
      </c>
      <c r="S2065" t="s">
        <v>6073</v>
      </c>
    </row>
    <row r="2066" spans="1:19" ht="14.25" customHeight="1" x14ac:dyDescent="0.3">
      <c r="A2066" t="s">
        <v>2225</v>
      </c>
      <c r="B2066" t="s">
        <v>3132</v>
      </c>
      <c r="C2066" t="s">
        <v>95</v>
      </c>
      <c r="D2066" t="s">
        <v>464</v>
      </c>
      <c r="E2066" t="s">
        <v>3135</v>
      </c>
      <c r="F2066" t="s">
        <v>6059</v>
      </c>
      <c r="G2066" s="2" t="str">
        <f>HYPERLINK("https://www.facebook.com/1362386453/posts/10216460219362335?comment_id=10216460309444587")</f>
        <v>https://www.facebook.com/1362386453/posts/10216460219362335?comment_id=10216460309444587</v>
      </c>
      <c r="H2066" t="s">
        <v>6062</v>
      </c>
      <c r="I2066" t="s">
        <v>467</v>
      </c>
      <c r="J2066" s="2" t="str">
        <f t="shared" si="58"/>
        <v>https://www.facebook.com/1362386453</v>
      </c>
      <c r="K2066">
        <v>3896</v>
      </c>
      <c r="L2066" t="s">
        <v>6063</v>
      </c>
      <c r="N2066" t="s">
        <v>13</v>
      </c>
      <c r="O2066" t="s">
        <v>467</v>
      </c>
      <c r="P2066" s="2" t="str">
        <f t="shared" si="59"/>
        <v>https://www.facebook.com/1362386453</v>
      </c>
      <c r="Q2066">
        <v>3896</v>
      </c>
      <c r="R2066" t="s">
        <v>6067</v>
      </c>
      <c r="S2066" t="s">
        <v>6073</v>
      </c>
    </row>
    <row r="2067" spans="1:19" ht="14.25" customHeight="1" x14ac:dyDescent="0.3">
      <c r="A2067" t="s">
        <v>2225</v>
      </c>
      <c r="B2067" t="s">
        <v>3132</v>
      </c>
      <c r="C2067" t="s">
        <v>95</v>
      </c>
      <c r="D2067" t="s">
        <v>464</v>
      </c>
      <c r="E2067" t="s">
        <v>3137</v>
      </c>
      <c r="F2067" t="s">
        <v>6059</v>
      </c>
      <c r="G2067" s="2" t="str">
        <f>HYPERLINK("https://www.facebook.com/1362386453/posts/10216460219362335?comment_id=10216460305924499")</f>
        <v>https://www.facebook.com/1362386453/posts/10216460219362335?comment_id=10216460305924499</v>
      </c>
      <c r="H2067" t="s">
        <v>6062</v>
      </c>
      <c r="I2067" t="s">
        <v>467</v>
      </c>
      <c r="J2067" s="2" t="str">
        <f t="shared" si="58"/>
        <v>https://www.facebook.com/1362386453</v>
      </c>
      <c r="K2067">
        <v>3896</v>
      </c>
      <c r="L2067" t="s">
        <v>6063</v>
      </c>
      <c r="N2067" t="s">
        <v>13</v>
      </c>
      <c r="O2067" t="s">
        <v>467</v>
      </c>
      <c r="P2067" s="2" t="str">
        <f t="shared" si="59"/>
        <v>https://www.facebook.com/1362386453</v>
      </c>
      <c r="Q2067">
        <v>3896</v>
      </c>
      <c r="R2067" t="s">
        <v>6067</v>
      </c>
      <c r="S2067" t="s">
        <v>6073</v>
      </c>
    </row>
    <row r="2068" spans="1:19" ht="14.25" customHeight="1" x14ac:dyDescent="0.3">
      <c r="A2068" t="s">
        <v>629</v>
      </c>
      <c r="B2068" t="s">
        <v>812</v>
      </c>
      <c r="C2068" t="s">
        <v>95</v>
      </c>
      <c r="D2068" t="s">
        <v>464</v>
      </c>
      <c r="E2068" t="s">
        <v>813</v>
      </c>
      <c r="F2068" t="s">
        <v>6059</v>
      </c>
      <c r="G2068" s="2" t="str">
        <f>HYPERLINK("https://www.facebook.com/1362386453/posts/10216460219362335?comment_id=10216469425512483")</f>
        <v>https://www.facebook.com/1362386453/posts/10216460219362335?comment_id=10216469425512483</v>
      </c>
      <c r="H2068" t="s">
        <v>6062</v>
      </c>
      <c r="I2068" t="s">
        <v>467</v>
      </c>
      <c r="J2068" s="2" t="str">
        <f t="shared" si="58"/>
        <v>https://www.facebook.com/1362386453</v>
      </c>
      <c r="K2068">
        <v>3896</v>
      </c>
      <c r="L2068" t="s">
        <v>6063</v>
      </c>
      <c r="N2068" t="s">
        <v>13</v>
      </c>
      <c r="O2068" t="s">
        <v>467</v>
      </c>
      <c r="P2068" s="2" t="str">
        <f t="shared" si="59"/>
        <v>https://www.facebook.com/1362386453</v>
      </c>
      <c r="Q2068">
        <v>3896</v>
      </c>
      <c r="R2068" t="s">
        <v>6067</v>
      </c>
      <c r="S2068" t="s">
        <v>6073</v>
      </c>
    </row>
    <row r="2069" spans="1:19" ht="14.25" customHeight="1" x14ac:dyDescent="0.3">
      <c r="A2069" t="s">
        <v>1</v>
      </c>
      <c r="B2069" t="s">
        <v>625</v>
      </c>
      <c r="C2069" t="s">
        <v>95</v>
      </c>
      <c r="D2069" t="s">
        <v>464</v>
      </c>
      <c r="E2069" t="s">
        <v>626</v>
      </c>
      <c r="F2069" t="s">
        <v>6059</v>
      </c>
      <c r="G2069" s="2" t="str">
        <f>HYPERLINK("https://www.facebook.com/1362386453/posts/10216460219362335?comment_id=10216471019032320")</f>
        <v>https://www.facebook.com/1362386453/posts/10216460219362335?comment_id=10216471019032320</v>
      </c>
      <c r="H2069" t="s">
        <v>6062</v>
      </c>
      <c r="I2069" t="s">
        <v>467</v>
      </c>
      <c r="J2069" s="2" t="str">
        <f t="shared" si="58"/>
        <v>https://www.facebook.com/1362386453</v>
      </c>
      <c r="K2069">
        <v>3896</v>
      </c>
      <c r="L2069" t="s">
        <v>6063</v>
      </c>
      <c r="N2069" t="s">
        <v>13</v>
      </c>
      <c r="O2069" t="s">
        <v>467</v>
      </c>
      <c r="P2069" s="2" t="str">
        <f t="shared" si="59"/>
        <v>https://www.facebook.com/1362386453</v>
      </c>
      <c r="Q2069">
        <v>3896</v>
      </c>
      <c r="R2069" t="s">
        <v>6067</v>
      </c>
      <c r="S2069" t="s">
        <v>6073</v>
      </c>
    </row>
    <row r="2070" spans="1:19" ht="14.25" customHeight="1" x14ac:dyDescent="0.3">
      <c r="A2070" t="s">
        <v>629</v>
      </c>
      <c r="B2070" t="s">
        <v>447</v>
      </c>
      <c r="C2070" t="s">
        <v>95</v>
      </c>
      <c r="D2070" t="s">
        <v>370</v>
      </c>
      <c r="E2070" t="s">
        <v>371</v>
      </c>
      <c r="F2070" t="s">
        <v>6058</v>
      </c>
      <c r="G2070" s="2" t="str">
        <f>HYPERLINK("https://www.facebook.com/100001261352381/posts/1826906397361388")</f>
        <v>https://www.facebook.com/100001261352381/posts/1826906397361388</v>
      </c>
      <c r="H2070" t="s">
        <v>6062</v>
      </c>
      <c r="I2070" t="s">
        <v>1871</v>
      </c>
      <c r="J2070" s="2" t="str">
        <f>HYPERLINK("https://www.facebook.com/100001261352381")</f>
        <v>https://www.facebook.com/100001261352381</v>
      </c>
      <c r="K2070">
        <v>334</v>
      </c>
      <c r="L2070" t="s">
        <v>6063</v>
      </c>
      <c r="N2070" t="s">
        <v>13</v>
      </c>
      <c r="O2070" t="s">
        <v>1871</v>
      </c>
      <c r="P2070" s="2" t="str">
        <f>HYPERLINK("https://www.facebook.com/100001261352381")</f>
        <v>https://www.facebook.com/100001261352381</v>
      </c>
      <c r="Q2070">
        <v>334</v>
      </c>
      <c r="R2070" t="s">
        <v>6067</v>
      </c>
      <c r="S2070" t="s">
        <v>6073</v>
      </c>
    </row>
    <row r="2071" spans="1:19" ht="14.25" customHeight="1" x14ac:dyDescent="0.3">
      <c r="A2071" t="s">
        <v>4995</v>
      </c>
      <c r="B2071" t="s">
        <v>3119</v>
      </c>
      <c r="C2071" t="s">
        <v>3538</v>
      </c>
      <c r="D2071" t="s">
        <v>2929</v>
      </c>
      <c r="E2071" t="s">
        <v>5159</v>
      </c>
      <c r="F2071" t="s">
        <v>6059</v>
      </c>
      <c r="G2071" s="2" t="str">
        <f>HYPERLINK("https://www.facebook.com/100000560024798/posts/2021110571250924?comment_id=2023828397645808")</f>
        <v>https://www.facebook.com/100000560024798/posts/2021110571250924?comment_id=2023828397645808</v>
      </c>
      <c r="H2071" t="s">
        <v>6062</v>
      </c>
      <c r="I2071" t="s">
        <v>5160</v>
      </c>
      <c r="J2071" s="2" t="str">
        <f>HYPERLINK("https://www.facebook.com/100002734768152")</f>
        <v>https://www.facebook.com/100002734768152</v>
      </c>
      <c r="K2071">
        <v>446</v>
      </c>
      <c r="L2071" t="s">
        <v>6063</v>
      </c>
      <c r="N2071" t="s">
        <v>13</v>
      </c>
      <c r="O2071" t="s">
        <v>2932</v>
      </c>
      <c r="P2071" s="2" t="str">
        <f>HYPERLINK("https://www.facebook.com/100000560024798")</f>
        <v>https://www.facebook.com/100000560024798</v>
      </c>
      <c r="Q2071">
        <v>31456</v>
      </c>
      <c r="R2071" t="s">
        <v>6067</v>
      </c>
      <c r="S2071" t="s">
        <v>6073</v>
      </c>
    </row>
    <row r="2072" spans="1:19" ht="14.25" customHeight="1" x14ac:dyDescent="0.3">
      <c r="A2072" t="s">
        <v>629</v>
      </c>
      <c r="B2072" t="s">
        <v>488</v>
      </c>
      <c r="C2072" t="s">
        <v>95</v>
      </c>
      <c r="D2072" t="s">
        <v>370</v>
      </c>
      <c r="E2072" t="s">
        <v>371</v>
      </c>
      <c r="F2072" t="s">
        <v>6058</v>
      </c>
      <c r="G2072" s="2" t="str">
        <f>HYPERLINK("https://www.facebook.com/100002495611235/posts/1692500420843129")</f>
        <v>https://www.facebook.com/100002495611235/posts/1692500420843129</v>
      </c>
      <c r="H2072" t="s">
        <v>6062</v>
      </c>
      <c r="I2072" t="s">
        <v>2023</v>
      </c>
      <c r="J2072" s="2" t="str">
        <f>HYPERLINK("https://www.facebook.com/100002495611235")</f>
        <v>https://www.facebook.com/100002495611235</v>
      </c>
      <c r="K2072">
        <v>4781</v>
      </c>
      <c r="L2072" t="s">
        <v>6063</v>
      </c>
      <c r="N2072" t="s">
        <v>13</v>
      </c>
      <c r="O2072" t="s">
        <v>2023</v>
      </c>
      <c r="P2072" s="2" t="str">
        <f>HYPERLINK("https://www.facebook.com/100002495611235")</f>
        <v>https://www.facebook.com/100002495611235</v>
      </c>
      <c r="Q2072">
        <v>4781</v>
      </c>
      <c r="R2072" t="s">
        <v>6067</v>
      </c>
      <c r="S2072" t="s">
        <v>6073</v>
      </c>
    </row>
    <row r="2073" spans="1:19" ht="14.25" customHeight="1" x14ac:dyDescent="0.3">
      <c r="A2073" t="s">
        <v>629</v>
      </c>
      <c r="B2073" t="s">
        <v>1052</v>
      </c>
      <c r="C2073" t="s">
        <v>95</v>
      </c>
      <c r="D2073" t="s">
        <v>10</v>
      </c>
      <c r="E2073" t="s">
        <v>1054</v>
      </c>
      <c r="F2073" t="s">
        <v>6059</v>
      </c>
      <c r="G2073" s="2" t="str">
        <f>HYPERLINK("https://www.facebook.com/762053551/posts/10156366210158552?comment_id=10156366363913552")</f>
        <v>https://www.facebook.com/762053551/posts/10156366210158552?comment_id=10156366363913552</v>
      </c>
      <c r="H2073" t="s">
        <v>6062</v>
      </c>
      <c r="I2073" t="s">
        <v>1055</v>
      </c>
      <c r="J2073" s="2" t="str">
        <f>HYPERLINK("https://www.facebook.com/100004281374338")</f>
        <v>https://www.facebook.com/100004281374338</v>
      </c>
      <c r="K2073">
        <v>0</v>
      </c>
      <c r="L2073" t="s">
        <v>6063</v>
      </c>
      <c r="N2073" t="s">
        <v>13</v>
      </c>
      <c r="O2073" t="s">
        <v>14</v>
      </c>
      <c r="P2073" s="2" t="str">
        <f>HYPERLINK("https://www.facebook.com/762053551")</f>
        <v>https://www.facebook.com/762053551</v>
      </c>
      <c r="Q2073">
        <v>102347</v>
      </c>
      <c r="R2073" t="s">
        <v>6067</v>
      </c>
      <c r="S2073" t="s">
        <v>6073</v>
      </c>
    </row>
    <row r="2074" spans="1:19" ht="14.25" customHeight="1" x14ac:dyDescent="0.3">
      <c r="A2074" t="s">
        <v>2225</v>
      </c>
      <c r="B2074" t="s">
        <v>1319</v>
      </c>
      <c r="C2074" t="s">
        <v>95</v>
      </c>
      <c r="D2074" t="s">
        <v>1099</v>
      </c>
      <c r="E2074" t="s">
        <v>3224</v>
      </c>
      <c r="F2074" t="s">
        <v>6059</v>
      </c>
      <c r="G2074" s="2" t="str">
        <f>HYPERLINK("https://www.facebook.com/100002489064006/posts/1666923993400553?comment_id=1668227026603583")</f>
        <v>https://www.facebook.com/100002489064006/posts/1666923993400553?comment_id=1668227026603583</v>
      </c>
      <c r="H2074" t="s">
        <v>6062</v>
      </c>
      <c r="I2074" t="s">
        <v>3225</v>
      </c>
      <c r="J2074" s="2" t="str">
        <f>HYPERLINK("https://www.facebook.com/100000493964181")</f>
        <v>https://www.facebook.com/100000493964181</v>
      </c>
      <c r="K2074">
        <v>2013</v>
      </c>
      <c r="L2074" t="s">
        <v>6063</v>
      </c>
      <c r="N2074" t="s">
        <v>13</v>
      </c>
      <c r="O2074" t="s">
        <v>1101</v>
      </c>
      <c r="P2074" s="2" t="str">
        <f>HYPERLINK("https://www.facebook.com/100002489064006")</f>
        <v>https://www.facebook.com/100002489064006</v>
      </c>
      <c r="Q2074">
        <v>2089</v>
      </c>
      <c r="R2074" t="s">
        <v>6067</v>
      </c>
      <c r="S2074" t="s">
        <v>6073</v>
      </c>
    </row>
    <row r="2075" spans="1:19" ht="14.25" customHeight="1" x14ac:dyDescent="0.3">
      <c r="A2075" t="s">
        <v>629</v>
      </c>
      <c r="B2075" t="s">
        <v>896</v>
      </c>
      <c r="C2075" t="s">
        <v>95</v>
      </c>
      <c r="D2075" t="s">
        <v>897</v>
      </c>
      <c r="E2075" t="s">
        <v>898</v>
      </c>
      <c r="F2075" t="s">
        <v>6056</v>
      </c>
      <c r="G2075" s="2" t="str">
        <f>HYPERLINK("https://www.facebook.com/100002200274604/posts/1714209401995719")</f>
        <v>https://www.facebook.com/100002200274604/posts/1714209401995719</v>
      </c>
      <c r="H2075" t="s">
        <v>6062</v>
      </c>
      <c r="I2075" t="s">
        <v>899</v>
      </c>
      <c r="J2075" s="2" t="str">
        <f>HYPERLINK("https://www.facebook.com/100002200274604")</f>
        <v>https://www.facebook.com/100002200274604</v>
      </c>
      <c r="K2075">
        <v>1202</v>
      </c>
      <c r="L2075" t="s">
        <v>6063</v>
      </c>
      <c r="N2075" t="s">
        <v>13</v>
      </c>
      <c r="O2075" t="s">
        <v>899</v>
      </c>
      <c r="P2075" s="2" t="str">
        <f>HYPERLINK("https://www.facebook.com/100002200274604")</f>
        <v>https://www.facebook.com/100002200274604</v>
      </c>
      <c r="Q2075">
        <v>1202</v>
      </c>
      <c r="R2075" t="s">
        <v>6067</v>
      </c>
      <c r="S2075" t="s">
        <v>6073</v>
      </c>
    </row>
    <row r="2076" spans="1:19" ht="14.25" customHeight="1" x14ac:dyDescent="0.3">
      <c r="A2076" t="s">
        <v>629</v>
      </c>
      <c r="B2076" t="s">
        <v>798</v>
      </c>
      <c r="C2076" t="s">
        <v>95</v>
      </c>
      <c r="D2076" t="s">
        <v>370</v>
      </c>
      <c r="E2076" t="s">
        <v>371</v>
      </c>
      <c r="F2076" t="s">
        <v>6058</v>
      </c>
      <c r="G2076" s="2" t="str">
        <f>HYPERLINK("https://www.facebook.com/100001823784695/posts/1896963173707790")</f>
        <v>https://www.facebook.com/100001823784695/posts/1896963173707790</v>
      </c>
      <c r="H2076" t="s">
        <v>6062</v>
      </c>
      <c r="I2076" t="s">
        <v>799</v>
      </c>
      <c r="J2076" s="2" t="str">
        <f>HYPERLINK("https://www.facebook.com/100001823784695")</f>
        <v>https://www.facebook.com/100001823784695</v>
      </c>
      <c r="K2076">
        <v>275</v>
      </c>
      <c r="L2076" t="s">
        <v>6063</v>
      </c>
      <c r="N2076" t="s">
        <v>13</v>
      </c>
      <c r="O2076" t="s">
        <v>799</v>
      </c>
      <c r="P2076" s="2" t="str">
        <f>HYPERLINK("https://www.facebook.com/100001823784695")</f>
        <v>https://www.facebook.com/100001823784695</v>
      </c>
      <c r="Q2076">
        <v>275</v>
      </c>
      <c r="R2076" t="s">
        <v>6067</v>
      </c>
      <c r="S2076" t="s">
        <v>6091</v>
      </c>
    </row>
    <row r="2077" spans="1:19" ht="14.25" customHeight="1" x14ac:dyDescent="0.3">
      <c r="A2077" t="s">
        <v>629</v>
      </c>
      <c r="B2077" t="s">
        <v>814</v>
      </c>
      <c r="C2077" t="s">
        <v>95</v>
      </c>
      <c r="D2077" t="s">
        <v>370</v>
      </c>
      <c r="E2077" t="s">
        <v>371</v>
      </c>
      <c r="F2077" t="s">
        <v>6058</v>
      </c>
      <c r="G2077" s="2" t="str">
        <f>HYPERLINK("https://www.facebook.com/100001823784695/posts/1896955113708596")</f>
        <v>https://www.facebook.com/100001823784695/posts/1896955113708596</v>
      </c>
      <c r="H2077" t="s">
        <v>6062</v>
      </c>
      <c r="I2077" t="s">
        <v>799</v>
      </c>
      <c r="J2077" s="2" t="str">
        <f>HYPERLINK("https://www.facebook.com/100001823784695")</f>
        <v>https://www.facebook.com/100001823784695</v>
      </c>
      <c r="K2077">
        <v>275</v>
      </c>
      <c r="L2077" t="s">
        <v>6063</v>
      </c>
      <c r="N2077" t="s">
        <v>13</v>
      </c>
      <c r="O2077" t="s">
        <v>799</v>
      </c>
      <c r="P2077" s="2" t="str">
        <f>HYPERLINK("https://www.facebook.com/100001823784695")</f>
        <v>https://www.facebook.com/100001823784695</v>
      </c>
      <c r="Q2077">
        <v>275</v>
      </c>
      <c r="R2077" t="s">
        <v>6067</v>
      </c>
      <c r="S2077" t="s">
        <v>6091</v>
      </c>
    </row>
    <row r="2078" spans="1:19" ht="14.25" customHeight="1" x14ac:dyDescent="0.3">
      <c r="A2078" t="s">
        <v>2225</v>
      </c>
      <c r="B2078" t="s">
        <v>767</v>
      </c>
      <c r="C2078" t="s">
        <v>95</v>
      </c>
      <c r="D2078" t="s">
        <v>853</v>
      </c>
      <c r="E2078" t="s">
        <v>2335</v>
      </c>
      <c r="F2078" t="s">
        <v>6059</v>
      </c>
      <c r="G2078" s="2" t="str">
        <f>HYPERLINK("https://www.facebook.com/100008934274771/posts/1810262525948206?comment_id=1810265272614598")</f>
        <v>https://www.facebook.com/100008934274771/posts/1810262525948206?comment_id=1810265272614598</v>
      </c>
      <c r="H2078" t="s">
        <v>6062</v>
      </c>
      <c r="I2078" t="s">
        <v>2881</v>
      </c>
      <c r="J2078" s="2" t="str">
        <f>HYPERLINK("https://www.facebook.com/100001839280713")</f>
        <v>https://www.facebook.com/100001839280713</v>
      </c>
      <c r="K2078">
        <v>0</v>
      </c>
      <c r="L2078" t="s">
        <v>6064</v>
      </c>
      <c r="N2078" t="s">
        <v>13</v>
      </c>
      <c r="O2078" t="s">
        <v>856</v>
      </c>
      <c r="P2078" s="2" t="str">
        <f>HYPERLINK("https://www.facebook.com/100008934274771")</f>
        <v>https://www.facebook.com/100008934274771</v>
      </c>
      <c r="Q2078">
        <v>10395</v>
      </c>
      <c r="R2078" t="s">
        <v>6067</v>
      </c>
      <c r="S2078" t="s">
        <v>6073</v>
      </c>
    </row>
    <row r="2079" spans="1:19" ht="14.25" customHeight="1" x14ac:dyDescent="0.3">
      <c r="A2079" t="s">
        <v>2225</v>
      </c>
      <c r="B2079" t="s">
        <v>2824</v>
      </c>
      <c r="C2079" t="s">
        <v>95</v>
      </c>
      <c r="D2079" t="s">
        <v>544</v>
      </c>
      <c r="E2079" t="s">
        <v>545</v>
      </c>
      <c r="F2079" t="s">
        <v>6058</v>
      </c>
      <c r="G2079" s="2" t="str">
        <f>HYPERLINK("https://www.facebook.com/100017039985815/posts/231261500785181")</f>
        <v>https://www.facebook.com/100017039985815/posts/231261500785181</v>
      </c>
      <c r="H2079" t="s">
        <v>6062</v>
      </c>
      <c r="I2079" t="s">
        <v>2743</v>
      </c>
      <c r="J2079" s="2" t="str">
        <f>HYPERLINK("https://www.facebook.com/100017039985815")</f>
        <v>https://www.facebook.com/100017039985815</v>
      </c>
      <c r="K2079">
        <v>327</v>
      </c>
      <c r="L2079" t="s">
        <v>6063</v>
      </c>
      <c r="N2079" t="s">
        <v>13</v>
      </c>
      <c r="O2079" t="s">
        <v>2743</v>
      </c>
      <c r="P2079" s="2" t="str">
        <f>HYPERLINK("https://www.facebook.com/100017039985815")</f>
        <v>https://www.facebook.com/100017039985815</v>
      </c>
      <c r="Q2079">
        <v>327</v>
      </c>
      <c r="R2079" t="s">
        <v>6067</v>
      </c>
      <c r="S2079" t="s">
        <v>6073</v>
      </c>
    </row>
    <row r="2080" spans="1:19" ht="14.25" customHeight="1" x14ac:dyDescent="0.3">
      <c r="A2080" t="s">
        <v>2225</v>
      </c>
      <c r="B2080" t="s">
        <v>2741</v>
      </c>
      <c r="C2080" t="s">
        <v>95</v>
      </c>
      <c r="D2080" t="s">
        <v>853</v>
      </c>
      <c r="E2080" t="s">
        <v>2742</v>
      </c>
      <c r="F2080" t="s">
        <v>6059</v>
      </c>
      <c r="G2080" s="2" t="str">
        <f>HYPERLINK("https://www.facebook.com/100008934274771/posts/1810262525948206?comment_id=1810273352613790")</f>
        <v>https://www.facebook.com/100008934274771/posts/1810262525948206?comment_id=1810273352613790</v>
      </c>
      <c r="H2080" t="s">
        <v>6062</v>
      </c>
      <c r="I2080" t="s">
        <v>2743</v>
      </c>
      <c r="J2080" s="2" t="str">
        <f>HYPERLINK("https://www.facebook.com/100017039985815")</f>
        <v>https://www.facebook.com/100017039985815</v>
      </c>
      <c r="K2080">
        <v>327</v>
      </c>
      <c r="L2080" t="s">
        <v>6063</v>
      </c>
      <c r="N2080" t="s">
        <v>13</v>
      </c>
      <c r="O2080" t="s">
        <v>856</v>
      </c>
      <c r="P2080" s="2" t="str">
        <f>HYPERLINK("https://www.facebook.com/100008934274771")</f>
        <v>https://www.facebook.com/100008934274771</v>
      </c>
      <c r="Q2080">
        <v>10395</v>
      </c>
      <c r="R2080" t="s">
        <v>6067</v>
      </c>
      <c r="S2080" t="s">
        <v>6073</v>
      </c>
    </row>
    <row r="2081" spans="1:19" ht="14.25" customHeight="1" x14ac:dyDescent="0.3">
      <c r="A2081" t="s">
        <v>2225</v>
      </c>
      <c r="B2081" t="s">
        <v>2798</v>
      </c>
      <c r="C2081" t="s">
        <v>95</v>
      </c>
      <c r="D2081" t="s">
        <v>853</v>
      </c>
      <c r="E2081" t="s">
        <v>2799</v>
      </c>
      <c r="F2081" t="s">
        <v>6059</v>
      </c>
      <c r="G2081" s="2" t="str">
        <f>HYPERLINK("https://www.facebook.com/100008934274771/posts/1810262525948206?comment_id=1810268929280899")</f>
        <v>https://www.facebook.com/100008934274771/posts/1810262525948206?comment_id=1810268929280899</v>
      </c>
      <c r="H2081" t="s">
        <v>6062</v>
      </c>
      <c r="I2081" t="s">
        <v>2743</v>
      </c>
      <c r="J2081" s="2" t="str">
        <f>HYPERLINK("https://www.facebook.com/100017039985815")</f>
        <v>https://www.facebook.com/100017039985815</v>
      </c>
      <c r="K2081">
        <v>327</v>
      </c>
      <c r="L2081" t="s">
        <v>6063</v>
      </c>
      <c r="N2081" t="s">
        <v>13</v>
      </c>
      <c r="O2081" t="s">
        <v>856</v>
      </c>
      <c r="P2081" s="2" t="str">
        <f>HYPERLINK("https://www.facebook.com/100008934274771")</f>
        <v>https://www.facebook.com/100008934274771</v>
      </c>
      <c r="Q2081">
        <v>10395</v>
      </c>
      <c r="R2081" t="s">
        <v>6067</v>
      </c>
      <c r="S2081" t="s">
        <v>6073</v>
      </c>
    </row>
    <row r="2082" spans="1:19" ht="14.25" customHeight="1" x14ac:dyDescent="0.3">
      <c r="A2082" t="s">
        <v>2225</v>
      </c>
      <c r="B2082" t="s">
        <v>2278</v>
      </c>
      <c r="C2082" t="s">
        <v>95</v>
      </c>
      <c r="D2082" t="s">
        <v>544</v>
      </c>
      <c r="E2082" t="s">
        <v>545</v>
      </c>
      <c r="F2082" t="s">
        <v>6058</v>
      </c>
      <c r="G2082" s="2" t="str">
        <f>HYPERLINK("https://www.facebook.com/100019154441869/posts/181194245862389")</f>
        <v>https://www.facebook.com/100019154441869/posts/181194245862389</v>
      </c>
      <c r="H2082" t="s">
        <v>6062</v>
      </c>
      <c r="I2082" t="s">
        <v>2279</v>
      </c>
      <c r="J2082" s="2" t="str">
        <f>HYPERLINK("https://www.facebook.com/100019154441869")</f>
        <v>https://www.facebook.com/100019154441869</v>
      </c>
      <c r="K2082">
        <v>388</v>
      </c>
      <c r="L2082" t="s">
        <v>6064</v>
      </c>
      <c r="N2082" t="s">
        <v>13</v>
      </c>
      <c r="O2082" t="s">
        <v>2279</v>
      </c>
      <c r="P2082" s="2" t="str">
        <f>HYPERLINK("https://www.facebook.com/100019154441869")</f>
        <v>https://www.facebook.com/100019154441869</v>
      </c>
      <c r="Q2082">
        <v>388</v>
      </c>
      <c r="R2082" t="s">
        <v>6067</v>
      </c>
      <c r="S2082" t="s">
        <v>6103</v>
      </c>
    </row>
    <row r="2083" spans="1:19" ht="14.25" customHeight="1" x14ac:dyDescent="0.3">
      <c r="A2083" t="s">
        <v>629</v>
      </c>
      <c r="B2083" t="s">
        <v>1490</v>
      </c>
      <c r="C2083" t="s">
        <v>95</v>
      </c>
      <c r="D2083" t="s">
        <v>370</v>
      </c>
      <c r="E2083" t="s">
        <v>371</v>
      </c>
      <c r="F2083" t="s">
        <v>6058</v>
      </c>
      <c r="G2083" s="2" t="str">
        <f>HYPERLINK("https://www.facebook.com/100008738490824/posts/1822528314715101")</f>
        <v>https://www.facebook.com/100008738490824/posts/1822528314715101</v>
      </c>
      <c r="H2083" t="s">
        <v>6062</v>
      </c>
      <c r="I2083" t="s">
        <v>1491</v>
      </c>
      <c r="J2083" s="2" t="str">
        <f>HYPERLINK("https://www.facebook.com/100008738490824")</f>
        <v>https://www.facebook.com/100008738490824</v>
      </c>
      <c r="K2083">
        <v>213</v>
      </c>
      <c r="L2083" t="s">
        <v>6064</v>
      </c>
      <c r="N2083" t="s">
        <v>13</v>
      </c>
      <c r="O2083" t="s">
        <v>1491</v>
      </c>
      <c r="P2083" s="2" t="str">
        <f>HYPERLINK("https://www.facebook.com/100008738490824")</f>
        <v>https://www.facebook.com/100008738490824</v>
      </c>
      <c r="Q2083">
        <v>213</v>
      </c>
      <c r="R2083" t="s">
        <v>6067</v>
      </c>
      <c r="S2083" t="s">
        <v>6073</v>
      </c>
    </row>
    <row r="2084" spans="1:19" ht="14.25" customHeight="1" x14ac:dyDescent="0.3">
      <c r="A2084" t="s">
        <v>2225</v>
      </c>
      <c r="B2084" t="s">
        <v>711</v>
      </c>
      <c r="C2084" t="s">
        <v>95</v>
      </c>
      <c r="D2084" t="s">
        <v>544</v>
      </c>
      <c r="E2084" t="s">
        <v>545</v>
      </c>
      <c r="F2084" t="s">
        <v>6058</v>
      </c>
      <c r="G2084" s="2" t="str">
        <f>HYPERLINK("https://www.facebook.com/100005163037601/posts/876320279216732")</f>
        <v>https://www.facebook.com/100005163037601/posts/876320279216732</v>
      </c>
      <c r="H2084" t="s">
        <v>6062</v>
      </c>
      <c r="I2084" t="s">
        <v>2345</v>
      </c>
      <c r="J2084" s="2" t="str">
        <f>HYPERLINK("https://www.facebook.com/100005163037601")</f>
        <v>https://www.facebook.com/100005163037601</v>
      </c>
      <c r="K2084">
        <v>23</v>
      </c>
      <c r="L2084" t="s">
        <v>6064</v>
      </c>
      <c r="N2084" t="s">
        <v>13</v>
      </c>
      <c r="O2084" t="s">
        <v>2345</v>
      </c>
      <c r="P2084" s="2" t="str">
        <f>HYPERLINK("https://www.facebook.com/100005163037601")</f>
        <v>https://www.facebook.com/100005163037601</v>
      </c>
      <c r="Q2084">
        <v>23</v>
      </c>
      <c r="R2084" t="s">
        <v>6067</v>
      </c>
      <c r="S2084" t="s">
        <v>6073</v>
      </c>
    </row>
    <row r="2085" spans="1:19" ht="14.25" customHeight="1" x14ac:dyDescent="0.3">
      <c r="A2085" t="s">
        <v>629</v>
      </c>
      <c r="B2085" t="s">
        <v>1755</v>
      </c>
      <c r="C2085" t="s">
        <v>95</v>
      </c>
      <c r="D2085" t="s">
        <v>370</v>
      </c>
      <c r="E2085" t="s">
        <v>371</v>
      </c>
      <c r="F2085" t="s">
        <v>6058</v>
      </c>
      <c r="G2085" s="2" t="str">
        <f>HYPERLINK("https://www.facebook.com/100000837183692/posts/1583205091717382")</f>
        <v>https://www.facebook.com/100000837183692/posts/1583205091717382</v>
      </c>
      <c r="H2085" t="s">
        <v>6062</v>
      </c>
      <c r="I2085" t="s">
        <v>1760</v>
      </c>
      <c r="J2085" s="2" t="str">
        <f>HYPERLINK("https://www.facebook.com/100000837183692")</f>
        <v>https://www.facebook.com/100000837183692</v>
      </c>
      <c r="K2085">
        <v>0</v>
      </c>
      <c r="L2085" t="s">
        <v>6064</v>
      </c>
      <c r="N2085" t="s">
        <v>13</v>
      </c>
      <c r="O2085" t="s">
        <v>1760</v>
      </c>
      <c r="P2085" s="2" t="str">
        <f>HYPERLINK("https://www.facebook.com/100000837183692")</f>
        <v>https://www.facebook.com/100000837183692</v>
      </c>
      <c r="Q2085">
        <v>0</v>
      </c>
      <c r="R2085" t="s">
        <v>6067</v>
      </c>
    </row>
    <row r="2086" spans="1:19" ht="14.25" customHeight="1" x14ac:dyDescent="0.3">
      <c r="A2086" t="s">
        <v>629</v>
      </c>
      <c r="B2086" t="s">
        <v>357</v>
      </c>
      <c r="C2086" t="s">
        <v>95</v>
      </c>
      <c r="D2086" t="s">
        <v>370</v>
      </c>
      <c r="E2086" t="s">
        <v>371</v>
      </c>
      <c r="F2086" t="s">
        <v>6058</v>
      </c>
      <c r="G2086" s="2" t="str">
        <f>HYPERLINK("https://www.facebook.com/100007144662721/posts/2075329849381817")</f>
        <v>https://www.facebook.com/100007144662721/posts/2075329849381817</v>
      </c>
      <c r="H2086" t="s">
        <v>6062</v>
      </c>
      <c r="I2086" t="s">
        <v>1649</v>
      </c>
      <c r="J2086" s="2" t="str">
        <f>HYPERLINK("https://www.facebook.com/100007144662721")</f>
        <v>https://www.facebook.com/100007144662721</v>
      </c>
      <c r="K2086">
        <v>380</v>
      </c>
      <c r="L2086" t="s">
        <v>6064</v>
      </c>
      <c r="N2086" t="s">
        <v>13</v>
      </c>
      <c r="O2086" t="s">
        <v>1649</v>
      </c>
      <c r="P2086" s="2" t="str">
        <f>HYPERLINK("https://www.facebook.com/100007144662721")</f>
        <v>https://www.facebook.com/100007144662721</v>
      </c>
      <c r="Q2086">
        <v>380</v>
      </c>
      <c r="R2086" t="s">
        <v>6067</v>
      </c>
      <c r="S2086" t="s">
        <v>6073</v>
      </c>
    </row>
    <row r="2087" spans="1:19" ht="14.25" customHeight="1" x14ac:dyDescent="0.3">
      <c r="A2087" t="s">
        <v>4439</v>
      </c>
      <c r="B2087" t="s">
        <v>1943</v>
      </c>
      <c r="C2087" t="s">
        <v>3538</v>
      </c>
      <c r="D2087" t="s">
        <v>4790</v>
      </c>
      <c r="E2087" t="s">
        <v>4859</v>
      </c>
      <c r="F2087" t="s">
        <v>6059</v>
      </c>
      <c r="G2087" s="2" t="str">
        <f>HYPERLINK("https://www.facebook.com/100002206000124/posts/1650484705035047?comment_id=1651353408281510")</f>
        <v>https://www.facebook.com/100002206000124/posts/1650484705035047?comment_id=1651353408281510</v>
      </c>
      <c r="H2087" t="s">
        <v>6062</v>
      </c>
      <c r="I2087" t="s">
        <v>4860</v>
      </c>
      <c r="J2087" s="2" t="str">
        <f>HYPERLINK("https://www.facebook.com/100009129979990")</f>
        <v>https://www.facebook.com/100009129979990</v>
      </c>
      <c r="K2087">
        <v>812</v>
      </c>
      <c r="L2087" t="s">
        <v>6064</v>
      </c>
      <c r="N2087" t="s">
        <v>13</v>
      </c>
      <c r="O2087" t="s">
        <v>4793</v>
      </c>
      <c r="P2087" s="2" t="str">
        <f>HYPERLINK("https://www.facebook.com/100002206000124")</f>
        <v>https://www.facebook.com/100002206000124</v>
      </c>
      <c r="Q2087">
        <v>0</v>
      </c>
      <c r="R2087" t="s">
        <v>6067</v>
      </c>
      <c r="S2087" t="s">
        <v>6073</v>
      </c>
    </row>
    <row r="2088" spans="1:19" ht="14.25" customHeight="1" x14ac:dyDescent="0.3">
      <c r="A2088" t="s">
        <v>629</v>
      </c>
      <c r="B2088" t="s">
        <v>1801</v>
      </c>
      <c r="C2088" t="s">
        <v>95</v>
      </c>
      <c r="D2088" t="s">
        <v>370</v>
      </c>
      <c r="E2088" t="s">
        <v>371</v>
      </c>
      <c r="F2088" t="s">
        <v>6058</v>
      </c>
      <c r="G2088" s="2" t="str">
        <f>HYPERLINK("https://www.facebook.com/100008894988690/posts/1792108021095680")</f>
        <v>https://www.facebook.com/100008894988690/posts/1792108021095680</v>
      </c>
      <c r="H2088" t="s">
        <v>6062</v>
      </c>
      <c r="I2088" t="s">
        <v>1802</v>
      </c>
      <c r="J2088" s="2" t="str">
        <f>HYPERLINK("https://www.facebook.com/100008894988690")</f>
        <v>https://www.facebook.com/100008894988690</v>
      </c>
      <c r="K2088">
        <v>79</v>
      </c>
      <c r="L2088" t="s">
        <v>6064</v>
      </c>
      <c r="N2088" t="s">
        <v>13</v>
      </c>
      <c r="O2088" t="s">
        <v>1802</v>
      </c>
      <c r="P2088" s="2" t="str">
        <f>HYPERLINK("https://www.facebook.com/100008894988690")</f>
        <v>https://www.facebook.com/100008894988690</v>
      </c>
      <c r="Q2088">
        <v>79</v>
      </c>
      <c r="R2088" t="s">
        <v>6067</v>
      </c>
    </row>
    <row r="2089" spans="1:19" ht="14.25" customHeight="1" x14ac:dyDescent="0.3">
      <c r="A2089" t="s">
        <v>2225</v>
      </c>
      <c r="B2089" t="s">
        <v>2803</v>
      </c>
      <c r="C2089" t="s">
        <v>95</v>
      </c>
      <c r="D2089" t="s">
        <v>544</v>
      </c>
      <c r="E2089" t="s">
        <v>545</v>
      </c>
      <c r="F2089" t="s">
        <v>6058</v>
      </c>
      <c r="G2089" s="2" t="str">
        <f>HYPERLINK("https://www.facebook.com/100004799281810/posts/936827299820571")</f>
        <v>https://www.facebook.com/100004799281810/posts/936827299820571</v>
      </c>
      <c r="H2089" t="s">
        <v>6062</v>
      </c>
      <c r="I2089" t="s">
        <v>2805</v>
      </c>
      <c r="J2089" s="2" t="str">
        <f>HYPERLINK("https://www.facebook.com/100004799281810")</f>
        <v>https://www.facebook.com/100004799281810</v>
      </c>
      <c r="K2089">
        <v>220</v>
      </c>
      <c r="L2089" t="s">
        <v>6064</v>
      </c>
      <c r="N2089" t="s">
        <v>13</v>
      </c>
      <c r="O2089" t="s">
        <v>2805</v>
      </c>
      <c r="P2089" s="2" t="str">
        <f>HYPERLINK("https://www.facebook.com/100004799281810")</f>
        <v>https://www.facebook.com/100004799281810</v>
      </c>
      <c r="Q2089">
        <v>220</v>
      </c>
      <c r="R2089" t="s">
        <v>6067</v>
      </c>
      <c r="S2089" t="s">
        <v>6073</v>
      </c>
    </row>
    <row r="2090" spans="1:19" ht="14.25" customHeight="1" x14ac:dyDescent="0.3">
      <c r="A2090" t="s">
        <v>629</v>
      </c>
      <c r="B2090" t="s">
        <v>393</v>
      </c>
      <c r="C2090" t="s">
        <v>95</v>
      </c>
      <c r="D2090" t="s">
        <v>370</v>
      </c>
      <c r="E2090" t="s">
        <v>371</v>
      </c>
      <c r="F2090" t="s">
        <v>6058</v>
      </c>
      <c r="G2090" s="2" t="str">
        <f>HYPERLINK("https://www.facebook.com/100004184291620/posts/992905730858894")</f>
        <v>https://www.facebook.com/100004184291620/posts/992905730858894</v>
      </c>
      <c r="H2090" t="s">
        <v>6062</v>
      </c>
      <c r="I2090" t="s">
        <v>1688</v>
      </c>
      <c r="J2090" s="2" t="str">
        <f>HYPERLINK("https://www.facebook.com/100004184291620")</f>
        <v>https://www.facebook.com/100004184291620</v>
      </c>
      <c r="K2090">
        <v>4432</v>
      </c>
      <c r="L2090" t="s">
        <v>6063</v>
      </c>
      <c r="N2090" t="s">
        <v>13</v>
      </c>
      <c r="O2090" t="s">
        <v>1688</v>
      </c>
      <c r="P2090" s="2" t="str">
        <f>HYPERLINK("https://www.facebook.com/100004184291620")</f>
        <v>https://www.facebook.com/100004184291620</v>
      </c>
      <c r="Q2090">
        <v>4432</v>
      </c>
      <c r="R2090" t="s">
        <v>6067</v>
      </c>
      <c r="S2090" t="s">
        <v>6073</v>
      </c>
    </row>
    <row r="2091" spans="1:19" ht="14.25" customHeight="1" x14ac:dyDescent="0.3">
      <c r="A2091" t="s">
        <v>629</v>
      </c>
      <c r="B2091" t="s">
        <v>912</v>
      </c>
      <c r="C2091" t="s">
        <v>95</v>
      </c>
      <c r="D2091" t="s">
        <v>10</v>
      </c>
      <c r="E2091" t="s">
        <v>913</v>
      </c>
      <c r="F2091" t="s">
        <v>6059</v>
      </c>
      <c r="G2091" s="2" t="str">
        <f>HYPERLINK("https://www.facebook.com/762053551/posts/10156366210158552?comment_id=10156366587278552")</f>
        <v>https://www.facebook.com/762053551/posts/10156366210158552?comment_id=10156366587278552</v>
      </c>
      <c r="H2091" t="s">
        <v>6062</v>
      </c>
      <c r="I2091" t="s">
        <v>914</v>
      </c>
      <c r="J2091" s="2" t="str">
        <f>HYPERLINK("https://www.facebook.com/100000720231526")</f>
        <v>https://www.facebook.com/100000720231526</v>
      </c>
      <c r="K2091">
        <v>0</v>
      </c>
      <c r="L2091" t="s">
        <v>6063</v>
      </c>
      <c r="N2091" t="s">
        <v>13</v>
      </c>
      <c r="O2091" t="s">
        <v>14</v>
      </c>
      <c r="P2091" s="2" t="str">
        <f>HYPERLINK("https://www.facebook.com/762053551")</f>
        <v>https://www.facebook.com/762053551</v>
      </c>
      <c r="Q2091">
        <v>102347</v>
      </c>
      <c r="R2091" t="s">
        <v>6067</v>
      </c>
      <c r="S2091" t="s">
        <v>6098</v>
      </c>
    </row>
    <row r="2092" spans="1:19" ht="14.25" customHeight="1" x14ac:dyDescent="0.3">
      <c r="A2092" t="s">
        <v>5409</v>
      </c>
      <c r="B2092" t="s">
        <v>1813</v>
      </c>
      <c r="C2092" t="s">
        <v>3538</v>
      </c>
      <c r="D2092" t="s">
        <v>4675</v>
      </c>
      <c r="E2092" t="s">
        <v>5895</v>
      </c>
      <c r="F2092" t="s">
        <v>6059</v>
      </c>
      <c r="G2092" s="2" t="str">
        <f>HYPERLINK("https://www.facebook.com/1439247584/posts/10217349741762401?comment_id=10217355074615719")</f>
        <v>https://www.facebook.com/1439247584/posts/10217349741762401?comment_id=10217355074615719</v>
      </c>
      <c r="H2092" t="s">
        <v>6062</v>
      </c>
      <c r="I2092" t="s">
        <v>5896</v>
      </c>
      <c r="J2092" s="2" t="str">
        <f>HYPERLINK("https://www.facebook.com/100001212207337")</f>
        <v>https://www.facebook.com/100001212207337</v>
      </c>
      <c r="K2092">
        <v>581</v>
      </c>
      <c r="L2092" t="s">
        <v>6063</v>
      </c>
      <c r="N2092" t="s">
        <v>13</v>
      </c>
      <c r="O2092" t="s">
        <v>4678</v>
      </c>
      <c r="P2092" s="2" t="str">
        <f>HYPERLINK("https://www.facebook.com/1439247584")</f>
        <v>https://www.facebook.com/1439247584</v>
      </c>
      <c r="Q2092">
        <v>54</v>
      </c>
      <c r="R2092" t="s">
        <v>6067</v>
      </c>
      <c r="S2092" t="s">
        <v>6073</v>
      </c>
    </row>
    <row r="2093" spans="1:19" ht="14.25" customHeight="1" x14ac:dyDescent="0.3">
      <c r="A2093" t="s">
        <v>2225</v>
      </c>
      <c r="B2093" t="s">
        <v>2653</v>
      </c>
      <c r="C2093" t="s">
        <v>95</v>
      </c>
      <c r="D2093" t="s">
        <v>544</v>
      </c>
      <c r="E2093" t="s">
        <v>545</v>
      </c>
      <c r="F2093" t="s">
        <v>6058</v>
      </c>
      <c r="G2093" s="2" t="str">
        <f>HYPERLINK("https://www.facebook.com/100006257736688/posts/2072600699625168")</f>
        <v>https://www.facebook.com/100006257736688/posts/2072600699625168</v>
      </c>
      <c r="H2093" t="s">
        <v>6062</v>
      </c>
      <c r="I2093" t="s">
        <v>2658</v>
      </c>
      <c r="J2093" s="2" t="str">
        <f>HYPERLINK("https://www.facebook.com/100006257736688")</f>
        <v>https://www.facebook.com/100006257736688</v>
      </c>
      <c r="K2093">
        <v>463</v>
      </c>
      <c r="L2093" t="s">
        <v>6063</v>
      </c>
      <c r="N2093" t="s">
        <v>13</v>
      </c>
      <c r="O2093" t="s">
        <v>2658</v>
      </c>
      <c r="P2093" s="2" t="str">
        <f>HYPERLINK("https://www.facebook.com/100006257736688")</f>
        <v>https://www.facebook.com/100006257736688</v>
      </c>
      <c r="Q2093">
        <v>463</v>
      </c>
      <c r="R2093" t="s">
        <v>6067</v>
      </c>
      <c r="S2093" t="s">
        <v>6073</v>
      </c>
    </row>
    <row r="2094" spans="1:19" ht="14.25" customHeight="1" x14ac:dyDescent="0.3">
      <c r="A2094" t="s">
        <v>629</v>
      </c>
      <c r="B2094" t="s">
        <v>1531</v>
      </c>
      <c r="C2094" t="s">
        <v>95</v>
      </c>
      <c r="D2094" t="s">
        <v>370</v>
      </c>
      <c r="E2094" t="s">
        <v>371</v>
      </c>
      <c r="F2094" t="s">
        <v>6058</v>
      </c>
      <c r="G2094" s="2" t="str">
        <f>HYPERLINK("https://www.facebook.com/100007443609579/posts/2040247366233364")</f>
        <v>https://www.facebook.com/100007443609579/posts/2040247366233364</v>
      </c>
      <c r="H2094" t="s">
        <v>6062</v>
      </c>
      <c r="I2094" t="s">
        <v>1532</v>
      </c>
      <c r="J2094" s="2" t="str">
        <f>HYPERLINK("https://www.facebook.com/100007443609579")</f>
        <v>https://www.facebook.com/100007443609579</v>
      </c>
      <c r="K2094">
        <v>345</v>
      </c>
      <c r="L2094" t="s">
        <v>6064</v>
      </c>
      <c r="N2094" t="s">
        <v>13</v>
      </c>
      <c r="O2094" t="s">
        <v>1532</v>
      </c>
      <c r="P2094" s="2" t="str">
        <f>HYPERLINK("https://www.facebook.com/100007443609579")</f>
        <v>https://www.facebook.com/100007443609579</v>
      </c>
      <c r="Q2094">
        <v>345</v>
      </c>
      <c r="R2094" t="s">
        <v>6067</v>
      </c>
    </row>
    <row r="2095" spans="1:19" ht="14.25" customHeight="1" x14ac:dyDescent="0.3">
      <c r="A2095" t="s">
        <v>629</v>
      </c>
      <c r="B2095" t="s">
        <v>357</v>
      </c>
      <c r="C2095" t="s">
        <v>95</v>
      </c>
      <c r="D2095" t="s">
        <v>370</v>
      </c>
      <c r="E2095" t="s">
        <v>371</v>
      </c>
      <c r="F2095" t="s">
        <v>6058</v>
      </c>
      <c r="G2095" s="2" t="str">
        <f>HYPERLINK("https://www.facebook.com/100012140227575/posts/469705630110774")</f>
        <v>https://www.facebook.com/100012140227575/posts/469705630110774</v>
      </c>
      <c r="H2095" t="s">
        <v>6062</v>
      </c>
      <c r="I2095" t="s">
        <v>1651</v>
      </c>
      <c r="J2095" s="2" t="str">
        <f>HYPERLINK("https://www.facebook.com/100012140227575")</f>
        <v>https://www.facebook.com/100012140227575</v>
      </c>
      <c r="K2095">
        <v>79</v>
      </c>
      <c r="L2095" t="s">
        <v>6064</v>
      </c>
      <c r="N2095" t="s">
        <v>13</v>
      </c>
      <c r="O2095" t="s">
        <v>1651</v>
      </c>
      <c r="P2095" s="2" t="str">
        <f>HYPERLINK("https://www.facebook.com/100012140227575")</f>
        <v>https://www.facebook.com/100012140227575</v>
      </c>
      <c r="Q2095">
        <v>79</v>
      </c>
      <c r="R2095" t="s">
        <v>6067</v>
      </c>
    </row>
    <row r="2096" spans="1:19" ht="14.25" customHeight="1" x14ac:dyDescent="0.3">
      <c r="A2096" t="s">
        <v>2225</v>
      </c>
      <c r="B2096" t="s">
        <v>2831</v>
      </c>
      <c r="C2096" t="s">
        <v>95</v>
      </c>
      <c r="D2096" t="s">
        <v>544</v>
      </c>
      <c r="E2096" t="s">
        <v>545</v>
      </c>
      <c r="F2096" t="s">
        <v>6058</v>
      </c>
      <c r="G2096" s="2" t="str">
        <f>HYPERLINK("https://www.facebook.com/100021591851543/posts/196113054451755")</f>
        <v>https://www.facebook.com/100021591851543/posts/196113054451755</v>
      </c>
      <c r="H2096" t="s">
        <v>6062</v>
      </c>
      <c r="I2096" t="s">
        <v>2832</v>
      </c>
      <c r="J2096" s="2" t="str">
        <f>HYPERLINK("https://www.facebook.com/100021591851543")</f>
        <v>https://www.facebook.com/100021591851543</v>
      </c>
      <c r="K2096">
        <v>8</v>
      </c>
      <c r="L2096" t="s">
        <v>6064</v>
      </c>
      <c r="N2096" t="s">
        <v>13</v>
      </c>
      <c r="O2096" t="s">
        <v>2832</v>
      </c>
      <c r="P2096" s="2" t="str">
        <f>HYPERLINK("https://www.facebook.com/100021591851543")</f>
        <v>https://www.facebook.com/100021591851543</v>
      </c>
      <c r="Q2096">
        <v>8</v>
      </c>
      <c r="R2096" t="s">
        <v>6067</v>
      </c>
    </row>
    <row r="2097" spans="1:19" ht="14.25" customHeight="1" x14ac:dyDescent="0.3">
      <c r="A2097" t="s">
        <v>629</v>
      </c>
      <c r="B2097" t="s">
        <v>1713</v>
      </c>
      <c r="C2097" t="s">
        <v>95</v>
      </c>
      <c r="D2097" t="s">
        <v>370</v>
      </c>
      <c r="E2097" t="s">
        <v>371</v>
      </c>
      <c r="F2097" t="s">
        <v>6058</v>
      </c>
      <c r="G2097" s="2" t="str">
        <f>HYPERLINK("https://www.facebook.com/100002304014225/posts/1767252440028206")</f>
        <v>https://www.facebook.com/100002304014225/posts/1767252440028206</v>
      </c>
      <c r="H2097" t="s">
        <v>6062</v>
      </c>
      <c r="I2097" t="s">
        <v>1720</v>
      </c>
      <c r="J2097" s="2" t="str">
        <f>HYPERLINK("https://www.facebook.com/100002304014225")</f>
        <v>https://www.facebook.com/100002304014225</v>
      </c>
      <c r="K2097">
        <v>183</v>
      </c>
      <c r="L2097" t="s">
        <v>6064</v>
      </c>
      <c r="N2097" t="s">
        <v>13</v>
      </c>
      <c r="O2097" t="s">
        <v>1720</v>
      </c>
      <c r="P2097" s="2" t="str">
        <f>HYPERLINK("https://www.facebook.com/100002304014225")</f>
        <v>https://www.facebook.com/100002304014225</v>
      </c>
      <c r="Q2097">
        <v>183</v>
      </c>
      <c r="R2097" t="s">
        <v>6067</v>
      </c>
    </row>
    <row r="2098" spans="1:19" ht="14.25" customHeight="1" x14ac:dyDescent="0.3">
      <c r="A2098" t="s">
        <v>2225</v>
      </c>
      <c r="B2098" t="s">
        <v>2596</v>
      </c>
      <c r="C2098" t="s">
        <v>95</v>
      </c>
      <c r="D2098" t="s">
        <v>544</v>
      </c>
      <c r="E2098" t="s">
        <v>545</v>
      </c>
      <c r="F2098" t="s">
        <v>6058</v>
      </c>
      <c r="G2098" s="2" t="str">
        <f>HYPERLINK("https://www.facebook.com/100010735595069/posts/559294104438438")</f>
        <v>https://www.facebook.com/100010735595069/posts/559294104438438</v>
      </c>
      <c r="H2098" t="s">
        <v>6062</v>
      </c>
      <c r="I2098" t="s">
        <v>2601</v>
      </c>
      <c r="J2098" s="2" t="str">
        <f>HYPERLINK("https://www.facebook.com/100010735595069")</f>
        <v>https://www.facebook.com/100010735595069</v>
      </c>
      <c r="K2098">
        <v>1332</v>
      </c>
      <c r="L2098" t="s">
        <v>6064</v>
      </c>
      <c r="N2098" t="s">
        <v>13</v>
      </c>
      <c r="O2098" t="s">
        <v>2601</v>
      </c>
      <c r="P2098" s="2" t="str">
        <f>HYPERLINK("https://www.facebook.com/100010735595069")</f>
        <v>https://www.facebook.com/100010735595069</v>
      </c>
      <c r="Q2098">
        <v>1332</v>
      </c>
      <c r="R2098" t="s">
        <v>6067</v>
      </c>
    </row>
    <row r="2099" spans="1:19" ht="14.25" customHeight="1" x14ac:dyDescent="0.3">
      <c r="A2099" t="s">
        <v>629</v>
      </c>
      <c r="B2099" t="s">
        <v>1679</v>
      </c>
      <c r="C2099" t="s">
        <v>95</v>
      </c>
      <c r="D2099" t="s">
        <v>370</v>
      </c>
      <c r="E2099" t="s">
        <v>371</v>
      </c>
      <c r="F2099" t="s">
        <v>6058</v>
      </c>
      <c r="G2099" s="2" t="str">
        <f>HYPERLINK("https://www.facebook.com/100009489786755/posts/2046707628988877")</f>
        <v>https://www.facebook.com/100009489786755/posts/2046707628988877</v>
      </c>
      <c r="H2099" t="s">
        <v>6062</v>
      </c>
      <c r="I2099" t="s">
        <v>1681</v>
      </c>
      <c r="J2099" s="2" t="str">
        <f>HYPERLINK("https://www.facebook.com/100009489786755")</f>
        <v>https://www.facebook.com/100009489786755</v>
      </c>
      <c r="K2099">
        <v>220</v>
      </c>
      <c r="L2099" t="s">
        <v>6064</v>
      </c>
      <c r="N2099" t="s">
        <v>13</v>
      </c>
      <c r="O2099" t="s">
        <v>1681</v>
      </c>
      <c r="P2099" s="2" t="str">
        <f>HYPERLINK("https://www.facebook.com/100009489786755")</f>
        <v>https://www.facebook.com/100009489786755</v>
      </c>
      <c r="Q2099">
        <v>220</v>
      </c>
      <c r="R2099" t="s">
        <v>6067</v>
      </c>
      <c r="S2099" t="s">
        <v>6073</v>
      </c>
    </row>
    <row r="2100" spans="1:19" ht="14.25" customHeight="1" x14ac:dyDescent="0.3">
      <c r="A2100" t="s">
        <v>2225</v>
      </c>
      <c r="B2100" t="s">
        <v>733</v>
      </c>
      <c r="C2100" t="s">
        <v>95</v>
      </c>
      <c r="D2100" t="s">
        <v>544</v>
      </c>
      <c r="E2100" t="s">
        <v>2532</v>
      </c>
      <c r="F2100" t="s">
        <v>6059</v>
      </c>
      <c r="G2100" s="2" t="str">
        <f>HYPERLINK("https://www.facebook.com/100003160573160/posts/1650256021756401?comment_id=1650290255086311")</f>
        <v>https://www.facebook.com/100003160573160/posts/1650256021756401?comment_id=1650290255086311</v>
      </c>
      <c r="H2100" t="s">
        <v>6062</v>
      </c>
      <c r="I2100" t="s">
        <v>2533</v>
      </c>
      <c r="J2100" s="2" t="str">
        <f>HYPERLINK("https://www.facebook.com/100014391605204")</f>
        <v>https://www.facebook.com/100014391605204</v>
      </c>
      <c r="K2100">
        <v>159</v>
      </c>
      <c r="L2100" t="s">
        <v>6064</v>
      </c>
      <c r="N2100" t="s">
        <v>13</v>
      </c>
      <c r="O2100" t="s">
        <v>2013</v>
      </c>
      <c r="P2100" s="2" t="str">
        <f>HYPERLINK("https://www.facebook.com/100003160573160")</f>
        <v>https://www.facebook.com/100003160573160</v>
      </c>
      <c r="Q2100">
        <v>299</v>
      </c>
      <c r="R2100" t="s">
        <v>6067</v>
      </c>
      <c r="S2100" t="s">
        <v>6073</v>
      </c>
    </row>
    <row r="2101" spans="1:19" ht="14.25" customHeight="1" x14ac:dyDescent="0.3">
      <c r="A2101" t="s">
        <v>5409</v>
      </c>
      <c r="B2101" t="s">
        <v>1909</v>
      </c>
      <c r="C2101" t="s">
        <v>3538</v>
      </c>
      <c r="D2101" t="s">
        <v>3780</v>
      </c>
      <c r="E2101" t="s">
        <v>4672</v>
      </c>
      <c r="F2101" t="s">
        <v>6058</v>
      </c>
      <c r="G2101" s="2" t="str">
        <f>HYPERLINK("https://www.facebook.com/100017211199107/posts/216109125639459")</f>
        <v>https://www.facebook.com/100017211199107/posts/216109125639459</v>
      </c>
      <c r="H2101" t="s">
        <v>6062</v>
      </c>
      <c r="I2101" t="s">
        <v>5910</v>
      </c>
      <c r="J2101" s="2" t="str">
        <f>HYPERLINK("https://www.facebook.com/100017211199107")</f>
        <v>https://www.facebook.com/100017211199107</v>
      </c>
      <c r="K2101">
        <v>107</v>
      </c>
      <c r="L2101" t="s">
        <v>6064</v>
      </c>
      <c r="N2101" t="s">
        <v>13</v>
      </c>
      <c r="O2101" t="s">
        <v>5910</v>
      </c>
      <c r="P2101" s="2" t="str">
        <f>HYPERLINK("https://www.facebook.com/100017211199107")</f>
        <v>https://www.facebook.com/100017211199107</v>
      </c>
      <c r="Q2101">
        <v>107</v>
      </c>
      <c r="R2101" t="s">
        <v>6067</v>
      </c>
      <c r="S2101" t="s">
        <v>6073</v>
      </c>
    </row>
    <row r="2102" spans="1:19" ht="14.25" customHeight="1" x14ac:dyDescent="0.3">
      <c r="A2102" t="s">
        <v>629</v>
      </c>
      <c r="B2102" t="s">
        <v>8</v>
      </c>
      <c r="C2102" t="s">
        <v>95</v>
      </c>
      <c r="D2102" t="s">
        <v>10</v>
      </c>
      <c r="E2102" t="s">
        <v>1235</v>
      </c>
      <c r="F2102" t="s">
        <v>6059</v>
      </c>
      <c r="G2102" s="2" t="str">
        <f>HYPERLINK("https://www.facebook.com/762053551/posts/10156366210158552?comment_id=10156366239123552")</f>
        <v>https://www.facebook.com/762053551/posts/10156366210158552?comment_id=10156366239123552</v>
      </c>
      <c r="H2102" t="s">
        <v>6062</v>
      </c>
      <c r="I2102" t="s">
        <v>1236</v>
      </c>
      <c r="J2102" s="2" t="str">
        <f>HYPERLINK("https://www.facebook.com/100007762873770")</f>
        <v>https://www.facebook.com/100007762873770</v>
      </c>
      <c r="K2102">
        <v>5187</v>
      </c>
      <c r="L2102" t="s">
        <v>6063</v>
      </c>
      <c r="M2102">
        <v>39</v>
      </c>
      <c r="N2102" t="s">
        <v>13</v>
      </c>
      <c r="O2102" t="s">
        <v>14</v>
      </c>
      <c r="P2102" s="2" t="str">
        <f>HYPERLINK("https://www.facebook.com/762053551")</f>
        <v>https://www.facebook.com/762053551</v>
      </c>
      <c r="Q2102">
        <v>102347</v>
      </c>
      <c r="R2102" t="s">
        <v>6067</v>
      </c>
      <c r="S2102" t="s">
        <v>6073</v>
      </c>
    </row>
    <row r="2103" spans="1:19" ht="14.25" customHeight="1" x14ac:dyDescent="0.3">
      <c r="A2103" t="s">
        <v>2225</v>
      </c>
      <c r="B2103" t="s">
        <v>3307</v>
      </c>
      <c r="C2103" t="s">
        <v>95</v>
      </c>
      <c r="D2103" t="s">
        <v>2196</v>
      </c>
      <c r="E2103" t="s">
        <v>3308</v>
      </c>
      <c r="F2103" t="s">
        <v>6059</v>
      </c>
      <c r="G2103" s="2" t="str">
        <f>HYPERLINK("https://www.facebook.com/100001415260849/posts/1744734525583706?comment_id=1745876778802814")</f>
        <v>https://www.facebook.com/100001415260849/posts/1744734525583706?comment_id=1745876778802814</v>
      </c>
      <c r="H2103" t="s">
        <v>6062</v>
      </c>
      <c r="I2103" t="s">
        <v>3309</v>
      </c>
      <c r="J2103" s="2" t="str">
        <f>HYPERLINK("https://www.facebook.com/100011307155920")</f>
        <v>https://www.facebook.com/100011307155920</v>
      </c>
      <c r="K2103">
        <v>7</v>
      </c>
      <c r="L2103" t="s">
        <v>6063</v>
      </c>
      <c r="N2103" t="s">
        <v>13</v>
      </c>
      <c r="O2103" t="s">
        <v>2199</v>
      </c>
      <c r="P2103" s="2" t="str">
        <f>HYPERLINK("https://www.facebook.com/100001415260849")</f>
        <v>https://www.facebook.com/100001415260849</v>
      </c>
      <c r="Q2103">
        <v>0</v>
      </c>
      <c r="R2103" t="s">
        <v>6067</v>
      </c>
      <c r="S2103" t="s">
        <v>6073</v>
      </c>
    </row>
    <row r="2104" spans="1:19" ht="14.25" customHeight="1" x14ac:dyDescent="0.3">
      <c r="A2104" t="s">
        <v>4439</v>
      </c>
      <c r="B2104" t="s">
        <v>621</v>
      </c>
      <c r="C2104" t="s">
        <v>3538</v>
      </c>
      <c r="D2104" t="s">
        <v>4801</v>
      </c>
      <c r="E2104" t="s">
        <v>4973</v>
      </c>
      <c r="F2104" t="s">
        <v>6056</v>
      </c>
      <c r="G2104" s="2" t="str">
        <f>HYPERLINK("https://www.facebook.com/100000817437246/posts/1646973195339912")</f>
        <v>https://www.facebook.com/100000817437246/posts/1646973195339912</v>
      </c>
      <c r="H2104" t="s">
        <v>6062</v>
      </c>
      <c r="I2104" t="s">
        <v>4804</v>
      </c>
      <c r="J2104" s="2" t="str">
        <f>HYPERLINK("https://www.facebook.com/100000817437246")</f>
        <v>https://www.facebook.com/100000817437246</v>
      </c>
      <c r="K2104">
        <v>1821</v>
      </c>
      <c r="L2104" t="s">
        <v>6064</v>
      </c>
      <c r="N2104" t="s">
        <v>13</v>
      </c>
      <c r="O2104" t="s">
        <v>4804</v>
      </c>
      <c r="P2104" s="2" t="str">
        <f>HYPERLINK("https://www.facebook.com/100000817437246")</f>
        <v>https://www.facebook.com/100000817437246</v>
      </c>
      <c r="Q2104">
        <v>1821</v>
      </c>
      <c r="R2104" t="s">
        <v>6067</v>
      </c>
      <c r="S2104" t="s">
        <v>6073</v>
      </c>
    </row>
    <row r="2105" spans="1:19" ht="14.25" customHeight="1" x14ac:dyDescent="0.3">
      <c r="A2105" t="s">
        <v>1</v>
      </c>
      <c r="B2105" t="s">
        <v>447</v>
      </c>
      <c r="C2105" t="s">
        <v>95</v>
      </c>
      <c r="D2105" t="s">
        <v>448</v>
      </c>
      <c r="E2105" t="s">
        <v>449</v>
      </c>
      <c r="F2105" t="s">
        <v>6059</v>
      </c>
      <c r="G2105" s="2" t="str">
        <f>HYPERLINK("https://www.facebook.com/100000347779078/posts/1790449787643263?comment_id=1791272387561003")</f>
        <v>https://www.facebook.com/100000347779078/posts/1790449787643263?comment_id=1791272387561003</v>
      </c>
      <c r="H2105" t="s">
        <v>6062</v>
      </c>
      <c r="I2105" t="s">
        <v>450</v>
      </c>
      <c r="J2105" s="2" t="str">
        <f>HYPERLINK("https://www.facebook.com/100008549711284")</f>
        <v>https://www.facebook.com/100008549711284</v>
      </c>
      <c r="K2105">
        <v>566</v>
      </c>
      <c r="L2105" t="s">
        <v>6063</v>
      </c>
      <c r="N2105" t="s">
        <v>13</v>
      </c>
      <c r="O2105" t="s">
        <v>451</v>
      </c>
      <c r="P2105" s="2" t="str">
        <f>HYPERLINK("https://www.facebook.com/100000347779078")</f>
        <v>https://www.facebook.com/100000347779078</v>
      </c>
      <c r="Q2105">
        <v>440</v>
      </c>
      <c r="R2105" t="s">
        <v>6067</v>
      </c>
      <c r="S2105" t="s">
        <v>6073</v>
      </c>
    </row>
    <row r="2106" spans="1:19" ht="14.25" customHeight="1" x14ac:dyDescent="0.3">
      <c r="A2106" t="s">
        <v>5409</v>
      </c>
      <c r="B2106" t="s">
        <v>1307</v>
      </c>
      <c r="C2106" t="s">
        <v>3538</v>
      </c>
      <c r="D2106" t="s">
        <v>3780</v>
      </c>
      <c r="E2106" t="s">
        <v>5696</v>
      </c>
      <c r="F2106" t="s">
        <v>6058</v>
      </c>
      <c r="G2106" s="2" t="str">
        <f>HYPERLINK("https://www.facebook.com/100003857731892/posts/1054851491320099")</f>
        <v>https://www.facebook.com/100003857731892/posts/1054851491320099</v>
      </c>
      <c r="H2106" t="s">
        <v>6062</v>
      </c>
      <c r="I2106" t="s">
        <v>5697</v>
      </c>
      <c r="J2106" s="2" t="str">
        <f>HYPERLINK("https://www.facebook.com/100003857731892")</f>
        <v>https://www.facebook.com/100003857731892</v>
      </c>
      <c r="K2106">
        <v>594</v>
      </c>
      <c r="L2106" t="s">
        <v>6063</v>
      </c>
      <c r="N2106" t="s">
        <v>13</v>
      </c>
      <c r="O2106" t="s">
        <v>5697</v>
      </c>
      <c r="P2106" s="2" t="str">
        <f>HYPERLINK("https://www.facebook.com/100003857731892")</f>
        <v>https://www.facebook.com/100003857731892</v>
      </c>
      <c r="Q2106">
        <v>594</v>
      </c>
      <c r="R2106" t="s">
        <v>6067</v>
      </c>
      <c r="S2106" t="s">
        <v>6073</v>
      </c>
    </row>
    <row r="2107" spans="1:19" ht="14.25" customHeight="1" x14ac:dyDescent="0.3">
      <c r="A2107" t="s">
        <v>5409</v>
      </c>
      <c r="B2107" t="s">
        <v>365</v>
      </c>
      <c r="C2107" t="s">
        <v>3538</v>
      </c>
      <c r="D2107" t="s">
        <v>3780</v>
      </c>
      <c r="E2107" t="s">
        <v>3781</v>
      </c>
      <c r="F2107" t="s">
        <v>6058</v>
      </c>
      <c r="G2107" s="2" t="str">
        <f>HYPERLINK("https://www.facebook.com/100001303317446/posts/1680127962040631")</f>
        <v>https://www.facebook.com/100001303317446/posts/1680127962040631</v>
      </c>
      <c r="H2107" t="s">
        <v>6062</v>
      </c>
      <c r="I2107" t="s">
        <v>5861</v>
      </c>
      <c r="J2107" s="2" t="str">
        <f>HYPERLINK("https://www.facebook.com/100001303317446")</f>
        <v>https://www.facebook.com/100001303317446</v>
      </c>
      <c r="K2107">
        <v>489</v>
      </c>
      <c r="L2107" t="s">
        <v>6063</v>
      </c>
      <c r="N2107" t="s">
        <v>13</v>
      </c>
      <c r="O2107" t="s">
        <v>5861</v>
      </c>
      <c r="P2107" s="2" t="str">
        <f>HYPERLINK("https://www.facebook.com/100001303317446")</f>
        <v>https://www.facebook.com/100001303317446</v>
      </c>
      <c r="Q2107">
        <v>489</v>
      </c>
      <c r="R2107" t="s">
        <v>6067</v>
      </c>
      <c r="S2107" t="s">
        <v>6073</v>
      </c>
    </row>
    <row r="2108" spans="1:19" ht="14.25" customHeight="1" x14ac:dyDescent="0.3">
      <c r="A2108" t="s">
        <v>3527</v>
      </c>
      <c r="B2108" t="s">
        <v>621</v>
      </c>
      <c r="C2108" t="s">
        <v>3538</v>
      </c>
      <c r="D2108" t="s">
        <v>4047</v>
      </c>
      <c r="E2108" t="s">
        <v>4048</v>
      </c>
      <c r="F2108" t="s">
        <v>6058</v>
      </c>
      <c r="G2108" s="2" t="str">
        <f>HYPERLINK("https://www.facebook.com/245241752662732/posts/350898818763691")</f>
        <v>https://www.facebook.com/245241752662732/posts/350898818763691</v>
      </c>
      <c r="H2108" t="s">
        <v>6062</v>
      </c>
      <c r="I2108" t="s">
        <v>4432</v>
      </c>
      <c r="J2108" s="2" t="str">
        <f>HYPERLINK("https://www.facebook.com/245241752662732")</f>
        <v>https://www.facebook.com/245241752662732</v>
      </c>
      <c r="K2108">
        <v>411</v>
      </c>
      <c r="L2108" t="s">
        <v>6065</v>
      </c>
      <c r="N2108" t="s">
        <v>13</v>
      </c>
      <c r="O2108" t="s">
        <v>4432</v>
      </c>
      <c r="P2108" s="2" t="str">
        <f>HYPERLINK("https://www.facebook.com/245241752662732")</f>
        <v>https://www.facebook.com/245241752662732</v>
      </c>
      <c r="Q2108">
        <v>411</v>
      </c>
      <c r="R2108" t="s">
        <v>6067</v>
      </c>
    </row>
    <row r="2109" spans="1:19" ht="14.25" customHeight="1" x14ac:dyDescent="0.3">
      <c r="A2109" t="s">
        <v>629</v>
      </c>
      <c r="B2109" t="s">
        <v>931</v>
      </c>
      <c r="C2109" t="s">
        <v>95</v>
      </c>
      <c r="D2109" t="s">
        <v>932</v>
      </c>
      <c r="E2109" t="s">
        <v>933</v>
      </c>
      <c r="F2109" t="s">
        <v>6059</v>
      </c>
      <c r="G2109" s="2" t="str">
        <f>HYPERLINK("https://www.facebook.com/100000671522755/posts/1878154095550290?comment_id=1879665602065806")</f>
        <v>https://www.facebook.com/100000671522755/posts/1878154095550290?comment_id=1879665602065806</v>
      </c>
      <c r="H2109" t="s">
        <v>6062</v>
      </c>
      <c r="I2109" t="s">
        <v>934</v>
      </c>
      <c r="J2109" s="2" t="str">
        <f>HYPERLINK("https://www.facebook.com/100009611387868")</f>
        <v>https://www.facebook.com/100009611387868</v>
      </c>
      <c r="K2109">
        <v>110</v>
      </c>
      <c r="L2109" t="s">
        <v>6064</v>
      </c>
      <c r="N2109" t="s">
        <v>13</v>
      </c>
      <c r="O2109" t="s">
        <v>935</v>
      </c>
      <c r="P2109" s="2" t="str">
        <f>HYPERLINK("https://www.facebook.com/100000671522755")</f>
        <v>https://www.facebook.com/100000671522755</v>
      </c>
      <c r="Q2109">
        <v>4995</v>
      </c>
      <c r="R2109" t="s">
        <v>6067</v>
      </c>
      <c r="S2109" t="s">
        <v>6073</v>
      </c>
    </row>
    <row r="2110" spans="1:19" ht="14.25" customHeight="1" x14ac:dyDescent="0.3">
      <c r="A2110" t="s">
        <v>2225</v>
      </c>
      <c r="B2110" t="s">
        <v>2556</v>
      </c>
      <c r="C2110" t="s">
        <v>95</v>
      </c>
      <c r="D2110" t="s">
        <v>544</v>
      </c>
      <c r="E2110" t="s">
        <v>545</v>
      </c>
      <c r="F2110" t="s">
        <v>6058</v>
      </c>
      <c r="G2110" s="2" t="str">
        <f>HYPERLINK("https://www.facebook.com/100009849159578/posts/618790915125875")</f>
        <v>https://www.facebook.com/100009849159578/posts/618790915125875</v>
      </c>
      <c r="H2110" t="s">
        <v>6062</v>
      </c>
      <c r="I2110" t="s">
        <v>2558</v>
      </c>
      <c r="J2110" s="2" t="str">
        <f>HYPERLINK("https://www.facebook.com/100009849159578")</f>
        <v>https://www.facebook.com/100009849159578</v>
      </c>
      <c r="K2110">
        <v>468</v>
      </c>
      <c r="L2110" t="s">
        <v>6064</v>
      </c>
      <c r="N2110" t="s">
        <v>13</v>
      </c>
      <c r="O2110" t="s">
        <v>2558</v>
      </c>
      <c r="P2110" s="2" t="str">
        <f>HYPERLINK("https://www.facebook.com/100009849159578")</f>
        <v>https://www.facebook.com/100009849159578</v>
      </c>
      <c r="Q2110">
        <v>468</v>
      </c>
      <c r="R2110" t="s">
        <v>6067</v>
      </c>
    </row>
    <row r="2111" spans="1:19" ht="14.25" customHeight="1" x14ac:dyDescent="0.3">
      <c r="A2111" t="s">
        <v>629</v>
      </c>
      <c r="B2111" t="s">
        <v>2000</v>
      </c>
      <c r="C2111" t="s">
        <v>95</v>
      </c>
      <c r="D2111" t="s">
        <v>370</v>
      </c>
      <c r="E2111" t="s">
        <v>371</v>
      </c>
      <c r="F2111" t="s">
        <v>6058</v>
      </c>
      <c r="G2111" s="2" t="str">
        <f>HYPERLINK("https://www.facebook.com/100010753200158/posts/570494996652269")</f>
        <v>https://www.facebook.com/100010753200158/posts/570494996652269</v>
      </c>
      <c r="H2111" t="s">
        <v>6062</v>
      </c>
      <c r="I2111" t="s">
        <v>2001</v>
      </c>
      <c r="J2111" s="2" t="str">
        <f>HYPERLINK("https://www.facebook.com/100010753200158")</f>
        <v>https://www.facebook.com/100010753200158</v>
      </c>
      <c r="K2111">
        <v>123</v>
      </c>
      <c r="L2111" t="s">
        <v>6064</v>
      </c>
      <c r="N2111" t="s">
        <v>13</v>
      </c>
      <c r="O2111" t="s">
        <v>2001</v>
      </c>
      <c r="P2111" s="2" t="str">
        <f>HYPERLINK("https://www.facebook.com/100010753200158")</f>
        <v>https://www.facebook.com/100010753200158</v>
      </c>
      <c r="Q2111">
        <v>123</v>
      </c>
      <c r="R2111" t="s">
        <v>6067</v>
      </c>
      <c r="S2111" t="s">
        <v>6073</v>
      </c>
    </row>
    <row r="2112" spans="1:19" ht="14.25" customHeight="1" x14ac:dyDescent="0.3">
      <c r="A2112" t="s">
        <v>629</v>
      </c>
      <c r="B2112" t="s">
        <v>1937</v>
      </c>
      <c r="C2112" t="s">
        <v>95</v>
      </c>
      <c r="D2112" t="s">
        <v>370</v>
      </c>
      <c r="E2112" t="s">
        <v>371</v>
      </c>
      <c r="F2112" t="s">
        <v>6058</v>
      </c>
      <c r="G2112" s="2" t="str">
        <f>HYPERLINK("https://www.facebook.com/100003564605563/posts/1458389674289839")</f>
        <v>https://www.facebook.com/100003564605563/posts/1458389674289839</v>
      </c>
      <c r="H2112" t="s">
        <v>6062</v>
      </c>
      <c r="I2112" t="s">
        <v>1938</v>
      </c>
      <c r="J2112" s="2" t="str">
        <f>HYPERLINK("https://www.facebook.com/100003564605563")</f>
        <v>https://www.facebook.com/100003564605563</v>
      </c>
      <c r="K2112">
        <v>8651</v>
      </c>
      <c r="L2112" t="s">
        <v>6064</v>
      </c>
      <c r="N2112" t="s">
        <v>13</v>
      </c>
      <c r="O2112" t="s">
        <v>1938</v>
      </c>
      <c r="P2112" s="2" t="str">
        <f>HYPERLINK("https://www.facebook.com/100003564605563")</f>
        <v>https://www.facebook.com/100003564605563</v>
      </c>
      <c r="Q2112">
        <v>8651</v>
      </c>
      <c r="R2112" t="s">
        <v>6067</v>
      </c>
      <c r="S2112" t="s">
        <v>6073</v>
      </c>
    </row>
    <row r="2113" spans="1:19" ht="14.25" customHeight="1" x14ac:dyDescent="0.3">
      <c r="A2113" t="s">
        <v>5409</v>
      </c>
      <c r="B2113" t="s">
        <v>5747</v>
      </c>
      <c r="C2113" t="s">
        <v>3538</v>
      </c>
      <c r="D2113" t="s">
        <v>4318</v>
      </c>
      <c r="E2113" t="s">
        <v>5429</v>
      </c>
      <c r="F2113" t="s">
        <v>6058</v>
      </c>
      <c r="G2113" s="2" t="str">
        <f>HYPERLINK("https://www.facebook.com/100003582546736/posts/1444917655637639")</f>
        <v>https://www.facebook.com/100003582546736/posts/1444917655637639</v>
      </c>
      <c r="H2113" t="s">
        <v>6062</v>
      </c>
      <c r="I2113" t="s">
        <v>5748</v>
      </c>
      <c r="J2113" s="2" t="str">
        <f>HYPERLINK("https://www.facebook.com/100003582546736")</f>
        <v>https://www.facebook.com/100003582546736</v>
      </c>
      <c r="K2113">
        <v>272</v>
      </c>
      <c r="L2113" t="s">
        <v>6063</v>
      </c>
      <c r="N2113" t="s">
        <v>13</v>
      </c>
      <c r="O2113" t="s">
        <v>5748</v>
      </c>
      <c r="P2113" s="2" t="str">
        <f>HYPERLINK("https://www.facebook.com/100003582546736")</f>
        <v>https://www.facebook.com/100003582546736</v>
      </c>
      <c r="Q2113">
        <v>272</v>
      </c>
      <c r="R2113" t="s">
        <v>6067</v>
      </c>
      <c r="S2113" t="s">
        <v>6073</v>
      </c>
    </row>
    <row r="2114" spans="1:19" ht="14.25" customHeight="1" x14ac:dyDescent="0.3">
      <c r="A2114" t="s">
        <v>4995</v>
      </c>
      <c r="B2114" t="s">
        <v>814</v>
      </c>
      <c r="C2114" t="s">
        <v>3538</v>
      </c>
      <c r="D2114" t="s">
        <v>5074</v>
      </c>
      <c r="E2114" t="s">
        <v>5075</v>
      </c>
      <c r="F2114" t="s">
        <v>6057</v>
      </c>
      <c r="G2114" s="2" t="str">
        <f>HYPERLINK("https://www.facebook.com/1558945103/posts/10215766489866083")</f>
        <v>https://www.facebook.com/1558945103/posts/10215766489866083</v>
      </c>
      <c r="H2114" t="s">
        <v>6062</v>
      </c>
      <c r="I2114" t="s">
        <v>5076</v>
      </c>
      <c r="J2114" s="2" t="str">
        <f>HYPERLINK("https://www.facebook.com/1558945103")</f>
        <v>https://www.facebook.com/1558945103</v>
      </c>
      <c r="K2114">
        <v>0</v>
      </c>
      <c r="L2114" t="s">
        <v>6064</v>
      </c>
      <c r="N2114" t="s">
        <v>13</v>
      </c>
      <c r="O2114" t="s">
        <v>5076</v>
      </c>
      <c r="P2114" s="2" t="str">
        <f>HYPERLINK("https://www.facebook.com/1558945103")</f>
        <v>https://www.facebook.com/1558945103</v>
      </c>
      <c r="Q2114">
        <v>0</v>
      </c>
      <c r="R2114" t="s">
        <v>6067</v>
      </c>
      <c r="S2114" t="s">
        <v>6073</v>
      </c>
    </row>
    <row r="2115" spans="1:19" ht="14.25" customHeight="1" x14ac:dyDescent="0.3">
      <c r="A2115" t="s">
        <v>2225</v>
      </c>
      <c r="B2115" t="s">
        <v>2890</v>
      </c>
      <c r="C2115" t="s">
        <v>95</v>
      </c>
      <c r="D2115" t="s">
        <v>1056</v>
      </c>
      <c r="E2115" t="s">
        <v>2054</v>
      </c>
      <c r="F2115" t="s">
        <v>6058</v>
      </c>
      <c r="G2115" s="2" t="str">
        <f>HYPERLINK("https://www.facebook.com/100006641942467/posts/2128174667413911")</f>
        <v>https://www.facebook.com/100006641942467/posts/2128174667413911</v>
      </c>
      <c r="H2115" t="s">
        <v>6062</v>
      </c>
      <c r="I2115" t="s">
        <v>2895</v>
      </c>
      <c r="J2115" s="2" t="str">
        <f>HYPERLINK("https://www.facebook.com/100006641942467")</f>
        <v>https://www.facebook.com/100006641942467</v>
      </c>
      <c r="K2115">
        <v>421</v>
      </c>
      <c r="L2115" t="s">
        <v>6064</v>
      </c>
      <c r="N2115" t="s">
        <v>13</v>
      </c>
      <c r="O2115" t="s">
        <v>2895</v>
      </c>
      <c r="P2115" s="2" t="str">
        <f>HYPERLINK("https://www.facebook.com/100006641942467")</f>
        <v>https://www.facebook.com/100006641942467</v>
      </c>
      <c r="Q2115">
        <v>421</v>
      </c>
      <c r="R2115" t="s">
        <v>6067</v>
      </c>
      <c r="S2115" t="s">
        <v>6073</v>
      </c>
    </row>
    <row r="2116" spans="1:19" ht="14.25" customHeight="1" x14ac:dyDescent="0.3">
      <c r="A2116" t="s">
        <v>5409</v>
      </c>
      <c r="B2116" t="s">
        <v>828</v>
      </c>
      <c r="C2116" t="s">
        <v>3538</v>
      </c>
      <c r="D2116" t="s">
        <v>4468</v>
      </c>
      <c r="E2116" t="s">
        <v>5527</v>
      </c>
      <c r="F2116" t="s">
        <v>6059</v>
      </c>
      <c r="G2116" s="2" t="str">
        <f>HYPERLINK("https://www.facebook.com/100001269247572/posts/1766589733393318?comment_id=1766760833376208")</f>
        <v>https://www.facebook.com/100001269247572/posts/1766589733393318?comment_id=1766760833376208</v>
      </c>
      <c r="H2116" t="s">
        <v>6062</v>
      </c>
      <c r="I2116" t="s">
        <v>5528</v>
      </c>
      <c r="J2116" s="2" t="str">
        <f>HYPERLINK("https://www.facebook.com/100000987676428")</f>
        <v>https://www.facebook.com/100000987676428</v>
      </c>
      <c r="K2116">
        <v>0</v>
      </c>
      <c r="L2116" t="s">
        <v>6064</v>
      </c>
      <c r="N2116" t="s">
        <v>13</v>
      </c>
      <c r="O2116" t="s">
        <v>5419</v>
      </c>
      <c r="P2116" s="2" t="str">
        <f>HYPERLINK("https://www.facebook.com/100001269247572")</f>
        <v>https://www.facebook.com/100001269247572</v>
      </c>
      <c r="Q2116">
        <v>191</v>
      </c>
      <c r="R2116" t="s">
        <v>6067</v>
      </c>
      <c r="S2116" t="s">
        <v>6073</v>
      </c>
    </row>
    <row r="2117" spans="1:19" ht="14.25" customHeight="1" x14ac:dyDescent="0.3">
      <c r="A2117" t="s">
        <v>5409</v>
      </c>
      <c r="B2117" t="s">
        <v>3832</v>
      </c>
      <c r="C2117" t="s">
        <v>3538</v>
      </c>
      <c r="D2117" t="s">
        <v>5311</v>
      </c>
      <c r="E2117" t="s">
        <v>5542</v>
      </c>
      <c r="F2117" t="s">
        <v>6059</v>
      </c>
      <c r="G2117" s="2" t="str">
        <f>HYPERLINK("https://www.facebook.com/1529329267308888/posts/2058800057695137?comment_id=2058823714359438")</f>
        <v>https://www.facebook.com/1529329267308888/posts/2058800057695137?comment_id=2058823714359438</v>
      </c>
      <c r="H2117" t="s">
        <v>6062</v>
      </c>
      <c r="I2117" t="s">
        <v>5528</v>
      </c>
      <c r="J2117" s="2" t="str">
        <f>HYPERLINK("https://www.facebook.com/100000987676428")</f>
        <v>https://www.facebook.com/100000987676428</v>
      </c>
      <c r="K2117">
        <v>0</v>
      </c>
      <c r="L2117" t="s">
        <v>6064</v>
      </c>
      <c r="N2117" t="s">
        <v>13</v>
      </c>
      <c r="O2117" t="s">
        <v>4471</v>
      </c>
      <c r="P2117" s="2" t="str">
        <f>HYPERLINK("https://www.facebook.com/1529329267308888")</f>
        <v>https://www.facebook.com/1529329267308888</v>
      </c>
      <c r="R2117" t="s">
        <v>6067</v>
      </c>
      <c r="S2117" t="s">
        <v>6073</v>
      </c>
    </row>
    <row r="2118" spans="1:19" ht="14.25" customHeight="1" x14ac:dyDescent="0.3">
      <c r="A2118" t="s">
        <v>629</v>
      </c>
      <c r="B2118" t="s">
        <v>1003</v>
      </c>
      <c r="C2118" t="s">
        <v>95</v>
      </c>
      <c r="D2118" t="s">
        <v>370</v>
      </c>
      <c r="E2118" t="s">
        <v>371</v>
      </c>
      <c r="F2118" t="s">
        <v>6058</v>
      </c>
      <c r="G2118" s="2" t="str">
        <f>HYPERLINK("https://www.facebook.com/100013082641653/posts/425365721242846")</f>
        <v>https://www.facebook.com/100013082641653/posts/425365721242846</v>
      </c>
      <c r="H2118" t="s">
        <v>6062</v>
      </c>
      <c r="I2118" t="s">
        <v>1004</v>
      </c>
      <c r="J2118" s="2" t="str">
        <f>HYPERLINK("https://www.facebook.com/100013082641653")</f>
        <v>https://www.facebook.com/100013082641653</v>
      </c>
      <c r="K2118">
        <v>495</v>
      </c>
      <c r="L2118" t="s">
        <v>6064</v>
      </c>
      <c r="N2118" t="s">
        <v>13</v>
      </c>
      <c r="O2118" t="s">
        <v>1004</v>
      </c>
      <c r="P2118" s="2" t="str">
        <f>HYPERLINK("https://www.facebook.com/100013082641653")</f>
        <v>https://www.facebook.com/100013082641653</v>
      </c>
      <c r="Q2118">
        <v>495</v>
      </c>
      <c r="R2118" t="s">
        <v>6067</v>
      </c>
      <c r="S2118" t="s">
        <v>6073</v>
      </c>
    </row>
    <row r="2119" spans="1:19" ht="14.25" customHeight="1" x14ac:dyDescent="0.3">
      <c r="A2119" t="s">
        <v>629</v>
      </c>
      <c r="B2119" t="s">
        <v>1950</v>
      </c>
      <c r="C2119" t="s">
        <v>95</v>
      </c>
      <c r="D2119" t="s">
        <v>370</v>
      </c>
      <c r="E2119" t="s">
        <v>371</v>
      </c>
      <c r="F2119" t="s">
        <v>6058</v>
      </c>
      <c r="G2119" s="2" t="str">
        <f>HYPERLINK("https://www.facebook.com/100013082641653/posts/425207777925307")</f>
        <v>https://www.facebook.com/100013082641653/posts/425207777925307</v>
      </c>
      <c r="H2119" t="s">
        <v>6062</v>
      </c>
      <c r="I2119" t="s">
        <v>1004</v>
      </c>
      <c r="J2119" s="2" t="str">
        <f>HYPERLINK("https://www.facebook.com/100013082641653")</f>
        <v>https://www.facebook.com/100013082641653</v>
      </c>
      <c r="K2119">
        <v>495</v>
      </c>
      <c r="L2119" t="s">
        <v>6064</v>
      </c>
      <c r="N2119" t="s">
        <v>13</v>
      </c>
      <c r="O2119" t="s">
        <v>1004</v>
      </c>
      <c r="P2119" s="2" t="str">
        <f>HYPERLINK("https://www.facebook.com/100013082641653")</f>
        <v>https://www.facebook.com/100013082641653</v>
      </c>
      <c r="Q2119">
        <v>495</v>
      </c>
      <c r="R2119" t="s">
        <v>6067</v>
      </c>
      <c r="S2119" t="s">
        <v>6073</v>
      </c>
    </row>
    <row r="2120" spans="1:19" ht="14.25" customHeight="1" x14ac:dyDescent="0.3">
      <c r="A2120" t="s">
        <v>4995</v>
      </c>
      <c r="B2120" t="s">
        <v>5384</v>
      </c>
      <c r="C2120" t="s">
        <v>3538</v>
      </c>
      <c r="D2120" t="s">
        <v>2321</v>
      </c>
      <c r="E2120" t="s">
        <v>5385</v>
      </c>
      <c r="F2120" t="s">
        <v>6056</v>
      </c>
      <c r="G2120" s="2" t="str">
        <f>HYPERLINK("https://www.facebook.com/100001432201100/posts/1738764436181280")</f>
        <v>https://www.facebook.com/100001432201100/posts/1738764436181280</v>
      </c>
      <c r="H2120" t="s">
        <v>6062</v>
      </c>
      <c r="I2120" t="s">
        <v>5386</v>
      </c>
      <c r="J2120" s="2" t="str">
        <f>HYPERLINK("https://www.facebook.com/100001432201100")</f>
        <v>https://www.facebook.com/100001432201100</v>
      </c>
      <c r="K2120">
        <v>322</v>
      </c>
      <c r="L2120" t="s">
        <v>6064</v>
      </c>
      <c r="N2120" t="s">
        <v>13</v>
      </c>
      <c r="O2120" t="s">
        <v>5386</v>
      </c>
      <c r="P2120" s="2" t="str">
        <f>HYPERLINK("https://www.facebook.com/100001432201100")</f>
        <v>https://www.facebook.com/100001432201100</v>
      </c>
      <c r="Q2120">
        <v>322</v>
      </c>
      <c r="R2120" t="s">
        <v>6067</v>
      </c>
      <c r="S2120" t="s">
        <v>6073</v>
      </c>
    </row>
    <row r="2121" spans="1:19" ht="14.25" customHeight="1" x14ac:dyDescent="0.3">
      <c r="A2121" t="s">
        <v>2225</v>
      </c>
      <c r="B2121" t="s">
        <v>1070</v>
      </c>
      <c r="C2121" t="s">
        <v>95</v>
      </c>
      <c r="D2121" t="s">
        <v>464</v>
      </c>
      <c r="E2121" t="s">
        <v>3155</v>
      </c>
      <c r="F2121" t="s">
        <v>6059</v>
      </c>
      <c r="G2121" s="2" t="str">
        <f>HYPERLINK("https://www.facebook.com/1362386453/posts/10216460219362335?comment_id=10216460258963325")</f>
        <v>https://www.facebook.com/1362386453/posts/10216460219362335?comment_id=10216460258963325</v>
      </c>
      <c r="H2121" t="s">
        <v>6062</v>
      </c>
      <c r="I2121" t="s">
        <v>3156</v>
      </c>
      <c r="J2121" s="2" t="str">
        <f>HYPERLINK("https://www.facebook.com/1803349563")</f>
        <v>https://www.facebook.com/1803349563</v>
      </c>
      <c r="K2121">
        <v>842</v>
      </c>
      <c r="L2121" t="s">
        <v>6064</v>
      </c>
      <c r="N2121" t="s">
        <v>13</v>
      </c>
      <c r="O2121" t="s">
        <v>467</v>
      </c>
      <c r="P2121" s="2" t="str">
        <f>HYPERLINK("https://www.facebook.com/1362386453")</f>
        <v>https://www.facebook.com/1362386453</v>
      </c>
      <c r="Q2121">
        <v>3896</v>
      </c>
      <c r="R2121" t="s">
        <v>6067</v>
      </c>
      <c r="S2121" t="s">
        <v>6073</v>
      </c>
    </row>
    <row r="2122" spans="1:19" ht="14.25" customHeight="1" x14ac:dyDescent="0.3">
      <c r="A2122" t="s">
        <v>5409</v>
      </c>
      <c r="B2122" t="s">
        <v>84</v>
      </c>
      <c r="C2122" t="s">
        <v>3538</v>
      </c>
      <c r="D2122" t="s">
        <v>5653</v>
      </c>
      <c r="E2122" t="s">
        <v>5715</v>
      </c>
      <c r="F2122" t="s">
        <v>6059</v>
      </c>
      <c r="G2122" s="2" t="str">
        <f>HYPERLINK("https://www.facebook.com/100001365366967/posts/1575591375829693?comment_id=1575611619161002")</f>
        <v>https://www.facebook.com/100001365366967/posts/1575591375829693?comment_id=1575611619161002</v>
      </c>
      <c r="H2122" t="s">
        <v>6062</v>
      </c>
      <c r="I2122" t="s">
        <v>5655</v>
      </c>
      <c r="J2122" s="2" t="str">
        <f>HYPERLINK("https://www.facebook.com/100001401996292")</f>
        <v>https://www.facebook.com/100001401996292</v>
      </c>
      <c r="K2122">
        <v>0</v>
      </c>
      <c r="L2122" t="s">
        <v>6064</v>
      </c>
      <c r="N2122" t="s">
        <v>13</v>
      </c>
      <c r="O2122" t="s">
        <v>5656</v>
      </c>
      <c r="P2122" s="2" t="str">
        <f>HYPERLINK("https://www.facebook.com/100001365366967")</f>
        <v>https://www.facebook.com/100001365366967</v>
      </c>
      <c r="Q2122">
        <v>6509</v>
      </c>
      <c r="R2122" t="s">
        <v>6067</v>
      </c>
      <c r="S2122" t="s">
        <v>6073</v>
      </c>
    </row>
    <row r="2123" spans="1:19" ht="14.25" customHeight="1" x14ac:dyDescent="0.3">
      <c r="A2123" t="s">
        <v>5409</v>
      </c>
      <c r="B2123" t="s">
        <v>5652</v>
      </c>
      <c r="C2123" t="s">
        <v>3538</v>
      </c>
      <c r="D2123" t="s">
        <v>5653</v>
      </c>
      <c r="E2123" t="s">
        <v>5654</v>
      </c>
      <c r="F2123" t="s">
        <v>6059</v>
      </c>
      <c r="G2123" s="2" t="str">
        <f>HYPERLINK("https://www.facebook.com/100001365366967/posts/1575591375829693?comment_id=1575687692486728")</f>
        <v>https://www.facebook.com/100001365366967/posts/1575591375829693?comment_id=1575687692486728</v>
      </c>
      <c r="H2123" t="s">
        <v>6062</v>
      </c>
      <c r="I2123" t="s">
        <v>5655</v>
      </c>
      <c r="J2123" s="2" t="str">
        <f>HYPERLINK("https://www.facebook.com/100001401996292")</f>
        <v>https://www.facebook.com/100001401996292</v>
      </c>
      <c r="K2123">
        <v>0</v>
      </c>
      <c r="L2123" t="s">
        <v>6064</v>
      </c>
      <c r="N2123" t="s">
        <v>13</v>
      </c>
      <c r="O2123" t="s">
        <v>5656</v>
      </c>
      <c r="P2123" s="2" t="str">
        <f>HYPERLINK("https://www.facebook.com/100001365366967")</f>
        <v>https://www.facebook.com/100001365366967</v>
      </c>
      <c r="Q2123">
        <v>6509</v>
      </c>
      <c r="R2123" t="s">
        <v>6067</v>
      </c>
      <c r="S2123" t="s">
        <v>6073</v>
      </c>
    </row>
    <row r="2124" spans="1:19" ht="14.25" customHeight="1" x14ac:dyDescent="0.3">
      <c r="A2124" t="s">
        <v>2225</v>
      </c>
      <c r="B2124" t="s">
        <v>2847</v>
      </c>
      <c r="C2124" t="s">
        <v>95</v>
      </c>
      <c r="D2124" t="s">
        <v>544</v>
      </c>
      <c r="E2124" t="s">
        <v>2857</v>
      </c>
      <c r="F2124" t="s">
        <v>6059</v>
      </c>
      <c r="G2124" s="2" t="str">
        <f>HYPERLINK("https://www.facebook.com/100007062842291/posts/2137611039817637?comment_id=2137612223150852")</f>
        <v>https://www.facebook.com/100007062842291/posts/2137611039817637?comment_id=2137612223150852</v>
      </c>
      <c r="H2124" t="s">
        <v>6062</v>
      </c>
      <c r="I2124" t="s">
        <v>2858</v>
      </c>
      <c r="J2124" s="2" t="str">
        <f>HYPERLINK("https://www.facebook.com/100017425477102")</f>
        <v>https://www.facebook.com/100017425477102</v>
      </c>
      <c r="K2124">
        <v>612</v>
      </c>
      <c r="L2124" t="s">
        <v>6064</v>
      </c>
      <c r="N2124" t="s">
        <v>13</v>
      </c>
      <c r="O2124" t="s">
        <v>2627</v>
      </c>
      <c r="P2124" s="2" t="str">
        <f>HYPERLINK("https://www.facebook.com/100007062842291")</f>
        <v>https://www.facebook.com/100007062842291</v>
      </c>
      <c r="Q2124">
        <v>2928</v>
      </c>
      <c r="R2124" t="s">
        <v>6067</v>
      </c>
      <c r="S2124" t="s">
        <v>6073</v>
      </c>
    </row>
    <row r="2125" spans="1:19" ht="14.25" customHeight="1" x14ac:dyDescent="0.3">
      <c r="A2125" t="s">
        <v>3527</v>
      </c>
      <c r="B2125" t="s">
        <v>4085</v>
      </c>
      <c r="C2125" t="s">
        <v>95</v>
      </c>
      <c r="D2125" t="s">
        <v>4090</v>
      </c>
      <c r="E2125" t="s">
        <v>4091</v>
      </c>
      <c r="F2125" t="s">
        <v>6056</v>
      </c>
      <c r="G2125" s="2" t="str">
        <f>HYPERLINK("https://www.facebook.com/100007470644847/posts/2056504284608573")</f>
        <v>https://www.facebook.com/100007470644847/posts/2056504284608573</v>
      </c>
      <c r="H2125" t="s">
        <v>6062</v>
      </c>
      <c r="I2125" t="s">
        <v>4092</v>
      </c>
      <c r="J2125" s="2" t="str">
        <f>HYPERLINK("https://www.facebook.com/100007470644847")</f>
        <v>https://www.facebook.com/100007470644847</v>
      </c>
      <c r="K2125">
        <v>366</v>
      </c>
      <c r="L2125" t="s">
        <v>6064</v>
      </c>
      <c r="N2125" t="s">
        <v>13</v>
      </c>
      <c r="O2125" t="s">
        <v>4092</v>
      </c>
      <c r="P2125" s="2" t="str">
        <f>HYPERLINK("https://www.facebook.com/100007470644847")</f>
        <v>https://www.facebook.com/100007470644847</v>
      </c>
      <c r="Q2125">
        <v>366</v>
      </c>
      <c r="R2125" t="s">
        <v>6067</v>
      </c>
      <c r="S2125" t="s">
        <v>6073</v>
      </c>
    </row>
    <row r="2126" spans="1:19" ht="14.25" customHeight="1" x14ac:dyDescent="0.3">
      <c r="A2126" t="s">
        <v>2225</v>
      </c>
      <c r="B2126" t="s">
        <v>2924</v>
      </c>
      <c r="C2126" t="s">
        <v>95</v>
      </c>
      <c r="D2126" t="s">
        <v>2602</v>
      </c>
      <c r="E2126" t="s">
        <v>2925</v>
      </c>
      <c r="F2126" t="s">
        <v>6059</v>
      </c>
      <c r="G2126" s="2" t="str">
        <f>HYPERLINK("https://www.facebook.com/100000893960392/posts/1854701537902960?comment_id=1854826914557089")</f>
        <v>https://www.facebook.com/100000893960392/posts/1854701537902960?comment_id=1854826914557089</v>
      </c>
      <c r="H2126" t="s">
        <v>6062</v>
      </c>
      <c r="I2126" t="s">
        <v>2926</v>
      </c>
      <c r="J2126" s="2" t="str">
        <f>HYPERLINK("https://www.facebook.com/100000060396820")</f>
        <v>https://www.facebook.com/100000060396820</v>
      </c>
      <c r="K2126">
        <v>0</v>
      </c>
      <c r="L2126" t="s">
        <v>6063</v>
      </c>
      <c r="N2126" t="s">
        <v>13</v>
      </c>
      <c r="O2126" t="s">
        <v>2604</v>
      </c>
      <c r="P2126" s="2" t="str">
        <f>HYPERLINK("https://www.facebook.com/100000893960392")</f>
        <v>https://www.facebook.com/100000893960392</v>
      </c>
      <c r="Q2126">
        <v>2281</v>
      </c>
      <c r="R2126" t="s">
        <v>6067</v>
      </c>
      <c r="S2126" t="s">
        <v>6073</v>
      </c>
    </row>
    <row r="2127" spans="1:19" ht="14.25" customHeight="1" x14ac:dyDescent="0.3">
      <c r="A2127" t="s">
        <v>629</v>
      </c>
      <c r="B2127" t="s">
        <v>661</v>
      </c>
      <c r="C2127" t="s">
        <v>95</v>
      </c>
      <c r="D2127" t="s">
        <v>464</v>
      </c>
      <c r="E2127" t="s">
        <v>662</v>
      </c>
      <c r="F2127" t="s">
        <v>6059</v>
      </c>
      <c r="G2127" s="2" t="str">
        <f>HYPERLINK("https://www.facebook.com/1362386453/posts/10216460219362335?comment_id=10216470770826115")</f>
        <v>https://www.facebook.com/1362386453/posts/10216460219362335?comment_id=10216470770826115</v>
      </c>
      <c r="H2127" t="s">
        <v>6062</v>
      </c>
      <c r="I2127" t="s">
        <v>663</v>
      </c>
      <c r="J2127" s="2" t="str">
        <f>HYPERLINK("https://www.facebook.com/100004101318388")</f>
        <v>https://www.facebook.com/100004101318388</v>
      </c>
      <c r="K2127">
        <v>2470</v>
      </c>
      <c r="L2127" t="s">
        <v>6063</v>
      </c>
      <c r="N2127" t="s">
        <v>13</v>
      </c>
      <c r="O2127" t="s">
        <v>467</v>
      </c>
      <c r="P2127" s="2" t="str">
        <f>HYPERLINK("https://www.facebook.com/1362386453")</f>
        <v>https://www.facebook.com/1362386453</v>
      </c>
      <c r="Q2127">
        <v>3896</v>
      </c>
      <c r="R2127" t="s">
        <v>6067</v>
      </c>
      <c r="S2127" t="s">
        <v>6073</v>
      </c>
    </row>
    <row r="2128" spans="1:19" ht="14.25" customHeight="1" x14ac:dyDescent="0.3">
      <c r="A2128" t="s">
        <v>2225</v>
      </c>
      <c r="B2128" t="s">
        <v>2803</v>
      </c>
      <c r="C2128" t="s">
        <v>95</v>
      </c>
      <c r="D2128" t="s">
        <v>853</v>
      </c>
      <c r="E2128" t="s">
        <v>2812</v>
      </c>
      <c r="F2128" t="s">
        <v>6059</v>
      </c>
      <c r="G2128" s="2" t="str">
        <f>HYPERLINK("https://www.facebook.com/100008934274771/posts/1810262525948206?comment_id=1810268285947630")</f>
        <v>https://www.facebook.com/100008934274771/posts/1810262525948206?comment_id=1810268285947630</v>
      </c>
      <c r="H2128" t="s">
        <v>6062</v>
      </c>
      <c r="I2128" t="s">
        <v>2431</v>
      </c>
      <c r="J2128" s="2" t="str">
        <f>HYPERLINK("https://www.facebook.com/100010995347482")</f>
        <v>https://www.facebook.com/100010995347482</v>
      </c>
      <c r="K2128">
        <v>5</v>
      </c>
      <c r="L2128" t="s">
        <v>6063</v>
      </c>
      <c r="N2128" t="s">
        <v>13</v>
      </c>
      <c r="O2128" t="s">
        <v>856</v>
      </c>
      <c r="P2128" s="2" t="str">
        <f>HYPERLINK("https://www.facebook.com/100008934274771")</f>
        <v>https://www.facebook.com/100008934274771</v>
      </c>
      <c r="Q2128">
        <v>10395</v>
      </c>
      <c r="R2128" t="s">
        <v>6067</v>
      </c>
      <c r="S2128" t="s">
        <v>6073</v>
      </c>
    </row>
    <row r="2129" spans="1:19" ht="14.25" customHeight="1" x14ac:dyDescent="0.3">
      <c r="A2129" t="s">
        <v>2225</v>
      </c>
      <c r="B2129" t="s">
        <v>2471</v>
      </c>
      <c r="C2129" t="s">
        <v>95</v>
      </c>
      <c r="D2129" t="s">
        <v>853</v>
      </c>
      <c r="E2129" t="s">
        <v>2476</v>
      </c>
      <c r="F2129" t="s">
        <v>6059</v>
      </c>
      <c r="G2129" s="2" t="str">
        <f>HYPERLINK("https://www.facebook.com/100008934274771/posts/1810262525948206?comment_id=1810292955945163")</f>
        <v>https://www.facebook.com/100008934274771/posts/1810262525948206?comment_id=1810292955945163</v>
      </c>
      <c r="H2129" t="s">
        <v>6062</v>
      </c>
      <c r="I2129" t="s">
        <v>2431</v>
      </c>
      <c r="J2129" s="2" t="str">
        <f>HYPERLINK("https://www.facebook.com/100010995347482")</f>
        <v>https://www.facebook.com/100010995347482</v>
      </c>
      <c r="K2129">
        <v>5</v>
      </c>
      <c r="L2129" t="s">
        <v>6063</v>
      </c>
      <c r="N2129" t="s">
        <v>13</v>
      </c>
      <c r="O2129" t="s">
        <v>856</v>
      </c>
      <c r="P2129" s="2" t="str">
        <f>HYPERLINK("https://www.facebook.com/100008934274771")</f>
        <v>https://www.facebook.com/100008934274771</v>
      </c>
      <c r="Q2129">
        <v>10395</v>
      </c>
      <c r="R2129" t="s">
        <v>6067</v>
      </c>
      <c r="S2129" t="s">
        <v>6073</v>
      </c>
    </row>
    <row r="2130" spans="1:19" ht="14.25" customHeight="1" x14ac:dyDescent="0.3">
      <c r="A2130" t="s">
        <v>2225</v>
      </c>
      <c r="B2130" t="s">
        <v>2428</v>
      </c>
      <c r="C2130" t="s">
        <v>95</v>
      </c>
      <c r="D2130" t="s">
        <v>853</v>
      </c>
      <c r="E2130" t="s">
        <v>2430</v>
      </c>
      <c r="F2130" t="s">
        <v>6059</v>
      </c>
      <c r="G2130" s="2" t="str">
        <f>HYPERLINK("https://www.facebook.com/100008934274771/posts/1810262525948206?comment_id=1810295392611586")</f>
        <v>https://www.facebook.com/100008934274771/posts/1810262525948206?comment_id=1810295392611586</v>
      </c>
      <c r="H2130" t="s">
        <v>6062</v>
      </c>
      <c r="I2130" t="s">
        <v>2431</v>
      </c>
      <c r="J2130" s="2" t="str">
        <f>HYPERLINK("https://www.facebook.com/100010995347482")</f>
        <v>https://www.facebook.com/100010995347482</v>
      </c>
      <c r="K2130">
        <v>5</v>
      </c>
      <c r="L2130" t="s">
        <v>6063</v>
      </c>
      <c r="N2130" t="s">
        <v>13</v>
      </c>
      <c r="O2130" t="s">
        <v>856</v>
      </c>
      <c r="P2130" s="2" t="str">
        <f>HYPERLINK("https://www.facebook.com/100008934274771")</f>
        <v>https://www.facebook.com/100008934274771</v>
      </c>
      <c r="Q2130">
        <v>10395</v>
      </c>
      <c r="R2130" t="s">
        <v>6067</v>
      </c>
      <c r="S2130" t="s">
        <v>6073</v>
      </c>
    </row>
    <row r="2131" spans="1:19" ht="14.25" customHeight="1" x14ac:dyDescent="0.3">
      <c r="A2131" t="s">
        <v>4995</v>
      </c>
      <c r="B2131" t="s">
        <v>390</v>
      </c>
      <c r="C2131" t="s">
        <v>3538</v>
      </c>
      <c r="D2131" t="s">
        <v>5311</v>
      </c>
      <c r="E2131" t="s">
        <v>5312</v>
      </c>
      <c r="F2131" t="s">
        <v>6059</v>
      </c>
      <c r="G2131" s="2" t="str">
        <f>HYPERLINK("https://www.facebook.com/1529329267308888/posts/2058800057695137?comment_id=2059143864327423")</f>
        <v>https://www.facebook.com/1529329267308888/posts/2058800057695137?comment_id=2059143864327423</v>
      </c>
      <c r="H2131" t="s">
        <v>6062</v>
      </c>
      <c r="I2131" t="s">
        <v>5313</v>
      </c>
      <c r="J2131" s="2" t="str">
        <f>HYPERLINK("https://www.facebook.com/100001824023206")</f>
        <v>https://www.facebook.com/100001824023206</v>
      </c>
      <c r="K2131">
        <v>0</v>
      </c>
      <c r="L2131" t="s">
        <v>6063</v>
      </c>
      <c r="N2131" t="s">
        <v>13</v>
      </c>
      <c r="O2131" t="s">
        <v>4471</v>
      </c>
      <c r="P2131" s="2" t="str">
        <f>HYPERLINK("https://www.facebook.com/1529329267308888")</f>
        <v>https://www.facebook.com/1529329267308888</v>
      </c>
      <c r="R2131" t="s">
        <v>6067</v>
      </c>
      <c r="S2131" t="s">
        <v>6073</v>
      </c>
    </row>
    <row r="2132" spans="1:19" ht="14.25" customHeight="1" x14ac:dyDescent="0.3">
      <c r="A2132" t="s">
        <v>4439</v>
      </c>
      <c r="B2132" t="s">
        <v>1356</v>
      </c>
      <c r="C2132" t="s">
        <v>3538</v>
      </c>
      <c r="D2132" t="s">
        <v>3780</v>
      </c>
      <c r="E2132" t="s">
        <v>4672</v>
      </c>
      <c r="F2132" t="s">
        <v>6058</v>
      </c>
      <c r="G2132" s="2" t="str">
        <f>HYPERLINK("https://www.facebook.com/100011315866375/posts/570607819993075")</f>
        <v>https://www.facebook.com/100011315866375/posts/570607819993075</v>
      </c>
      <c r="H2132" t="s">
        <v>6062</v>
      </c>
      <c r="I2132" t="s">
        <v>4673</v>
      </c>
      <c r="J2132" s="2" t="str">
        <f>HYPERLINK("https://www.facebook.com/100011315866375")</f>
        <v>https://www.facebook.com/100011315866375</v>
      </c>
      <c r="K2132">
        <v>246</v>
      </c>
      <c r="L2132" t="s">
        <v>6063</v>
      </c>
      <c r="N2132" t="s">
        <v>13</v>
      </c>
      <c r="O2132" t="s">
        <v>4673</v>
      </c>
      <c r="P2132" s="2" t="str">
        <f>HYPERLINK("https://www.facebook.com/100011315866375")</f>
        <v>https://www.facebook.com/100011315866375</v>
      </c>
      <c r="Q2132">
        <v>246</v>
      </c>
      <c r="R2132" t="s">
        <v>6067</v>
      </c>
    </row>
    <row r="2133" spans="1:19" ht="14.25" customHeight="1" x14ac:dyDescent="0.3">
      <c r="A2133" t="s">
        <v>4995</v>
      </c>
      <c r="B2133" t="s">
        <v>3047</v>
      </c>
      <c r="C2133" t="s">
        <v>3538</v>
      </c>
      <c r="D2133" t="s">
        <v>5134</v>
      </c>
      <c r="E2133" t="s">
        <v>5135</v>
      </c>
      <c r="F2133" t="s">
        <v>6057</v>
      </c>
      <c r="G2133" s="2" t="str">
        <f>HYPERLINK("https://www.facebook.com/100003129801245/posts/1582702501844061")</f>
        <v>https://www.facebook.com/100003129801245/posts/1582702501844061</v>
      </c>
      <c r="H2133" t="s">
        <v>6062</v>
      </c>
      <c r="I2133" t="s">
        <v>5136</v>
      </c>
      <c r="J2133" s="2" t="str">
        <f>HYPERLINK("https://www.facebook.com/100003129801245")</f>
        <v>https://www.facebook.com/100003129801245</v>
      </c>
      <c r="K2133">
        <v>1525</v>
      </c>
      <c r="L2133" t="s">
        <v>6063</v>
      </c>
      <c r="N2133" t="s">
        <v>13</v>
      </c>
      <c r="O2133" t="s">
        <v>5136</v>
      </c>
      <c r="P2133" s="2" t="str">
        <f>HYPERLINK("https://www.facebook.com/100003129801245")</f>
        <v>https://www.facebook.com/100003129801245</v>
      </c>
      <c r="Q2133">
        <v>1525</v>
      </c>
      <c r="R2133" t="s">
        <v>6067</v>
      </c>
      <c r="S2133" t="s">
        <v>6073</v>
      </c>
    </row>
    <row r="2134" spans="1:19" ht="14.25" customHeight="1" x14ac:dyDescent="0.3">
      <c r="A2134" t="s">
        <v>5409</v>
      </c>
      <c r="B2134" t="s">
        <v>527</v>
      </c>
      <c r="C2134" t="s">
        <v>3538</v>
      </c>
      <c r="D2134" t="s">
        <v>3780</v>
      </c>
      <c r="E2134" t="s">
        <v>5696</v>
      </c>
      <c r="F2134" t="s">
        <v>6058</v>
      </c>
      <c r="G2134" s="2" t="str">
        <f>HYPERLINK("https://www.facebook.com/100003629161521/posts/1193398200791141")</f>
        <v>https://www.facebook.com/100003629161521/posts/1193398200791141</v>
      </c>
      <c r="H2134" t="s">
        <v>6062</v>
      </c>
      <c r="I2134" t="s">
        <v>5969</v>
      </c>
      <c r="J2134" s="2" t="str">
        <f>HYPERLINK("https://www.facebook.com/100003629161521")</f>
        <v>https://www.facebook.com/100003629161521</v>
      </c>
      <c r="K2134">
        <v>789</v>
      </c>
      <c r="L2134" t="s">
        <v>6063</v>
      </c>
      <c r="N2134" t="s">
        <v>13</v>
      </c>
      <c r="O2134" t="s">
        <v>5969</v>
      </c>
      <c r="P2134" s="2" t="str">
        <f>HYPERLINK("https://www.facebook.com/100003629161521")</f>
        <v>https://www.facebook.com/100003629161521</v>
      </c>
      <c r="Q2134">
        <v>789</v>
      </c>
      <c r="R2134" t="s">
        <v>6067</v>
      </c>
      <c r="S2134" t="s">
        <v>6073</v>
      </c>
    </row>
    <row r="2135" spans="1:19" ht="14.25" customHeight="1" x14ac:dyDescent="0.3">
      <c r="A2135" t="s">
        <v>629</v>
      </c>
      <c r="B2135" t="s">
        <v>427</v>
      </c>
      <c r="C2135" t="s">
        <v>95</v>
      </c>
      <c r="D2135" t="s">
        <v>370</v>
      </c>
      <c r="E2135" t="s">
        <v>371</v>
      </c>
      <c r="F2135" t="s">
        <v>6058</v>
      </c>
      <c r="G2135" s="2" t="str">
        <f>HYPERLINK("https://www.facebook.com/100008310901276/posts/2142205999399743")</f>
        <v>https://www.facebook.com/100008310901276/posts/2142205999399743</v>
      </c>
      <c r="H2135" t="s">
        <v>6062</v>
      </c>
      <c r="I2135" t="s">
        <v>1827</v>
      </c>
      <c r="J2135" s="2" t="str">
        <f>HYPERLINK("https://www.facebook.com/100008310901276")</f>
        <v>https://www.facebook.com/100008310901276</v>
      </c>
      <c r="K2135">
        <v>283</v>
      </c>
      <c r="L2135" t="s">
        <v>6063</v>
      </c>
      <c r="N2135" t="s">
        <v>13</v>
      </c>
      <c r="O2135" t="s">
        <v>1827</v>
      </c>
      <c r="P2135" s="2" t="str">
        <f>HYPERLINK("https://www.facebook.com/100008310901276")</f>
        <v>https://www.facebook.com/100008310901276</v>
      </c>
      <c r="Q2135">
        <v>283</v>
      </c>
      <c r="R2135" t="s">
        <v>6067</v>
      </c>
    </row>
    <row r="2136" spans="1:19" ht="14.25" customHeight="1" x14ac:dyDescent="0.3">
      <c r="A2136" t="s">
        <v>629</v>
      </c>
      <c r="B2136" t="s">
        <v>1862</v>
      </c>
      <c r="C2136" t="s">
        <v>95</v>
      </c>
      <c r="D2136" t="s">
        <v>370</v>
      </c>
      <c r="E2136" t="s">
        <v>371</v>
      </c>
      <c r="F2136" t="s">
        <v>6058</v>
      </c>
      <c r="G2136" s="2" t="str">
        <f>HYPERLINK("https://www.facebook.com/100008310901276/posts/2142199409400402")</f>
        <v>https://www.facebook.com/100008310901276/posts/2142199409400402</v>
      </c>
      <c r="H2136" t="s">
        <v>6062</v>
      </c>
      <c r="I2136" t="s">
        <v>1827</v>
      </c>
      <c r="J2136" s="2" t="str">
        <f>HYPERLINK("https://www.facebook.com/100008310901276")</f>
        <v>https://www.facebook.com/100008310901276</v>
      </c>
      <c r="K2136">
        <v>283</v>
      </c>
      <c r="L2136" t="s">
        <v>6063</v>
      </c>
      <c r="N2136" t="s">
        <v>13</v>
      </c>
      <c r="O2136" t="s">
        <v>1827</v>
      </c>
      <c r="P2136" s="2" t="str">
        <f>HYPERLINK("https://www.facebook.com/100008310901276")</f>
        <v>https://www.facebook.com/100008310901276</v>
      </c>
      <c r="Q2136">
        <v>283</v>
      </c>
      <c r="R2136" t="s">
        <v>6067</v>
      </c>
    </row>
    <row r="2137" spans="1:19" ht="14.25" customHeight="1" x14ac:dyDescent="0.3">
      <c r="A2137" t="s">
        <v>2225</v>
      </c>
      <c r="B2137" t="s">
        <v>2723</v>
      </c>
      <c r="C2137" t="s">
        <v>95</v>
      </c>
      <c r="D2137" t="s">
        <v>853</v>
      </c>
      <c r="E2137" t="s">
        <v>2726</v>
      </c>
      <c r="F2137" t="s">
        <v>6059</v>
      </c>
      <c r="G2137" s="2" t="str">
        <f>HYPERLINK("https://www.facebook.com/100008934274771/posts/1810262525948206?comment_id=1810274812613644")</f>
        <v>https://www.facebook.com/100008934274771/posts/1810262525948206?comment_id=1810274812613644</v>
      </c>
      <c r="H2137" t="s">
        <v>6062</v>
      </c>
      <c r="I2137" t="s">
        <v>2641</v>
      </c>
      <c r="J2137" s="2" t="str">
        <f t="shared" ref="J2137:J2142" si="60">HYPERLINK("https://www.facebook.com/100010057088161")</f>
        <v>https://www.facebook.com/100010057088161</v>
      </c>
      <c r="K2137">
        <v>369</v>
      </c>
      <c r="L2137" t="s">
        <v>6063</v>
      </c>
      <c r="N2137" t="s">
        <v>13</v>
      </c>
      <c r="O2137" t="s">
        <v>856</v>
      </c>
      <c r="P2137" s="2" t="str">
        <f t="shared" ref="P2137:P2142" si="61">HYPERLINK("https://www.facebook.com/100008934274771")</f>
        <v>https://www.facebook.com/100008934274771</v>
      </c>
      <c r="Q2137">
        <v>10395</v>
      </c>
      <c r="R2137" t="s">
        <v>6067</v>
      </c>
      <c r="S2137" t="s">
        <v>6073</v>
      </c>
    </row>
    <row r="2138" spans="1:19" ht="14.25" customHeight="1" x14ac:dyDescent="0.3">
      <c r="A2138" t="s">
        <v>2225</v>
      </c>
      <c r="B2138" t="s">
        <v>2715</v>
      </c>
      <c r="C2138" t="s">
        <v>95</v>
      </c>
      <c r="D2138" t="s">
        <v>853</v>
      </c>
      <c r="E2138" t="s">
        <v>2718</v>
      </c>
      <c r="F2138" t="s">
        <v>6059</v>
      </c>
      <c r="G2138" s="2" t="str">
        <f>HYPERLINK("https://www.facebook.com/100008934274771/posts/1810262525948206?comment_id=1810275212613604")</f>
        <v>https://www.facebook.com/100008934274771/posts/1810262525948206?comment_id=1810275212613604</v>
      </c>
      <c r="H2138" t="s">
        <v>6062</v>
      </c>
      <c r="I2138" t="s">
        <v>2641</v>
      </c>
      <c r="J2138" s="2" t="str">
        <f t="shared" si="60"/>
        <v>https://www.facebook.com/100010057088161</v>
      </c>
      <c r="K2138">
        <v>369</v>
      </c>
      <c r="L2138" t="s">
        <v>6063</v>
      </c>
      <c r="N2138" t="s">
        <v>13</v>
      </c>
      <c r="O2138" t="s">
        <v>856</v>
      </c>
      <c r="P2138" s="2" t="str">
        <f t="shared" si="61"/>
        <v>https://www.facebook.com/100008934274771</v>
      </c>
      <c r="Q2138">
        <v>10395</v>
      </c>
      <c r="R2138" t="s">
        <v>6067</v>
      </c>
      <c r="S2138" t="s">
        <v>6073</v>
      </c>
    </row>
    <row r="2139" spans="1:19" ht="14.25" customHeight="1" x14ac:dyDescent="0.3">
      <c r="A2139" t="s">
        <v>2225</v>
      </c>
      <c r="B2139" t="s">
        <v>759</v>
      </c>
      <c r="C2139" t="s">
        <v>95</v>
      </c>
      <c r="D2139" t="s">
        <v>853</v>
      </c>
      <c r="E2139" t="s">
        <v>2736</v>
      </c>
      <c r="F2139" t="s">
        <v>6059</v>
      </c>
      <c r="G2139" s="2" t="str">
        <f>HYPERLINK("https://www.facebook.com/100008934274771/posts/1810262525948206?comment_id=1810274139280378")</f>
        <v>https://www.facebook.com/100008934274771/posts/1810262525948206?comment_id=1810274139280378</v>
      </c>
      <c r="H2139" t="s">
        <v>6062</v>
      </c>
      <c r="I2139" t="s">
        <v>2641</v>
      </c>
      <c r="J2139" s="2" t="str">
        <f t="shared" si="60"/>
        <v>https://www.facebook.com/100010057088161</v>
      </c>
      <c r="K2139">
        <v>369</v>
      </c>
      <c r="L2139" t="s">
        <v>6063</v>
      </c>
      <c r="N2139" t="s">
        <v>13</v>
      </c>
      <c r="O2139" t="s">
        <v>856</v>
      </c>
      <c r="P2139" s="2" t="str">
        <f t="shared" si="61"/>
        <v>https://www.facebook.com/100008934274771</v>
      </c>
      <c r="Q2139">
        <v>10395</v>
      </c>
      <c r="R2139" t="s">
        <v>6067</v>
      </c>
      <c r="S2139" t="s">
        <v>6073</v>
      </c>
    </row>
    <row r="2140" spans="1:19" ht="14.25" customHeight="1" x14ac:dyDescent="0.3">
      <c r="A2140" t="s">
        <v>2225</v>
      </c>
      <c r="B2140" t="s">
        <v>2672</v>
      </c>
      <c r="C2140" t="s">
        <v>95</v>
      </c>
      <c r="D2140" t="s">
        <v>853</v>
      </c>
      <c r="E2140" t="s">
        <v>2678</v>
      </c>
      <c r="F2140" t="s">
        <v>6059</v>
      </c>
      <c r="G2140" s="2" t="str">
        <f>HYPERLINK("https://www.facebook.com/100008934274771/posts/1810262525948206?comment_id=1810280582613067")</f>
        <v>https://www.facebook.com/100008934274771/posts/1810262525948206?comment_id=1810280582613067</v>
      </c>
      <c r="H2140" t="s">
        <v>6062</v>
      </c>
      <c r="I2140" t="s">
        <v>2641</v>
      </c>
      <c r="J2140" s="2" t="str">
        <f t="shared" si="60"/>
        <v>https://www.facebook.com/100010057088161</v>
      </c>
      <c r="K2140">
        <v>369</v>
      </c>
      <c r="L2140" t="s">
        <v>6063</v>
      </c>
      <c r="N2140" t="s">
        <v>13</v>
      </c>
      <c r="O2140" t="s">
        <v>856</v>
      </c>
      <c r="P2140" s="2" t="str">
        <f t="shared" si="61"/>
        <v>https://www.facebook.com/100008934274771</v>
      </c>
      <c r="Q2140">
        <v>10395</v>
      </c>
      <c r="R2140" t="s">
        <v>6067</v>
      </c>
      <c r="S2140" t="s">
        <v>6073</v>
      </c>
    </row>
    <row r="2141" spans="1:19" ht="14.25" customHeight="1" x14ac:dyDescent="0.3">
      <c r="A2141" t="s">
        <v>2225</v>
      </c>
      <c r="B2141" t="s">
        <v>2759</v>
      </c>
      <c r="C2141" t="s">
        <v>95</v>
      </c>
      <c r="D2141" t="s">
        <v>853</v>
      </c>
      <c r="E2141" t="s">
        <v>2762</v>
      </c>
      <c r="F2141" t="s">
        <v>6059</v>
      </c>
      <c r="G2141" s="2" t="str">
        <f>HYPERLINK("https://www.facebook.com/100008934274771/posts/1810262525948206?comment_id=1810271769280615")</f>
        <v>https://www.facebook.com/100008934274771/posts/1810262525948206?comment_id=1810271769280615</v>
      </c>
      <c r="H2141" t="s">
        <v>6062</v>
      </c>
      <c r="I2141" t="s">
        <v>2641</v>
      </c>
      <c r="J2141" s="2" t="str">
        <f t="shared" si="60"/>
        <v>https://www.facebook.com/100010057088161</v>
      </c>
      <c r="K2141">
        <v>369</v>
      </c>
      <c r="L2141" t="s">
        <v>6063</v>
      </c>
      <c r="N2141" t="s">
        <v>13</v>
      </c>
      <c r="O2141" t="s">
        <v>856</v>
      </c>
      <c r="P2141" s="2" t="str">
        <f t="shared" si="61"/>
        <v>https://www.facebook.com/100008934274771</v>
      </c>
      <c r="Q2141">
        <v>10395</v>
      </c>
      <c r="R2141" t="s">
        <v>6067</v>
      </c>
      <c r="S2141" t="s">
        <v>6073</v>
      </c>
    </row>
    <row r="2142" spans="1:19" ht="14.25" customHeight="1" x14ac:dyDescent="0.3">
      <c r="A2142" t="s">
        <v>2225</v>
      </c>
      <c r="B2142" t="s">
        <v>2639</v>
      </c>
      <c r="C2142" t="s">
        <v>95</v>
      </c>
      <c r="D2142" t="s">
        <v>853</v>
      </c>
      <c r="E2142" t="s">
        <v>2640</v>
      </c>
      <c r="F2142" t="s">
        <v>6059</v>
      </c>
      <c r="G2142" s="2" t="str">
        <f>HYPERLINK("https://www.facebook.com/100008934274771/posts/1810262525948206?comment_id=1810283362612789")</f>
        <v>https://www.facebook.com/100008934274771/posts/1810262525948206?comment_id=1810283362612789</v>
      </c>
      <c r="H2142" t="s">
        <v>6062</v>
      </c>
      <c r="I2142" t="s">
        <v>2641</v>
      </c>
      <c r="J2142" s="2" t="str">
        <f t="shared" si="60"/>
        <v>https://www.facebook.com/100010057088161</v>
      </c>
      <c r="K2142">
        <v>369</v>
      </c>
      <c r="L2142" t="s">
        <v>6063</v>
      </c>
      <c r="N2142" t="s">
        <v>13</v>
      </c>
      <c r="O2142" t="s">
        <v>856</v>
      </c>
      <c r="P2142" s="2" t="str">
        <f t="shared" si="61"/>
        <v>https://www.facebook.com/100008934274771</v>
      </c>
      <c r="Q2142">
        <v>10395</v>
      </c>
      <c r="R2142" t="s">
        <v>6067</v>
      </c>
      <c r="S2142" t="s">
        <v>6073</v>
      </c>
    </row>
    <row r="2143" spans="1:19" ht="14.25" customHeight="1" x14ac:dyDescent="0.3">
      <c r="A2143" t="s">
        <v>2225</v>
      </c>
      <c r="B2143" t="s">
        <v>2653</v>
      </c>
      <c r="C2143" t="s">
        <v>95</v>
      </c>
      <c r="D2143" t="s">
        <v>544</v>
      </c>
      <c r="E2143" t="s">
        <v>545</v>
      </c>
      <c r="F2143" t="s">
        <v>6058</v>
      </c>
      <c r="G2143" s="2" t="str">
        <f>HYPERLINK("https://www.facebook.com/100000640408469/posts/1980380875326573")</f>
        <v>https://www.facebook.com/100000640408469/posts/1980380875326573</v>
      </c>
      <c r="H2143" t="s">
        <v>6062</v>
      </c>
      <c r="I2143" t="s">
        <v>2654</v>
      </c>
      <c r="J2143" s="2" t="str">
        <f>HYPERLINK("https://www.facebook.com/100000640408469")</f>
        <v>https://www.facebook.com/100000640408469</v>
      </c>
      <c r="K2143">
        <v>547</v>
      </c>
      <c r="L2143" t="s">
        <v>6063</v>
      </c>
      <c r="M2143">
        <v>32</v>
      </c>
      <c r="N2143" t="s">
        <v>13</v>
      </c>
      <c r="O2143" t="s">
        <v>2654</v>
      </c>
      <c r="P2143" s="2" t="str">
        <f>HYPERLINK("https://www.facebook.com/100000640408469")</f>
        <v>https://www.facebook.com/100000640408469</v>
      </c>
      <c r="Q2143">
        <v>547</v>
      </c>
      <c r="R2143" t="s">
        <v>6067</v>
      </c>
      <c r="S2143" t="s">
        <v>6073</v>
      </c>
    </row>
    <row r="2144" spans="1:19" ht="14.25" customHeight="1" x14ac:dyDescent="0.3">
      <c r="A2144" t="s">
        <v>4439</v>
      </c>
      <c r="B2144" t="s">
        <v>982</v>
      </c>
      <c r="C2144" t="s">
        <v>3538</v>
      </c>
      <c r="D2144" t="s">
        <v>408</v>
      </c>
      <c r="E2144" t="s">
        <v>4601</v>
      </c>
      <c r="F2144" t="s">
        <v>6056</v>
      </c>
      <c r="G2144" s="2" t="str">
        <f>HYPERLINK("https://www.facebook.com/100018774195051/posts/181531122482693")</f>
        <v>https://www.facebook.com/100018774195051/posts/181531122482693</v>
      </c>
      <c r="H2144" t="s">
        <v>6062</v>
      </c>
      <c r="I2144" t="s">
        <v>4602</v>
      </c>
      <c r="J2144" s="2" t="str">
        <f>HYPERLINK("https://www.facebook.com/100018774195051")</f>
        <v>https://www.facebook.com/100018774195051</v>
      </c>
      <c r="K2144">
        <v>135</v>
      </c>
      <c r="L2144" t="s">
        <v>6063</v>
      </c>
      <c r="N2144" t="s">
        <v>13</v>
      </c>
      <c r="O2144" t="s">
        <v>4602</v>
      </c>
      <c r="P2144" s="2" t="str">
        <f>HYPERLINK("https://www.facebook.com/100018774195051")</f>
        <v>https://www.facebook.com/100018774195051</v>
      </c>
      <c r="Q2144">
        <v>135</v>
      </c>
      <c r="R2144" t="s">
        <v>6067</v>
      </c>
    </row>
    <row r="2145" spans="1:19" ht="14.25" customHeight="1" x14ac:dyDescent="0.3">
      <c r="A2145" t="s">
        <v>2225</v>
      </c>
      <c r="B2145" t="s">
        <v>2605</v>
      </c>
      <c r="C2145" t="s">
        <v>95</v>
      </c>
      <c r="D2145" t="s">
        <v>544</v>
      </c>
      <c r="E2145" t="s">
        <v>545</v>
      </c>
      <c r="F2145" t="s">
        <v>6058</v>
      </c>
      <c r="G2145" s="2" t="str">
        <f>HYPERLINK("https://www.facebook.com/100021346371318/posts/173722070016004")</f>
        <v>https://www.facebook.com/100021346371318/posts/173722070016004</v>
      </c>
      <c r="H2145" t="s">
        <v>6062</v>
      </c>
      <c r="I2145" t="s">
        <v>2608</v>
      </c>
      <c r="J2145" s="2" t="str">
        <f>HYPERLINK("https://www.facebook.com/100021346371318")</f>
        <v>https://www.facebook.com/100021346371318</v>
      </c>
      <c r="K2145">
        <v>0</v>
      </c>
      <c r="L2145" t="s">
        <v>6063</v>
      </c>
      <c r="N2145" t="s">
        <v>13</v>
      </c>
      <c r="O2145" t="s">
        <v>2608</v>
      </c>
      <c r="P2145" s="2" t="str">
        <f>HYPERLINK("https://www.facebook.com/100021346371318")</f>
        <v>https://www.facebook.com/100021346371318</v>
      </c>
      <c r="Q2145">
        <v>0</v>
      </c>
      <c r="R2145" t="s">
        <v>6067</v>
      </c>
      <c r="S2145" t="s">
        <v>6073</v>
      </c>
    </row>
    <row r="2146" spans="1:19" ht="14.25" customHeight="1" x14ac:dyDescent="0.3">
      <c r="A2146" t="s">
        <v>2225</v>
      </c>
      <c r="B2146" t="s">
        <v>2696</v>
      </c>
      <c r="C2146" t="s">
        <v>95</v>
      </c>
      <c r="D2146" t="s">
        <v>544</v>
      </c>
      <c r="E2146" t="s">
        <v>545</v>
      </c>
      <c r="F2146" t="s">
        <v>6058</v>
      </c>
      <c r="G2146" s="2" t="str">
        <f>HYPERLINK("https://www.facebook.com/100010591097264/posts/575852046111160")</f>
        <v>https://www.facebook.com/100010591097264/posts/575852046111160</v>
      </c>
      <c r="H2146" t="s">
        <v>6062</v>
      </c>
      <c r="I2146" t="s">
        <v>2697</v>
      </c>
      <c r="J2146" s="2" t="str">
        <f>HYPERLINK("https://www.facebook.com/100010591097264")</f>
        <v>https://www.facebook.com/100010591097264</v>
      </c>
      <c r="K2146">
        <v>4168</v>
      </c>
      <c r="L2146" t="s">
        <v>6063</v>
      </c>
      <c r="N2146" t="s">
        <v>13</v>
      </c>
      <c r="O2146" t="s">
        <v>2697</v>
      </c>
      <c r="P2146" s="2" t="str">
        <f>HYPERLINK("https://www.facebook.com/100010591097264")</f>
        <v>https://www.facebook.com/100010591097264</v>
      </c>
      <c r="Q2146">
        <v>4168</v>
      </c>
      <c r="R2146" t="s">
        <v>6067</v>
      </c>
    </row>
    <row r="2147" spans="1:19" ht="14.25" customHeight="1" x14ac:dyDescent="0.3">
      <c r="A2147" t="s">
        <v>2225</v>
      </c>
      <c r="B2147" t="s">
        <v>762</v>
      </c>
      <c r="C2147" t="s">
        <v>95</v>
      </c>
      <c r="D2147" t="s">
        <v>544</v>
      </c>
      <c r="E2147" t="s">
        <v>545</v>
      </c>
      <c r="F2147" t="s">
        <v>6058</v>
      </c>
      <c r="G2147" s="2" t="str">
        <f>HYPERLINK("https://www.facebook.com/100021998768380/posts/223838428359448")</f>
        <v>https://www.facebook.com/100021998768380/posts/223838428359448</v>
      </c>
      <c r="H2147" t="s">
        <v>6062</v>
      </c>
      <c r="I2147" t="s">
        <v>1759</v>
      </c>
      <c r="J2147" s="2" t="str">
        <f>HYPERLINK("https://www.facebook.com/100021998768380")</f>
        <v>https://www.facebook.com/100021998768380</v>
      </c>
      <c r="K2147">
        <v>44</v>
      </c>
      <c r="L2147" t="s">
        <v>6064</v>
      </c>
      <c r="N2147" t="s">
        <v>13</v>
      </c>
      <c r="O2147" t="s">
        <v>1759</v>
      </c>
      <c r="P2147" s="2" t="str">
        <f>HYPERLINK("https://www.facebook.com/100021998768380")</f>
        <v>https://www.facebook.com/100021998768380</v>
      </c>
      <c r="Q2147">
        <v>44</v>
      </c>
      <c r="R2147" t="s">
        <v>6067</v>
      </c>
      <c r="S2147" t="s">
        <v>6073</v>
      </c>
    </row>
    <row r="2148" spans="1:19" ht="14.25" customHeight="1" x14ac:dyDescent="0.3">
      <c r="A2148" t="s">
        <v>629</v>
      </c>
      <c r="B2148" t="s">
        <v>1755</v>
      </c>
      <c r="C2148" t="s">
        <v>95</v>
      </c>
      <c r="D2148" t="s">
        <v>370</v>
      </c>
      <c r="E2148" t="s">
        <v>371</v>
      </c>
      <c r="F2148" t="s">
        <v>6058</v>
      </c>
      <c r="G2148" s="2" t="str">
        <f>HYPERLINK("https://www.facebook.com/100021998768380/posts/224086571667967")</f>
        <v>https://www.facebook.com/100021998768380/posts/224086571667967</v>
      </c>
      <c r="H2148" t="s">
        <v>6062</v>
      </c>
      <c r="I2148" t="s">
        <v>1759</v>
      </c>
      <c r="J2148" s="2" t="str">
        <f>HYPERLINK("https://www.facebook.com/100021998768380")</f>
        <v>https://www.facebook.com/100021998768380</v>
      </c>
      <c r="K2148">
        <v>44</v>
      </c>
      <c r="L2148" t="s">
        <v>6064</v>
      </c>
      <c r="N2148" t="s">
        <v>13</v>
      </c>
      <c r="O2148" t="s">
        <v>1759</v>
      </c>
      <c r="P2148" s="2" t="str">
        <f>HYPERLINK("https://www.facebook.com/100021998768380")</f>
        <v>https://www.facebook.com/100021998768380</v>
      </c>
      <c r="Q2148">
        <v>44</v>
      </c>
      <c r="R2148" t="s">
        <v>6067</v>
      </c>
      <c r="S2148" t="s">
        <v>6073</v>
      </c>
    </row>
    <row r="2149" spans="1:19" ht="14.25" customHeight="1" x14ac:dyDescent="0.3">
      <c r="A2149" t="s">
        <v>629</v>
      </c>
      <c r="B2149" t="s">
        <v>1795</v>
      </c>
      <c r="C2149" t="s">
        <v>95</v>
      </c>
      <c r="D2149" t="s">
        <v>370</v>
      </c>
      <c r="E2149" t="s">
        <v>371</v>
      </c>
      <c r="F2149" t="s">
        <v>6058</v>
      </c>
      <c r="G2149" s="2" t="str">
        <f>HYPERLINK("https://www.facebook.com/100021998768380/posts/224082065001751")</f>
        <v>https://www.facebook.com/100021998768380/posts/224082065001751</v>
      </c>
      <c r="H2149" t="s">
        <v>6062</v>
      </c>
      <c r="I2149" t="s">
        <v>1759</v>
      </c>
      <c r="J2149" s="2" t="str">
        <f>HYPERLINK("https://www.facebook.com/100021998768380")</f>
        <v>https://www.facebook.com/100021998768380</v>
      </c>
      <c r="K2149">
        <v>44</v>
      </c>
      <c r="L2149" t="s">
        <v>6064</v>
      </c>
      <c r="N2149" t="s">
        <v>13</v>
      </c>
      <c r="O2149" t="s">
        <v>1759</v>
      </c>
      <c r="P2149" s="2" t="str">
        <f>HYPERLINK("https://www.facebook.com/100021998768380")</f>
        <v>https://www.facebook.com/100021998768380</v>
      </c>
      <c r="Q2149">
        <v>44</v>
      </c>
      <c r="R2149" t="s">
        <v>6067</v>
      </c>
      <c r="S2149" t="s">
        <v>6073</v>
      </c>
    </row>
    <row r="2150" spans="1:19" ht="14.25" customHeight="1" x14ac:dyDescent="0.3">
      <c r="A2150" t="s">
        <v>629</v>
      </c>
      <c r="B2150" t="s">
        <v>1698</v>
      </c>
      <c r="C2150" t="s">
        <v>95</v>
      </c>
      <c r="D2150" t="s">
        <v>370</v>
      </c>
      <c r="E2150" t="s">
        <v>371</v>
      </c>
      <c r="F2150" t="s">
        <v>6058</v>
      </c>
      <c r="G2150" s="2" t="str">
        <f>HYPERLINK("https://www.facebook.com/787539844696337/posts/179001416080272")</f>
        <v>https://www.facebook.com/787539844696337/posts/179001416080272</v>
      </c>
      <c r="H2150" t="s">
        <v>6062</v>
      </c>
      <c r="I2150" t="s">
        <v>1701</v>
      </c>
      <c r="J2150" s="2" t="str">
        <f>HYPERLINK("https://www.facebook.com/100019112431255")</f>
        <v>https://www.facebook.com/100019112431255</v>
      </c>
      <c r="K2150">
        <v>4952</v>
      </c>
      <c r="L2150" t="s">
        <v>6064</v>
      </c>
      <c r="N2150" t="s">
        <v>13</v>
      </c>
      <c r="O2150" t="s">
        <v>1646</v>
      </c>
      <c r="P2150" s="2" t="str">
        <f>HYPERLINK("https://www.facebook.com/787539844696337")</f>
        <v>https://www.facebook.com/787539844696337</v>
      </c>
      <c r="R2150" t="s">
        <v>6067</v>
      </c>
    </row>
    <row r="2151" spans="1:19" ht="14.25" customHeight="1" x14ac:dyDescent="0.3">
      <c r="A2151" t="s">
        <v>629</v>
      </c>
      <c r="B2151" t="s">
        <v>1698</v>
      </c>
      <c r="C2151" t="s">
        <v>95</v>
      </c>
      <c r="D2151" t="s">
        <v>370</v>
      </c>
      <c r="E2151" t="s">
        <v>371</v>
      </c>
      <c r="F2151" t="s">
        <v>6058</v>
      </c>
      <c r="G2151" s="2" t="str">
        <f>HYPERLINK("https://www.facebook.com/787539844696337/posts/1635232019927111")</f>
        <v>https://www.facebook.com/787539844696337/posts/1635232019927111</v>
      </c>
      <c r="H2151" t="s">
        <v>6062</v>
      </c>
      <c r="I2151" t="s">
        <v>1701</v>
      </c>
      <c r="J2151" s="2" t="str">
        <f>HYPERLINK("https://www.facebook.com/100019112431255")</f>
        <v>https://www.facebook.com/100019112431255</v>
      </c>
      <c r="K2151">
        <v>4952</v>
      </c>
      <c r="L2151" t="s">
        <v>6064</v>
      </c>
      <c r="N2151" t="s">
        <v>13</v>
      </c>
      <c r="O2151" t="s">
        <v>1646</v>
      </c>
      <c r="P2151" s="2" t="str">
        <f>HYPERLINK("https://www.facebook.com/787539844696337")</f>
        <v>https://www.facebook.com/787539844696337</v>
      </c>
      <c r="R2151" t="s">
        <v>6067</v>
      </c>
    </row>
    <row r="2152" spans="1:19" ht="14.25" customHeight="1" x14ac:dyDescent="0.3">
      <c r="A2152" t="s">
        <v>629</v>
      </c>
      <c r="B2152" t="s">
        <v>1823</v>
      </c>
      <c r="C2152" t="s">
        <v>95</v>
      </c>
      <c r="D2152" t="s">
        <v>370</v>
      </c>
      <c r="E2152" t="s">
        <v>371</v>
      </c>
      <c r="F2152" t="s">
        <v>6058</v>
      </c>
      <c r="G2152" s="2" t="str">
        <f>HYPERLINK("https://www.facebook.com/100008034227779/posts/2036483589962762")</f>
        <v>https://www.facebook.com/100008034227779/posts/2036483589962762</v>
      </c>
      <c r="H2152" t="s">
        <v>6062</v>
      </c>
      <c r="I2152" t="s">
        <v>1824</v>
      </c>
      <c r="J2152" s="2" t="str">
        <f>HYPERLINK("https://www.facebook.com/100008034227779")</f>
        <v>https://www.facebook.com/100008034227779</v>
      </c>
      <c r="K2152">
        <v>289</v>
      </c>
      <c r="L2152" t="s">
        <v>6063</v>
      </c>
      <c r="N2152" t="s">
        <v>13</v>
      </c>
      <c r="O2152" t="s">
        <v>1824</v>
      </c>
      <c r="P2152" s="2" t="str">
        <f>HYPERLINK("https://www.facebook.com/100008034227779")</f>
        <v>https://www.facebook.com/100008034227779</v>
      </c>
      <c r="Q2152">
        <v>289</v>
      </c>
      <c r="R2152" t="s">
        <v>6067</v>
      </c>
      <c r="S2152" t="s">
        <v>6073</v>
      </c>
    </row>
    <row r="2153" spans="1:19" ht="14.25" customHeight="1" x14ac:dyDescent="0.3">
      <c r="A2153" t="s">
        <v>2225</v>
      </c>
      <c r="B2153" t="s">
        <v>298</v>
      </c>
      <c r="C2153" t="s">
        <v>95</v>
      </c>
      <c r="D2153" t="s">
        <v>1099</v>
      </c>
      <c r="E2153" t="s">
        <v>3375</v>
      </c>
      <c r="F2153" t="s">
        <v>6059</v>
      </c>
      <c r="G2153" s="2" t="str">
        <f>HYPERLINK("https://www.facebook.com/100002489064006/posts/1666923993400553?comment_id=1666961250063494")</f>
        <v>https://www.facebook.com/100002489064006/posts/1666923993400553?comment_id=1666961250063494</v>
      </c>
      <c r="H2153" t="s">
        <v>6062</v>
      </c>
      <c r="I2153" t="s">
        <v>3376</v>
      </c>
      <c r="J2153" s="2" t="str">
        <f>HYPERLINK("https://www.facebook.com/100002061619500")</f>
        <v>https://www.facebook.com/100002061619500</v>
      </c>
      <c r="K2153">
        <v>4546</v>
      </c>
      <c r="L2153" t="s">
        <v>6063</v>
      </c>
      <c r="N2153" t="s">
        <v>13</v>
      </c>
      <c r="O2153" t="s">
        <v>1101</v>
      </c>
      <c r="P2153" s="2" t="str">
        <f>HYPERLINK("https://www.facebook.com/100002489064006")</f>
        <v>https://www.facebook.com/100002489064006</v>
      </c>
      <c r="Q2153">
        <v>2089</v>
      </c>
      <c r="R2153" t="s">
        <v>6067</v>
      </c>
      <c r="S2153" t="s">
        <v>6073</v>
      </c>
    </row>
    <row r="2154" spans="1:19" ht="14.25" customHeight="1" x14ac:dyDescent="0.3">
      <c r="A2154" t="s">
        <v>2225</v>
      </c>
      <c r="B2154" t="s">
        <v>307</v>
      </c>
      <c r="C2154" t="s">
        <v>95</v>
      </c>
      <c r="D2154" t="s">
        <v>1099</v>
      </c>
      <c r="E2154" t="s">
        <v>3380</v>
      </c>
      <c r="F2154" t="s">
        <v>6059</v>
      </c>
      <c r="G2154" s="2" t="str">
        <f>HYPERLINK("https://www.facebook.com/100002489064006/posts/1666923993400553?comment_id=1666929250066694")</f>
        <v>https://www.facebook.com/100002489064006/posts/1666923993400553?comment_id=1666929250066694</v>
      </c>
      <c r="H2154" t="s">
        <v>6062</v>
      </c>
      <c r="I2154" t="s">
        <v>3376</v>
      </c>
      <c r="J2154" s="2" t="str">
        <f>HYPERLINK("https://www.facebook.com/100002061619500")</f>
        <v>https://www.facebook.com/100002061619500</v>
      </c>
      <c r="K2154">
        <v>4546</v>
      </c>
      <c r="L2154" t="s">
        <v>6063</v>
      </c>
      <c r="N2154" t="s">
        <v>13</v>
      </c>
      <c r="O2154" t="s">
        <v>1101</v>
      </c>
      <c r="P2154" s="2" t="str">
        <f>HYPERLINK("https://www.facebook.com/100002489064006")</f>
        <v>https://www.facebook.com/100002489064006</v>
      </c>
      <c r="Q2154">
        <v>2089</v>
      </c>
      <c r="R2154" t="s">
        <v>6067</v>
      </c>
      <c r="S2154" t="s">
        <v>6073</v>
      </c>
    </row>
    <row r="2155" spans="1:19" ht="14.25" customHeight="1" x14ac:dyDescent="0.3">
      <c r="A2155" t="s">
        <v>2225</v>
      </c>
      <c r="B2155" t="s">
        <v>3165</v>
      </c>
      <c r="C2155" t="s">
        <v>95</v>
      </c>
      <c r="D2155" t="s">
        <v>932</v>
      </c>
      <c r="E2155" t="s">
        <v>3166</v>
      </c>
      <c r="F2155" t="s">
        <v>6059</v>
      </c>
      <c r="G2155" s="2" t="str">
        <f>HYPERLINK("https://www.facebook.com/100000671522755/posts/1878154095550290?comment_id=1878435808855452")</f>
        <v>https://www.facebook.com/100000671522755/posts/1878154095550290?comment_id=1878435808855452</v>
      </c>
      <c r="H2155" t="s">
        <v>6062</v>
      </c>
      <c r="I2155" t="s">
        <v>2277</v>
      </c>
      <c r="J2155" s="2" t="str">
        <f>HYPERLINK("https://www.facebook.com/100006702467240")</f>
        <v>https://www.facebook.com/100006702467240</v>
      </c>
      <c r="K2155">
        <v>2279</v>
      </c>
      <c r="L2155" t="s">
        <v>6064</v>
      </c>
      <c r="N2155" t="s">
        <v>13</v>
      </c>
      <c r="O2155" t="s">
        <v>935</v>
      </c>
      <c r="P2155" s="2" t="str">
        <f>HYPERLINK("https://www.facebook.com/100000671522755")</f>
        <v>https://www.facebook.com/100000671522755</v>
      </c>
      <c r="Q2155">
        <v>4995</v>
      </c>
      <c r="R2155" t="s">
        <v>6067</v>
      </c>
      <c r="S2155" t="s">
        <v>6073</v>
      </c>
    </row>
    <row r="2156" spans="1:19" ht="14.25" customHeight="1" x14ac:dyDescent="0.3">
      <c r="A2156" t="s">
        <v>2225</v>
      </c>
      <c r="B2156" t="s">
        <v>2275</v>
      </c>
      <c r="C2156" t="s">
        <v>95</v>
      </c>
      <c r="D2156" t="s">
        <v>932</v>
      </c>
      <c r="E2156" t="s">
        <v>2276</v>
      </c>
      <c r="F2156" t="s">
        <v>6059</v>
      </c>
      <c r="G2156" s="2" t="str">
        <f>HYPERLINK("https://www.facebook.com/100000671522755/posts/1878154095550290?comment_id=1878807248818308")</f>
        <v>https://www.facebook.com/100000671522755/posts/1878154095550290?comment_id=1878807248818308</v>
      </c>
      <c r="H2156" t="s">
        <v>6062</v>
      </c>
      <c r="I2156" t="s">
        <v>2277</v>
      </c>
      <c r="J2156" s="2" t="str">
        <f>HYPERLINK("https://www.facebook.com/100006702467240")</f>
        <v>https://www.facebook.com/100006702467240</v>
      </c>
      <c r="K2156">
        <v>2279</v>
      </c>
      <c r="L2156" t="s">
        <v>6064</v>
      </c>
      <c r="N2156" t="s">
        <v>13</v>
      </c>
      <c r="O2156" t="s">
        <v>935</v>
      </c>
      <c r="P2156" s="2" t="str">
        <f>HYPERLINK("https://www.facebook.com/100000671522755")</f>
        <v>https://www.facebook.com/100000671522755</v>
      </c>
      <c r="Q2156">
        <v>4995</v>
      </c>
      <c r="R2156" t="s">
        <v>6067</v>
      </c>
      <c r="S2156" t="s">
        <v>6073</v>
      </c>
    </row>
    <row r="2157" spans="1:19" ht="14.25" customHeight="1" x14ac:dyDescent="0.3">
      <c r="A2157" t="s">
        <v>5409</v>
      </c>
      <c r="B2157" t="s">
        <v>3867</v>
      </c>
      <c r="C2157" t="s">
        <v>3538</v>
      </c>
      <c r="D2157" t="s">
        <v>5281</v>
      </c>
      <c r="E2157" t="s">
        <v>5557</v>
      </c>
      <c r="F2157" t="s">
        <v>6059</v>
      </c>
      <c r="G2157" s="2" t="str">
        <f>HYPERLINK("https://www.facebook.com/192378574183165/posts/1644226538998354?comment_id=1644261532328188")</f>
        <v>https://www.facebook.com/192378574183165/posts/1644226538998354?comment_id=1644261532328188</v>
      </c>
      <c r="H2157" t="s">
        <v>6062</v>
      </c>
      <c r="I2157" t="s">
        <v>5558</v>
      </c>
      <c r="J2157" s="2" t="str">
        <f>HYPERLINK("https://www.facebook.com/1610566936")</f>
        <v>https://www.facebook.com/1610566936</v>
      </c>
      <c r="K2157">
        <v>0</v>
      </c>
      <c r="L2157" t="s">
        <v>6063</v>
      </c>
      <c r="N2157" t="s">
        <v>13</v>
      </c>
      <c r="O2157" t="s">
        <v>301</v>
      </c>
      <c r="P2157" s="2" t="str">
        <f>HYPERLINK("https://www.facebook.com/192378574183165")</f>
        <v>https://www.facebook.com/192378574183165</v>
      </c>
      <c r="Q2157">
        <v>6211</v>
      </c>
      <c r="R2157" t="s">
        <v>6067</v>
      </c>
      <c r="S2157" t="s">
        <v>6073</v>
      </c>
    </row>
    <row r="2158" spans="1:19" ht="14.25" customHeight="1" x14ac:dyDescent="0.3">
      <c r="A2158" t="s">
        <v>629</v>
      </c>
      <c r="B2158" t="s">
        <v>939</v>
      </c>
      <c r="C2158" t="s">
        <v>95</v>
      </c>
      <c r="D2158" t="s">
        <v>370</v>
      </c>
      <c r="E2158" t="s">
        <v>371</v>
      </c>
      <c r="F2158" t="s">
        <v>6058</v>
      </c>
      <c r="G2158" s="2" t="str">
        <f>HYPERLINK("https://www.facebook.com/100017286975935/posts/207300693189495")</f>
        <v>https://www.facebook.com/100017286975935/posts/207300693189495</v>
      </c>
      <c r="H2158" t="s">
        <v>6062</v>
      </c>
      <c r="I2158" t="s">
        <v>941</v>
      </c>
      <c r="J2158" s="2" t="str">
        <f>HYPERLINK("https://www.facebook.com/100017286975935")</f>
        <v>https://www.facebook.com/100017286975935</v>
      </c>
      <c r="K2158">
        <v>590</v>
      </c>
      <c r="L2158" t="s">
        <v>6063</v>
      </c>
      <c r="N2158" t="s">
        <v>13</v>
      </c>
      <c r="O2158" t="s">
        <v>941</v>
      </c>
      <c r="P2158" s="2" t="str">
        <f>HYPERLINK("https://www.facebook.com/100017286975935")</f>
        <v>https://www.facebook.com/100017286975935</v>
      </c>
      <c r="Q2158">
        <v>590</v>
      </c>
      <c r="R2158" t="s">
        <v>6067</v>
      </c>
      <c r="S2158" t="s">
        <v>6073</v>
      </c>
    </row>
    <row r="2159" spans="1:19" ht="14.25" customHeight="1" x14ac:dyDescent="0.3">
      <c r="A2159" t="s">
        <v>2225</v>
      </c>
      <c r="B2159" t="s">
        <v>812</v>
      </c>
      <c r="C2159" t="s">
        <v>95</v>
      </c>
      <c r="D2159" t="s">
        <v>1056</v>
      </c>
      <c r="E2159" t="s">
        <v>1057</v>
      </c>
      <c r="F2159" t="s">
        <v>6056</v>
      </c>
      <c r="G2159" s="2" t="str">
        <f>HYPERLINK("https://www.facebook.com/100014283198798/posts/355717191581051")</f>
        <v>https://www.facebook.com/100014283198798/posts/355717191581051</v>
      </c>
      <c r="H2159" t="s">
        <v>6062</v>
      </c>
      <c r="I2159" t="s">
        <v>2927</v>
      </c>
      <c r="J2159" s="2" t="str">
        <f>HYPERLINK("https://www.facebook.com/100014283198798")</f>
        <v>https://www.facebook.com/100014283198798</v>
      </c>
      <c r="K2159">
        <v>5668</v>
      </c>
      <c r="L2159" t="s">
        <v>6063</v>
      </c>
      <c r="N2159" t="s">
        <v>13</v>
      </c>
      <c r="O2159" t="s">
        <v>2927</v>
      </c>
      <c r="P2159" s="2" t="str">
        <f>HYPERLINK("https://www.facebook.com/100014283198798")</f>
        <v>https://www.facebook.com/100014283198798</v>
      </c>
      <c r="Q2159">
        <v>5668</v>
      </c>
      <c r="R2159" t="s">
        <v>6067</v>
      </c>
      <c r="S2159" t="s">
        <v>6073</v>
      </c>
    </row>
    <row r="2160" spans="1:19" ht="14.25" customHeight="1" x14ac:dyDescent="0.3">
      <c r="A2160" t="s">
        <v>629</v>
      </c>
      <c r="B2160" t="s">
        <v>1912</v>
      </c>
      <c r="C2160" t="s">
        <v>95</v>
      </c>
      <c r="D2160" t="s">
        <v>370</v>
      </c>
      <c r="E2160" t="s">
        <v>371</v>
      </c>
      <c r="F2160" t="s">
        <v>6058</v>
      </c>
      <c r="G2160" s="2" t="str">
        <f>HYPERLINK("https://www.facebook.com/100002152272809/posts/1677994018948991")</f>
        <v>https://www.facebook.com/100002152272809/posts/1677994018948991</v>
      </c>
      <c r="H2160" t="s">
        <v>6062</v>
      </c>
      <c r="I2160" t="s">
        <v>1913</v>
      </c>
      <c r="J2160" s="2" t="str">
        <f>HYPERLINK("https://www.facebook.com/100002152272809")</f>
        <v>https://www.facebook.com/100002152272809</v>
      </c>
      <c r="K2160">
        <v>84</v>
      </c>
      <c r="L2160" t="s">
        <v>6063</v>
      </c>
      <c r="N2160" t="s">
        <v>13</v>
      </c>
      <c r="O2160" t="s">
        <v>1913</v>
      </c>
      <c r="P2160" s="2" t="str">
        <f>HYPERLINK("https://www.facebook.com/100002152272809")</f>
        <v>https://www.facebook.com/100002152272809</v>
      </c>
      <c r="Q2160">
        <v>84</v>
      </c>
      <c r="R2160" t="s">
        <v>6067</v>
      </c>
      <c r="S2160" t="s">
        <v>6103</v>
      </c>
    </row>
    <row r="2161" spans="1:19" ht="14.25" customHeight="1" x14ac:dyDescent="0.3">
      <c r="A2161" t="s">
        <v>1</v>
      </c>
      <c r="B2161" t="s">
        <v>373</v>
      </c>
      <c r="C2161" t="s">
        <v>95</v>
      </c>
      <c r="D2161" t="s">
        <v>374</v>
      </c>
      <c r="E2161" t="s">
        <v>375</v>
      </c>
      <c r="F2161" t="s">
        <v>6058</v>
      </c>
      <c r="G2161" s="2" t="str">
        <f>HYPERLINK("https://www.facebook.com/387533224980059/posts/360524837785978")</f>
        <v>https://www.facebook.com/387533224980059/posts/360524837785978</v>
      </c>
      <c r="H2161" t="s">
        <v>6062</v>
      </c>
      <c r="N2161" t="s">
        <v>13</v>
      </c>
      <c r="O2161" t="s">
        <v>376</v>
      </c>
      <c r="P2161" s="2" t="str">
        <f>HYPERLINK("https://www.facebook.com/387533224980059")</f>
        <v>https://www.facebook.com/387533224980059</v>
      </c>
      <c r="R2161" t="s">
        <v>6067</v>
      </c>
    </row>
    <row r="2162" spans="1:19" ht="14.25" customHeight="1" x14ac:dyDescent="0.3">
      <c r="A2162" t="s">
        <v>1</v>
      </c>
      <c r="B2162" t="s">
        <v>377</v>
      </c>
      <c r="C2162" t="s">
        <v>95</v>
      </c>
      <c r="D2162" t="s">
        <v>374</v>
      </c>
      <c r="E2162" t="s">
        <v>375</v>
      </c>
      <c r="F2162" t="s">
        <v>6058</v>
      </c>
      <c r="G2162" s="2" t="str">
        <f>HYPERLINK("https://www.facebook.com/179170849331976/posts/360523881119407")</f>
        <v>https://www.facebook.com/179170849331976/posts/360523881119407</v>
      </c>
      <c r="H2162" t="s">
        <v>6062</v>
      </c>
      <c r="N2162" t="s">
        <v>13</v>
      </c>
      <c r="O2162" t="s">
        <v>382</v>
      </c>
      <c r="P2162" s="2" t="str">
        <f>HYPERLINK("https://www.facebook.com/179170849331976")</f>
        <v>https://www.facebook.com/179170849331976</v>
      </c>
      <c r="R2162" t="s">
        <v>6067</v>
      </c>
    </row>
    <row r="2163" spans="1:19" ht="14.25" customHeight="1" x14ac:dyDescent="0.3">
      <c r="A2163" t="s">
        <v>1</v>
      </c>
      <c r="B2163" t="s">
        <v>383</v>
      </c>
      <c r="C2163" t="s">
        <v>95</v>
      </c>
      <c r="D2163" t="s">
        <v>374</v>
      </c>
      <c r="E2163" t="s">
        <v>375</v>
      </c>
      <c r="F2163" t="s">
        <v>6058</v>
      </c>
      <c r="G2163" s="2" t="str">
        <f>HYPERLINK("https://www.facebook.com/1853461791566201/posts/360523697786092")</f>
        <v>https://www.facebook.com/1853461791566201/posts/360523697786092</v>
      </c>
      <c r="H2163" t="s">
        <v>6062</v>
      </c>
      <c r="N2163" t="s">
        <v>13</v>
      </c>
      <c r="O2163" t="s">
        <v>384</v>
      </c>
      <c r="P2163" s="2" t="str">
        <f>HYPERLINK("https://www.facebook.com/1853461791566201")</f>
        <v>https://www.facebook.com/1853461791566201</v>
      </c>
      <c r="R2163" t="s">
        <v>6067</v>
      </c>
    </row>
    <row r="2164" spans="1:19" ht="14.25" customHeight="1" x14ac:dyDescent="0.3">
      <c r="A2164" t="s">
        <v>5409</v>
      </c>
      <c r="B2164" t="s">
        <v>3079</v>
      </c>
      <c r="C2164" t="s">
        <v>3538</v>
      </c>
      <c r="D2164" t="s">
        <v>5611</v>
      </c>
      <c r="E2164" t="s">
        <v>5612</v>
      </c>
      <c r="F2164" t="s">
        <v>6058</v>
      </c>
      <c r="G2164" s="2" t="str">
        <f>HYPERLINK("https://www.facebook.com/100007944790984/posts/2048752542066219")</f>
        <v>https://www.facebook.com/100007944790984/posts/2048752542066219</v>
      </c>
      <c r="H2164" t="s">
        <v>6061</v>
      </c>
      <c r="I2164" t="s">
        <v>5613</v>
      </c>
      <c r="J2164" s="2" t="str">
        <f>HYPERLINK("https://www.facebook.com/100007944790984")</f>
        <v>https://www.facebook.com/100007944790984</v>
      </c>
      <c r="K2164">
        <v>143</v>
      </c>
      <c r="L2164" t="s">
        <v>6063</v>
      </c>
      <c r="N2164" t="s">
        <v>13</v>
      </c>
      <c r="O2164" t="s">
        <v>5613</v>
      </c>
      <c r="P2164" s="2" t="str">
        <f>HYPERLINK("https://www.facebook.com/100007944790984")</f>
        <v>https://www.facebook.com/100007944790984</v>
      </c>
      <c r="Q2164">
        <v>143</v>
      </c>
      <c r="R2164" t="s">
        <v>6067</v>
      </c>
      <c r="S2164" t="s">
        <v>6073</v>
      </c>
    </row>
    <row r="2165" spans="1:19" ht="14.25" customHeight="1" x14ac:dyDescent="0.3">
      <c r="A2165" t="s">
        <v>2225</v>
      </c>
      <c r="B2165" t="s">
        <v>143</v>
      </c>
      <c r="C2165" t="s">
        <v>95</v>
      </c>
      <c r="D2165" t="s">
        <v>3297</v>
      </c>
      <c r="E2165" t="s">
        <v>3303</v>
      </c>
      <c r="F2165" t="s">
        <v>6059</v>
      </c>
      <c r="G2165" s="2" t="str">
        <f>HYPERLINK("https://www.facebook.com/100001481897488/posts/1708032712589442?comment_id=1725645757494804")</f>
        <v>https://www.facebook.com/100001481897488/posts/1708032712589442?comment_id=1725645757494804</v>
      </c>
      <c r="H2165" t="s">
        <v>6061</v>
      </c>
      <c r="I2165" t="s">
        <v>3302</v>
      </c>
      <c r="J2165" s="2" t="str">
        <f>HYPERLINK("https://www.facebook.com/100000249515911")</f>
        <v>https://www.facebook.com/100000249515911</v>
      </c>
      <c r="K2165">
        <v>0</v>
      </c>
      <c r="L2165" t="s">
        <v>6063</v>
      </c>
      <c r="N2165" t="s">
        <v>13</v>
      </c>
      <c r="O2165" t="s">
        <v>3300</v>
      </c>
      <c r="P2165" s="2" t="str">
        <f>HYPERLINK("https://www.facebook.com/100001481897488")</f>
        <v>https://www.facebook.com/100001481897488</v>
      </c>
      <c r="Q2165">
        <v>1014</v>
      </c>
      <c r="R2165" t="s">
        <v>6067</v>
      </c>
      <c r="S2165" t="s">
        <v>6073</v>
      </c>
    </row>
    <row r="2166" spans="1:19" ht="14.25" customHeight="1" x14ac:dyDescent="0.3">
      <c r="A2166" t="s">
        <v>2225</v>
      </c>
      <c r="B2166" t="s">
        <v>1406</v>
      </c>
      <c r="C2166" t="s">
        <v>95</v>
      </c>
      <c r="D2166" t="s">
        <v>3297</v>
      </c>
      <c r="E2166" t="s">
        <v>3301</v>
      </c>
      <c r="F2166" t="s">
        <v>6059</v>
      </c>
      <c r="G2166" s="2" t="str">
        <f>HYPERLINK("https://www.facebook.com/100001481897488/posts/1708032712589442?comment_id=1725646684161378")</f>
        <v>https://www.facebook.com/100001481897488/posts/1708032712589442?comment_id=1725646684161378</v>
      </c>
      <c r="H2166" t="s">
        <v>6061</v>
      </c>
      <c r="I2166" t="s">
        <v>3302</v>
      </c>
      <c r="J2166" s="2" t="str">
        <f>HYPERLINK("https://www.facebook.com/100000249515911")</f>
        <v>https://www.facebook.com/100000249515911</v>
      </c>
      <c r="K2166">
        <v>0</v>
      </c>
      <c r="L2166" t="s">
        <v>6063</v>
      </c>
      <c r="N2166" t="s">
        <v>13</v>
      </c>
      <c r="O2166" t="s">
        <v>3300</v>
      </c>
      <c r="P2166" s="2" t="str">
        <f>HYPERLINK("https://www.facebook.com/100001481897488")</f>
        <v>https://www.facebook.com/100001481897488</v>
      </c>
      <c r="Q2166">
        <v>1014</v>
      </c>
      <c r="R2166" t="s">
        <v>6067</v>
      </c>
      <c r="S2166" t="s">
        <v>6073</v>
      </c>
    </row>
    <row r="2167" spans="1:19" ht="14.25" customHeight="1" x14ac:dyDescent="0.3">
      <c r="A2167" t="s">
        <v>629</v>
      </c>
      <c r="B2167" t="s">
        <v>1332</v>
      </c>
      <c r="C2167" t="s">
        <v>95</v>
      </c>
      <c r="D2167" t="s">
        <v>1333</v>
      </c>
      <c r="E2167" t="s">
        <v>1334</v>
      </c>
      <c r="F2167" t="s">
        <v>6056</v>
      </c>
      <c r="G2167" s="2" t="str">
        <f>HYPERLINK("https://www.facebook.com/100000803917099/posts/1623098487726933")</f>
        <v>https://www.facebook.com/100000803917099/posts/1623098487726933</v>
      </c>
      <c r="H2167" t="s">
        <v>6061</v>
      </c>
      <c r="I2167" t="s">
        <v>1335</v>
      </c>
      <c r="J2167" s="2" t="str">
        <f>HYPERLINK("https://www.facebook.com/100000803917099")</f>
        <v>https://www.facebook.com/100000803917099</v>
      </c>
      <c r="K2167">
        <v>3062</v>
      </c>
      <c r="L2167" t="s">
        <v>6063</v>
      </c>
      <c r="M2167">
        <v>37</v>
      </c>
      <c r="N2167" t="s">
        <v>13</v>
      </c>
      <c r="O2167" t="s">
        <v>1335</v>
      </c>
      <c r="P2167" s="2" t="str">
        <f>HYPERLINK("https://www.facebook.com/100000803917099")</f>
        <v>https://www.facebook.com/100000803917099</v>
      </c>
      <c r="Q2167">
        <v>3062</v>
      </c>
      <c r="R2167" t="s">
        <v>6067</v>
      </c>
      <c r="S2167" t="s">
        <v>6073</v>
      </c>
    </row>
    <row r="2168" spans="1:19" ht="14.25" customHeight="1" x14ac:dyDescent="0.3">
      <c r="A2168" t="s">
        <v>1</v>
      </c>
      <c r="B2168" t="s">
        <v>619</v>
      </c>
      <c r="C2168" t="s">
        <v>95</v>
      </c>
      <c r="D2168" t="s">
        <v>10</v>
      </c>
      <c r="E2168" t="s">
        <v>620</v>
      </c>
      <c r="F2168" t="s">
        <v>6059</v>
      </c>
      <c r="G2168" s="2" t="str">
        <f>HYPERLINK("https://www.facebook.com/1070092426/posts/10213398046920195?comment_id=10213399260430532")</f>
        <v>https://www.facebook.com/1070092426/posts/10213398046920195?comment_id=10213399260430532</v>
      </c>
      <c r="H2168" t="s">
        <v>6061</v>
      </c>
      <c r="I2168" t="s">
        <v>555</v>
      </c>
      <c r="J2168" s="2" t="str">
        <f>HYPERLINK("https://www.facebook.com/1496739112")</f>
        <v>https://www.facebook.com/1496739112</v>
      </c>
      <c r="K2168">
        <v>0</v>
      </c>
      <c r="L2168" t="s">
        <v>6064</v>
      </c>
      <c r="N2168" t="s">
        <v>13</v>
      </c>
      <c r="O2168" t="s">
        <v>314</v>
      </c>
      <c r="P2168" s="2" t="str">
        <f>HYPERLINK("https://www.facebook.com/1070092426")</f>
        <v>https://www.facebook.com/1070092426</v>
      </c>
      <c r="Q2168">
        <v>5892</v>
      </c>
      <c r="R2168" t="s">
        <v>6067</v>
      </c>
      <c r="S2168" t="s">
        <v>6083</v>
      </c>
    </row>
    <row r="2169" spans="1:19" ht="14.25" customHeight="1" x14ac:dyDescent="0.3">
      <c r="A2169" t="s">
        <v>3527</v>
      </c>
      <c r="B2169" t="s">
        <v>4010</v>
      </c>
      <c r="C2169" t="s">
        <v>95</v>
      </c>
      <c r="D2169" t="s">
        <v>690</v>
      </c>
      <c r="E2169" t="s">
        <v>4011</v>
      </c>
      <c r="F2169" t="s">
        <v>6059</v>
      </c>
      <c r="G2169" s="2" t="str">
        <f>HYPERLINK("https://www.facebook.com/278105015535592/posts/1935377959808281?comment_id=1935653109780766")</f>
        <v>https://www.facebook.com/278105015535592/posts/1935377959808281?comment_id=1935653109780766</v>
      </c>
      <c r="H2169" t="s">
        <v>6061</v>
      </c>
      <c r="I2169" t="s">
        <v>3739</v>
      </c>
      <c r="J2169" s="2" t="str">
        <f>HYPERLINK("https://www.facebook.com/100001276723886")</f>
        <v>https://www.facebook.com/100001276723886</v>
      </c>
      <c r="K2169">
        <v>0</v>
      </c>
      <c r="L2169" t="s">
        <v>6064</v>
      </c>
      <c r="N2169" t="s">
        <v>13</v>
      </c>
      <c r="O2169" t="s">
        <v>996</v>
      </c>
      <c r="P2169" s="2" t="str">
        <f>HYPERLINK("https://www.facebook.com/278105015535592")</f>
        <v>https://www.facebook.com/278105015535592</v>
      </c>
      <c r="Q2169">
        <v>4845</v>
      </c>
      <c r="R2169" t="s">
        <v>6067</v>
      </c>
      <c r="S2169" t="s">
        <v>6098</v>
      </c>
    </row>
    <row r="2170" spans="1:19" ht="14.25" customHeight="1" x14ac:dyDescent="0.3">
      <c r="A2170" t="s">
        <v>5409</v>
      </c>
      <c r="B2170" t="s">
        <v>2002</v>
      </c>
      <c r="C2170" t="s">
        <v>3538</v>
      </c>
      <c r="D2170" t="s">
        <v>5913</v>
      </c>
      <c r="E2170" t="s">
        <v>5930</v>
      </c>
      <c r="F2170" t="s">
        <v>6059</v>
      </c>
      <c r="G2170" s="2" t="str">
        <f>HYPERLINK("https://www.facebook.com/1130867597/posts/10214595940868821?comment_id=10214619122448346")</f>
        <v>https://www.facebook.com/1130867597/posts/10214595940868821?comment_id=10214619122448346</v>
      </c>
      <c r="H2170" t="s">
        <v>6061</v>
      </c>
      <c r="I2170" t="s">
        <v>5916</v>
      </c>
      <c r="J2170" s="2" t="str">
        <f>HYPERLINK("https://www.facebook.com/1130867597")</f>
        <v>https://www.facebook.com/1130867597</v>
      </c>
      <c r="K2170">
        <v>0</v>
      </c>
      <c r="L2170" t="s">
        <v>6064</v>
      </c>
      <c r="N2170" t="s">
        <v>13</v>
      </c>
      <c r="O2170" t="s">
        <v>5916</v>
      </c>
      <c r="P2170" s="2" t="str">
        <f>HYPERLINK("https://www.facebook.com/1130867597")</f>
        <v>https://www.facebook.com/1130867597</v>
      </c>
      <c r="Q2170">
        <v>0</v>
      </c>
      <c r="R2170" t="s">
        <v>6067</v>
      </c>
      <c r="S2170" t="s">
        <v>6073</v>
      </c>
    </row>
    <row r="2171" spans="1:19" ht="14.25" customHeight="1" x14ac:dyDescent="0.3">
      <c r="A2171" t="s">
        <v>5409</v>
      </c>
      <c r="B2171" t="s">
        <v>2018</v>
      </c>
      <c r="C2171" t="s">
        <v>3538</v>
      </c>
      <c r="D2171" t="s">
        <v>5913</v>
      </c>
      <c r="E2171" t="s">
        <v>5934</v>
      </c>
      <c r="F2171" t="s">
        <v>6059</v>
      </c>
      <c r="G2171" s="2" t="str">
        <f>HYPERLINK("https://www.facebook.com/1130867597/posts/10214595940868821?comment_id=10214619108608000")</f>
        <v>https://www.facebook.com/1130867597/posts/10214595940868821?comment_id=10214619108608000</v>
      </c>
      <c r="H2171" t="s">
        <v>6061</v>
      </c>
      <c r="I2171" t="s">
        <v>5916</v>
      </c>
      <c r="J2171" s="2" t="str">
        <f>HYPERLINK("https://www.facebook.com/1130867597")</f>
        <v>https://www.facebook.com/1130867597</v>
      </c>
      <c r="K2171">
        <v>0</v>
      </c>
      <c r="L2171" t="s">
        <v>6064</v>
      </c>
      <c r="N2171" t="s">
        <v>13</v>
      </c>
      <c r="O2171" t="s">
        <v>5916</v>
      </c>
      <c r="P2171" s="2" t="str">
        <f>HYPERLINK("https://www.facebook.com/1130867597")</f>
        <v>https://www.facebook.com/1130867597</v>
      </c>
      <c r="Q2171">
        <v>0</v>
      </c>
      <c r="R2171" t="s">
        <v>6067</v>
      </c>
      <c r="S2171" t="s">
        <v>6073</v>
      </c>
    </row>
    <row r="2172" spans="1:19" ht="14.25" customHeight="1" x14ac:dyDescent="0.3">
      <c r="A2172" t="s">
        <v>2225</v>
      </c>
      <c r="B2172" t="s">
        <v>1052</v>
      </c>
      <c r="C2172" t="s">
        <v>95</v>
      </c>
      <c r="D2172" t="s">
        <v>464</v>
      </c>
      <c r="E2172" t="s">
        <v>3126</v>
      </c>
      <c r="F2172" t="s">
        <v>6059</v>
      </c>
      <c r="G2172" s="2" t="str">
        <f>HYPERLINK("https://www.facebook.com/1362386453/posts/10216460219362335?comment_id=10216460313924699")</f>
        <v>https://www.facebook.com/1362386453/posts/10216460219362335?comment_id=10216460313924699</v>
      </c>
      <c r="H2172" t="s">
        <v>6061</v>
      </c>
      <c r="I2172" t="s">
        <v>3127</v>
      </c>
      <c r="J2172" s="2" t="str">
        <f>HYPERLINK("https://www.facebook.com/100001225117047")</f>
        <v>https://www.facebook.com/100001225117047</v>
      </c>
      <c r="K2172">
        <v>903</v>
      </c>
      <c r="L2172" t="s">
        <v>6063</v>
      </c>
      <c r="N2172" t="s">
        <v>13</v>
      </c>
      <c r="O2172" t="s">
        <v>467</v>
      </c>
      <c r="P2172" s="2" t="str">
        <f>HYPERLINK("https://www.facebook.com/1362386453")</f>
        <v>https://www.facebook.com/1362386453</v>
      </c>
      <c r="Q2172">
        <v>3896</v>
      </c>
      <c r="R2172" t="s">
        <v>6067</v>
      </c>
      <c r="S2172" t="s">
        <v>6073</v>
      </c>
    </row>
    <row r="2173" spans="1:19" ht="14.25" customHeight="1" x14ac:dyDescent="0.3">
      <c r="A2173" t="s">
        <v>1</v>
      </c>
      <c r="B2173" t="s">
        <v>468</v>
      </c>
      <c r="C2173" t="s">
        <v>27</v>
      </c>
      <c r="D2173" t="s">
        <v>28</v>
      </c>
      <c r="E2173" t="s">
        <v>470</v>
      </c>
      <c r="F2173" t="s">
        <v>6059</v>
      </c>
      <c r="G2173" s="2" t="str">
        <f>HYPERLINK("https://www.facebook.com/100001652702200/posts/1834613723270367?comment_id=1834942659904140")</f>
        <v>https://www.facebook.com/100001652702200/posts/1834613723270367?comment_id=1834942659904140</v>
      </c>
      <c r="H2173" t="s">
        <v>6061</v>
      </c>
      <c r="I2173" t="s">
        <v>471</v>
      </c>
      <c r="J2173" s="2" t="str">
        <f>HYPERLINK("https://www.facebook.com/100001398205339")</f>
        <v>https://www.facebook.com/100001398205339</v>
      </c>
      <c r="K2173">
        <v>317</v>
      </c>
      <c r="L2173" t="s">
        <v>6063</v>
      </c>
      <c r="N2173" t="s">
        <v>13</v>
      </c>
      <c r="O2173" t="s">
        <v>31</v>
      </c>
      <c r="P2173" s="2" t="str">
        <f>HYPERLINK("https://www.facebook.com/100001652702200")</f>
        <v>https://www.facebook.com/100001652702200</v>
      </c>
      <c r="Q2173">
        <v>0</v>
      </c>
      <c r="R2173" t="s">
        <v>6067</v>
      </c>
      <c r="S2173" t="s">
        <v>6073</v>
      </c>
    </row>
    <row r="2174" spans="1:19" ht="14.25" customHeight="1" x14ac:dyDescent="0.3">
      <c r="A2174" t="s">
        <v>629</v>
      </c>
      <c r="B2174" t="s">
        <v>2098</v>
      </c>
      <c r="C2174" t="s">
        <v>95</v>
      </c>
      <c r="D2174" t="s">
        <v>568</v>
      </c>
      <c r="E2174" t="s">
        <v>2099</v>
      </c>
      <c r="F2174" t="s">
        <v>6056</v>
      </c>
      <c r="G2174" s="2" t="str">
        <f>HYPERLINK("https://www.facebook.com/100010421106042/posts/579987695691929")</f>
        <v>https://www.facebook.com/100010421106042/posts/579987695691929</v>
      </c>
      <c r="H2174" t="s">
        <v>6061</v>
      </c>
      <c r="I2174" t="s">
        <v>571</v>
      </c>
      <c r="J2174" s="2" t="str">
        <f>HYPERLINK("https://www.facebook.com/100010421106042")</f>
        <v>https://www.facebook.com/100010421106042</v>
      </c>
      <c r="K2174">
        <v>2614</v>
      </c>
      <c r="L2174" t="s">
        <v>6063</v>
      </c>
      <c r="N2174" t="s">
        <v>13</v>
      </c>
      <c r="O2174" t="s">
        <v>571</v>
      </c>
      <c r="P2174" s="2" t="str">
        <f>HYPERLINK("https://www.facebook.com/100010421106042")</f>
        <v>https://www.facebook.com/100010421106042</v>
      </c>
      <c r="Q2174">
        <v>2614</v>
      </c>
      <c r="R2174" t="s">
        <v>6067</v>
      </c>
    </row>
    <row r="2175" spans="1:19" ht="14.25" customHeight="1" x14ac:dyDescent="0.3">
      <c r="A2175" t="s">
        <v>5409</v>
      </c>
      <c r="B2175" t="s">
        <v>3270</v>
      </c>
      <c r="C2175" t="s">
        <v>3538</v>
      </c>
      <c r="D2175" t="s">
        <v>5758</v>
      </c>
      <c r="E2175" t="s">
        <v>5759</v>
      </c>
      <c r="F2175" t="s">
        <v>6059</v>
      </c>
      <c r="G2175" s="2" t="str">
        <f>HYPERLINK("https://www.facebook.com/1274134720/posts/10215976869875959?comment_id=10215977345327845")</f>
        <v>https://www.facebook.com/1274134720/posts/10215976869875959?comment_id=10215977345327845</v>
      </c>
      <c r="H2175" t="s">
        <v>6061</v>
      </c>
      <c r="I2175" t="s">
        <v>5760</v>
      </c>
      <c r="J2175" s="2" t="str">
        <f>HYPERLINK("https://www.facebook.com/100001027195208")</f>
        <v>https://www.facebook.com/100001027195208</v>
      </c>
      <c r="K2175">
        <v>916</v>
      </c>
      <c r="L2175" t="s">
        <v>6063</v>
      </c>
      <c r="N2175" t="s">
        <v>13</v>
      </c>
      <c r="O2175" t="s">
        <v>5761</v>
      </c>
      <c r="P2175" s="2" t="str">
        <f>HYPERLINK("https://www.facebook.com/1274134720")</f>
        <v>https://www.facebook.com/1274134720</v>
      </c>
      <c r="Q2175">
        <v>2060</v>
      </c>
      <c r="R2175" t="s">
        <v>6067</v>
      </c>
      <c r="S2175" t="s">
        <v>6073</v>
      </c>
    </row>
    <row r="2176" spans="1:19" ht="14.25" customHeight="1" x14ac:dyDescent="0.3">
      <c r="A2176" t="s">
        <v>629</v>
      </c>
      <c r="B2176" t="s">
        <v>37</v>
      </c>
      <c r="C2176" t="s">
        <v>95</v>
      </c>
      <c r="D2176" t="s">
        <v>10</v>
      </c>
      <c r="E2176" t="s">
        <v>1290</v>
      </c>
      <c r="F2176" t="s">
        <v>6059</v>
      </c>
      <c r="G2176" s="2" t="str">
        <f>HYPERLINK("https://www.facebook.com/762053551/posts/10156366210158552?comment_id=10156366216188552")</f>
        <v>https://www.facebook.com/762053551/posts/10156366210158552?comment_id=10156366216188552</v>
      </c>
      <c r="H2176" t="s">
        <v>6061</v>
      </c>
      <c r="I2176" t="s">
        <v>1291</v>
      </c>
      <c r="J2176" s="2" t="str">
        <f>HYPERLINK("https://www.facebook.com/100002461778852")</f>
        <v>https://www.facebook.com/100002461778852</v>
      </c>
      <c r="K2176">
        <v>389</v>
      </c>
      <c r="L2176" t="s">
        <v>6063</v>
      </c>
      <c r="N2176" t="s">
        <v>13</v>
      </c>
      <c r="O2176" t="s">
        <v>14</v>
      </c>
      <c r="P2176" s="2" t="str">
        <f>HYPERLINK("https://www.facebook.com/762053551")</f>
        <v>https://www.facebook.com/762053551</v>
      </c>
      <c r="Q2176">
        <v>102347</v>
      </c>
      <c r="R2176" t="s">
        <v>6067</v>
      </c>
      <c r="S2176" t="s">
        <v>6073</v>
      </c>
    </row>
    <row r="2177" spans="1:19" ht="14.25" customHeight="1" x14ac:dyDescent="0.3">
      <c r="A2177" t="s">
        <v>5409</v>
      </c>
      <c r="B2177" t="s">
        <v>417</v>
      </c>
      <c r="C2177" t="s">
        <v>3538</v>
      </c>
      <c r="D2177" t="s">
        <v>5886</v>
      </c>
      <c r="E2177" t="s">
        <v>5887</v>
      </c>
      <c r="F2177" t="s">
        <v>6059</v>
      </c>
      <c r="G2177" s="2" t="str">
        <f>HYPERLINK("https://www.facebook.com/100000748232014/posts/1884655884902668?comment_id=1885575028144087")</f>
        <v>https://www.facebook.com/100000748232014/posts/1884655884902668?comment_id=1885575028144087</v>
      </c>
      <c r="H2177" t="s">
        <v>6061</v>
      </c>
      <c r="I2177" t="s">
        <v>5888</v>
      </c>
      <c r="J2177" s="2" t="str">
        <f>HYPERLINK("https://www.facebook.com/1101140153")</f>
        <v>https://www.facebook.com/1101140153</v>
      </c>
      <c r="K2177">
        <v>127</v>
      </c>
      <c r="L2177" t="s">
        <v>6063</v>
      </c>
      <c r="N2177" t="s">
        <v>13</v>
      </c>
      <c r="O2177" t="s">
        <v>5889</v>
      </c>
      <c r="P2177" s="2" t="str">
        <f>HYPERLINK("https://www.facebook.com/100000748232014")</f>
        <v>https://www.facebook.com/100000748232014</v>
      </c>
      <c r="Q2177">
        <v>0</v>
      </c>
      <c r="R2177" t="s">
        <v>6067</v>
      </c>
      <c r="S2177" t="s">
        <v>6073</v>
      </c>
    </row>
    <row r="2178" spans="1:19" ht="14.25" customHeight="1" x14ac:dyDescent="0.3">
      <c r="A2178" t="s">
        <v>4995</v>
      </c>
      <c r="B2178" t="s">
        <v>1117</v>
      </c>
      <c r="C2178" t="s">
        <v>3538</v>
      </c>
      <c r="D2178" t="s">
        <v>877</v>
      </c>
      <c r="E2178" t="s">
        <v>5190</v>
      </c>
      <c r="F2178" t="s">
        <v>6059</v>
      </c>
      <c r="G2178" s="2" t="str">
        <f>HYPERLINK("https://www.facebook.com/114364555250747/posts/1804141566273029?comment_id=1805075906179595")</f>
        <v>https://www.facebook.com/114364555250747/posts/1804141566273029?comment_id=1805075906179595</v>
      </c>
      <c r="H2178" t="s">
        <v>6061</v>
      </c>
      <c r="I2178" t="s">
        <v>4911</v>
      </c>
      <c r="J2178" s="2" t="str">
        <f>HYPERLINK("https://www.facebook.com/100000011832822")</f>
        <v>https://www.facebook.com/100000011832822</v>
      </c>
      <c r="K2178">
        <v>0</v>
      </c>
      <c r="L2178" t="s">
        <v>6063</v>
      </c>
      <c r="N2178" t="s">
        <v>13</v>
      </c>
      <c r="O2178" t="s">
        <v>880</v>
      </c>
      <c r="P2178" s="2" t="str">
        <f>HYPERLINK("https://www.facebook.com/114364555250747")</f>
        <v>https://www.facebook.com/114364555250747</v>
      </c>
      <c r="Q2178">
        <v>100059</v>
      </c>
      <c r="R2178" t="s">
        <v>6067</v>
      </c>
      <c r="S2178" t="s">
        <v>6073</v>
      </c>
    </row>
    <row r="2179" spans="1:19" ht="14.25" customHeight="1" x14ac:dyDescent="0.3">
      <c r="A2179" t="s">
        <v>4995</v>
      </c>
      <c r="B2179" t="s">
        <v>3227</v>
      </c>
      <c r="C2179" t="s">
        <v>3538</v>
      </c>
      <c r="D2179" t="s">
        <v>5152</v>
      </c>
      <c r="E2179" t="s">
        <v>5153</v>
      </c>
      <c r="F2179" t="s">
        <v>6058</v>
      </c>
      <c r="G2179" s="2" t="str">
        <f>HYPERLINK("https://www.facebook.com/100003946658842/posts/1133634643444747")</f>
        <v>https://www.facebook.com/100003946658842/posts/1133634643444747</v>
      </c>
      <c r="H2179" t="s">
        <v>6061</v>
      </c>
      <c r="I2179" t="s">
        <v>2908</v>
      </c>
      <c r="J2179" s="2" t="str">
        <f>HYPERLINK("https://www.facebook.com/100003946658842")</f>
        <v>https://www.facebook.com/100003946658842</v>
      </c>
      <c r="K2179">
        <v>841</v>
      </c>
      <c r="L2179" t="s">
        <v>6064</v>
      </c>
      <c r="N2179" t="s">
        <v>13</v>
      </c>
      <c r="O2179" t="s">
        <v>2908</v>
      </c>
      <c r="P2179" s="2" t="str">
        <f>HYPERLINK("https://www.facebook.com/100003946658842")</f>
        <v>https://www.facebook.com/100003946658842</v>
      </c>
      <c r="Q2179">
        <v>841</v>
      </c>
      <c r="R2179" t="s">
        <v>6067</v>
      </c>
      <c r="S2179" t="s">
        <v>6073</v>
      </c>
    </row>
    <row r="2180" spans="1:19" ht="14.25" customHeight="1" x14ac:dyDescent="0.3">
      <c r="A2180" t="s">
        <v>5409</v>
      </c>
      <c r="B2180" t="s">
        <v>4841</v>
      </c>
      <c r="C2180" t="s">
        <v>3538</v>
      </c>
      <c r="D2180" t="s">
        <v>5900</v>
      </c>
      <c r="E2180" t="s">
        <v>5901</v>
      </c>
      <c r="F2180" t="s">
        <v>6059</v>
      </c>
      <c r="G2180" s="2" t="str">
        <f>HYPERLINK("https://www.facebook.com/100000311407549/posts/1777757778911252?comment_id=1778648078822222")</f>
        <v>https://www.facebook.com/100000311407549/posts/1777757778911252?comment_id=1778648078822222</v>
      </c>
      <c r="H2180" t="s">
        <v>6061</v>
      </c>
      <c r="I2180" t="s">
        <v>5902</v>
      </c>
      <c r="J2180" s="2" t="str">
        <f>HYPERLINK("https://www.facebook.com/1158047198")</f>
        <v>https://www.facebook.com/1158047198</v>
      </c>
      <c r="K2180">
        <v>0</v>
      </c>
      <c r="L2180" t="s">
        <v>6064</v>
      </c>
      <c r="N2180" t="s">
        <v>13</v>
      </c>
      <c r="O2180" t="s">
        <v>5903</v>
      </c>
      <c r="P2180" s="2" t="str">
        <f>HYPERLINK("https://www.facebook.com/100000311407549")</f>
        <v>https://www.facebook.com/100000311407549</v>
      </c>
      <c r="Q2180">
        <v>1169</v>
      </c>
      <c r="R2180" t="s">
        <v>6067</v>
      </c>
      <c r="S2180" t="s">
        <v>6083</v>
      </c>
    </row>
    <row r="2181" spans="1:19" ht="14.25" customHeight="1" x14ac:dyDescent="0.3">
      <c r="A2181" t="s">
        <v>5409</v>
      </c>
      <c r="B2181" t="s">
        <v>5753</v>
      </c>
      <c r="C2181" t="s">
        <v>3538</v>
      </c>
      <c r="D2181" t="s">
        <v>3757</v>
      </c>
      <c r="E2181" t="s">
        <v>5754</v>
      </c>
      <c r="F2181" t="s">
        <v>6059</v>
      </c>
      <c r="G2181" s="2" t="str">
        <f>HYPERLINK("https://www.facebook.com/1676376791/posts/10209685538090004?comment_id=10209686702119104")</f>
        <v>https://www.facebook.com/1676376791/posts/10209685538090004?comment_id=10209686702119104</v>
      </c>
      <c r="H2181" t="s">
        <v>6061</v>
      </c>
      <c r="I2181" t="s">
        <v>5755</v>
      </c>
      <c r="J2181" s="2" t="str">
        <f>HYPERLINK("https://www.facebook.com/100001285283129")</f>
        <v>https://www.facebook.com/100001285283129</v>
      </c>
      <c r="K2181">
        <v>128</v>
      </c>
      <c r="L2181" t="s">
        <v>6063</v>
      </c>
      <c r="N2181" t="s">
        <v>13</v>
      </c>
      <c r="O2181" t="s">
        <v>3760</v>
      </c>
      <c r="P2181" s="2" t="str">
        <f>HYPERLINK("https://www.facebook.com/1676376791")</f>
        <v>https://www.facebook.com/1676376791</v>
      </c>
      <c r="Q2181">
        <v>4013</v>
      </c>
      <c r="R2181" t="s">
        <v>6067</v>
      </c>
      <c r="S2181" t="s">
        <v>6073</v>
      </c>
    </row>
    <row r="2182" spans="1:19" ht="14.25" customHeight="1" x14ac:dyDescent="0.3">
      <c r="A2182" t="s">
        <v>2225</v>
      </c>
      <c r="B2182" t="s">
        <v>294</v>
      </c>
      <c r="C2182" t="s">
        <v>95</v>
      </c>
      <c r="D2182" t="s">
        <v>3206</v>
      </c>
      <c r="E2182" t="s">
        <v>3367</v>
      </c>
      <c r="F2182" t="s">
        <v>6059</v>
      </c>
      <c r="G2182" s="2" t="str">
        <f>HYPERLINK("https://www.facebook.com/100008934274771/posts/1810029789304813?comment_id=1810042905970168")</f>
        <v>https://www.facebook.com/100008934274771/posts/1810029789304813?comment_id=1810042905970168</v>
      </c>
      <c r="H2182" t="s">
        <v>6061</v>
      </c>
      <c r="I2182" t="s">
        <v>3368</v>
      </c>
      <c r="J2182" s="2" t="str">
        <f>HYPERLINK("https://www.facebook.com/100003336196393")</f>
        <v>https://www.facebook.com/100003336196393</v>
      </c>
      <c r="K2182">
        <v>2518</v>
      </c>
      <c r="L2182" t="s">
        <v>6063</v>
      </c>
      <c r="N2182" t="s">
        <v>13</v>
      </c>
      <c r="O2182" t="s">
        <v>856</v>
      </c>
      <c r="P2182" s="2" t="str">
        <f>HYPERLINK("https://www.facebook.com/100008934274771")</f>
        <v>https://www.facebook.com/100008934274771</v>
      </c>
      <c r="Q2182">
        <v>10395</v>
      </c>
      <c r="R2182" t="s">
        <v>6067</v>
      </c>
      <c r="S2182" t="s">
        <v>6073</v>
      </c>
    </row>
    <row r="2183" spans="1:19" ht="14.25" customHeight="1" x14ac:dyDescent="0.3">
      <c r="A2183" t="s">
        <v>4439</v>
      </c>
      <c r="B2183" t="s">
        <v>499</v>
      </c>
      <c r="C2183" t="s">
        <v>3538</v>
      </c>
      <c r="D2183" t="s">
        <v>4865</v>
      </c>
      <c r="E2183" t="s">
        <v>4870</v>
      </c>
      <c r="F2183" t="s">
        <v>6056</v>
      </c>
      <c r="G2183" s="2" t="str">
        <f>HYPERLINK("https://www.facebook.com/100007037285961/posts/1901046466806578")</f>
        <v>https://www.facebook.com/100007037285961/posts/1901046466806578</v>
      </c>
      <c r="H2183" t="s">
        <v>6061</v>
      </c>
      <c r="I2183" t="s">
        <v>4871</v>
      </c>
      <c r="J2183" s="2" t="str">
        <f>HYPERLINK("https://www.facebook.com/100007037285961")</f>
        <v>https://www.facebook.com/100007037285961</v>
      </c>
      <c r="K2183">
        <v>5378</v>
      </c>
      <c r="L2183" t="s">
        <v>6063</v>
      </c>
      <c r="N2183" t="s">
        <v>13</v>
      </c>
      <c r="O2183" t="s">
        <v>4871</v>
      </c>
      <c r="P2183" s="2" t="str">
        <f>HYPERLINK("https://www.facebook.com/100007037285961")</f>
        <v>https://www.facebook.com/100007037285961</v>
      </c>
      <c r="Q2183">
        <v>5378</v>
      </c>
      <c r="R2183" t="s">
        <v>6067</v>
      </c>
      <c r="S2183" t="s">
        <v>6073</v>
      </c>
    </row>
    <row r="2184" spans="1:19" ht="14.25" customHeight="1" x14ac:dyDescent="0.3">
      <c r="A2184" t="s">
        <v>2225</v>
      </c>
      <c r="B2184" t="s">
        <v>1238</v>
      </c>
      <c r="C2184" t="s">
        <v>95</v>
      </c>
      <c r="D2184" t="s">
        <v>1409</v>
      </c>
      <c r="E2184" t="s">
        <v>3187</v>
      </c>
      <c r="F2184" t="s">
        <v>6059</v>
      </c>
      <c r="G2184" s="2" t="str">
        <f>HYPERLINK("https://www.facebook.com/1188505182/posts/10214974858303441?comment_id=10214975002267040")</f>
        <v>https://www.facebook.com/1188505182/posts/10214974858303441?comment_id=10214975002267040</v>
      </c>
      <c r="H2184" t="s">
        <v>6061</v>
      </c>
      <c r="I2184" t="s">
        <v>3188</v>
      </c>
      <c r="J2184" s="2" t="str">
        <f>HYPERLINK("https://www.facebook.com/1458223881")</f>
        <v>https://www.facebook.com/1458223881</v>
      </c>
      <c r="K2184">
        <v>184</v>
      </c>
      <c r="L2184" t="s">
        <v>6063</v>
      </c>
      <c r="N2184" t="s">
        <v>13</v>
      </c>
      <c r="O2184" t="s">
        <v>1411</v>
      </c>
      <c r="P2184" s="2" t="str">
        <f>HYPERLINK("https://www.facebook.com/1188505182")</f>
        <v>https://www.facebook.com/1188505182</v>
      </c>
      <c r="Q2184">
        <v>542</v>
      </c>
      <c r="R2184" t="s">
        <v>6067</v>
      </c>
      <c r="S2184" t="s">
        <v>6073</v>
      </c>
    </row>
    <row r="2185" spans="1:19" ht="14.25" customHeight="1" x14ac:dyDescent="0.3">
      <c r="A2185" t="s">
        <v>629</v>
      </c>
      <c r="B2185" t="s">
        <v>226</v>
      </c>
      <c r="C2185" t="s">
        <v>95</v>
      </c>
      <c r="D2185" t="s">
        <v>1437</v>
      </c>
      <c r="E2185" t="s">
        <v>1438</v>
      </c>
      <c r="F2185" t="s">
        <v>6059</v>
      </c>
      <c r="G2185" s="2" t="str">
        <f>HYPERLINK("https://www.facebook.com/100001180906559/posts/1642867705762577?comment_id=1642876892428325")</f>
        <v>https://www.facebook.com/100001180906559/posts/1642867705762577?comment_id=1642876892428325</v>
      </c>
      <c r="H2185" t="s">
        <v>6061</v>
      </c>
      <c r="I2185" t="s">
        <v>1439</v>
      </c>
      <c r="J2185" s="2" t="str">
        <f>HYPERLINK("https://www.facebook.com/1282564181")</f>
        <v>https://www.facebook.com/1282564181</v>
      </c>
      <c r="K2185">
        <v>844</v>
      </c>
      <c r="L2185" t="s">
        <v>6063</v>
      </c>
      <c r="N2185" t="s">
        <v>13</v>
      </c>
      <c r="O2185" t="s">
        <v>1440</v>
      </c>
      <c r="P2185" s="2" t="str">
        <f>HYPERLINK("https://www.facebook.com/100001180906559")</f>
        <v>https://www.facebook.com/100001180906559</v>
      </c>
      <c r="Q2185">
        <v>385</v>
      </c>
      <c r="R2185" t="s">
        <v>6067</v>
      </c>
      <c r="S2185" t="s">
        <v>6108</v>
      </c>
    </row>
    <row r="2186" spans="1:19" ht="14.25" customHeight="1" x14ac:dyDescent="0.3">
      <c r="A2186" t="s">
        <v>629</v>
      </c>
      <c r="B2186" t="s">
        <v>1444</v>
      </c>
      <c r="C2186" t="s">
        <v>95</v>
      </c>
      <c r="D2186" t="s">
        <v>1437</v>
      </c>
      <c r="E2186" t="s">
        <v>1445</v>
      </c>
      <c r="F2186" t="s">
        <v>6059</v>
      </c>
      <c r="G2186" s="2" t="str">
        <f>HYPERLINK("https://www.facebook.com/100001180906559/posts/1642867705762577?comment_id=1642875475761800")</f>
        <v>https://www.facebook.com/100001180906559/posts/1642867705762577?comment_id=1642875475761800</v>
      </c>
      <c r="H2186" t="s">
        <v>6061</v>
      </c>
      <c r="I2186" t="s">
        <v>1439</v>
      </c>
      <c r="J2186" s="2" t="str">
        <f>HYPERLINK("https://www.facebook.com/1282564181")</f>
        <v>https://www.facebook.com/1282564181</v>
      </c>
      <c r="K2186">
        <v>844</v>
      </c>
      <c r="L2186" t="s">
        <v>6063</v>
      </c>
      <c r="N2186" t="s">
        <v>13</v>
      </c>
      <c r="O2186" t="s">
        <v>1440</v>
      </c>
      <c r="P2186" s="2" t="str">
        <f>HYPERLINK("https://www.facebook.com/100001180906559")</f>
        <v>https://www.facebook.com/100001180906559</v>
      </c>
      <c r="Q2186">
        <v>385</v>
      </c>
      <c r="R2186" t="s">
        <v>6067</v>
      </c>
      <c r="S2186" t="s">
        <v>6108</v>
      </c>
    </row>
    <row r="2187" spans="1:19" ht="14.25" customHeight="1" x14ac:dyDescent="0.3">
      <c r="A2187" t="s">
        <v>629</v>
      </c>
      <c r="B2187" t="s">
        <v>231</v>
      </c>
      <c r="C2187" t="s">
        <v>95</v>
      </c>
      <c r="D2187" t="s">
        <v>1437</v>
      </c>
      <c r="E2187" t="s">
        <v>1442</v>
      </c>
      <c r="F2187" t="s">
        <v>6059</v>
      </c>
      <c r="G2187" s="2" t="str">
        <f>HYPERLINK("https://www.facebook.com/100001180906559/posts/1642867705762577?comment_id=1642876212428393")</f>
        <v>https://www.facebook.com/100001180906559/posts/1642867705762577?comment_id=1642876212428393</v>
      </c>
      <c r="H2187" t="s">
        <v>6061</v>
      </c>
      <c r="I2187" t="s">
        <v>1439</v>
      </c>
      <c r="J2187" s="2" t="str">
        <f>HYPERLINK("https://www.facebook.com/1282564181")</f>
        <v>https://www.facebook.com/1282564181</v>
      </c>
      <c r="K2187">
        <v>844</v>
      </c>
      <c r="L2187" t="s">
        <v>6063</v>
      </c>
      <c r="N2187" t="s">
        <v>13</v>
      </c>
      <c r="O2187" t="s">
        <v>1440</v>
      </c>
      <c r="P2187" s="2" t="str">
        <f>HYPERLINK("https://www.facebook.com/100001180906559")</f>
        <v>https://www.facebook.com/100001180906559</v>
      </c>
      <c r="Q2187">
        <v>385</v>
      </c>
      <c r="R2187" t="s">
        <v>6067</v>
      </c>
      <c r="S2187" t="s">
        <v>6108</v>
      </c>
    </row>
    <row r="2188" spans="1:19" ht="14.25" customHeight="1" x14ac:dyDescent="0.3">
      <c r="A2188" t="s">
        <v>629</v>
      </c>
      <c r="B2188" t="s">
        <v>801</v>
      </c>
      <c r="C2188" t="s">
        <v>95</v>
      </c>
      <c r="D2188" t="s">
        <v>649</v>
      </c>
      <c r="E2188" t="s">
        <v>650</v>
      </c>
      <c r="F2188" t="s">
        <v>6058</v>
      </c>
      <c r="G2188" s="2" t="str">
        <f>HYPERLINK("https://www.facebook.com/1482399098728300/posts/1528376317463911")</f>
        <v>https://www.facebook.com/1482399098728300/posts/1528376317463911</v>
      </c>
      <c r="H2188" t="s">
        <v>6061</v>
      </c>
      <c r="I2188" t="s">
        <v>805</v>
      </c>
      <c r="J2188" s="2" t="str">
        <f>HYPERLINK("https://www.facebook.com/1482399098728300")</f>
        <v>https://www.facebook.com/1482399098728300</v>
      </c>
      <c r="K2188">
        <v>0</v>
      </c>
      <c r="L2188" t="s">
        <v>6065</v>
      </c>
      <c r="N2188" t="s">
        <v>13</v>
      </c>
      <c r="O2188" t="s">
        <v>805</v>
      </c>
      <c r="P2188" s="2" t="str">
        <f>HYPERLINK("https://www.facebook.com/1482399098728300")</f>
        <v>https://www.facebook.com/1482399098728300</v>
      </c>
      <c r="Q2188">
        <v>0</v>
      </c>
      <c r="R2188" t="s">
        <v>6067</v>
      </c>
    </row>
    <row r="2189" spans="1:19" ht="14.25" customHeight="1" x14ac:dyDescent="0.3">
      <c r="A2189" t="s">
        <v>2225</v>
      </c>
      <c r="B2189" t="s">
        <v>689</v>
      </c>
      <c r="C2189" t="s">
        <v>95</v>
      </c>
      <c r="D2189" t="s">
        <v>2239</v>
      </c>
      <c r="E2189" t="s">
        <v>2280</v>
      </c>
      <c r="F2189" t="s">
        <v>6059</v>
      </c>
      <c r="G2189" s="2" t="str">
        <f>HYPERLINK("https://www.facebook.com/100005959599476/posts/872836799591632?comment_id=872847869590525")</f>
        <v>https://www.facebook.com/100005959599476/posts/872836799591632?comment_id=872847869590525</v>
      </c>
      <c r="H2189" t="s">
        <v>6061</v>
      </c>
      <c r="I2189" t="s">
        <v>2281</v>
      </c>
      <c r="J2189" s="2" t="str">
        <f>HYPERLINK("https://www.facebook.com/100002965377965")</f>
        <v>https://www.facebook.com/100002965377965</v>
      </c>
      <c r="K2189">
        <v>6126</v>
      </c>
      <c r="L2189" t="s">
        <v>6063</v>
      </c>
      <c r="N2189" t="s">
        <v>13</v>
      </c>
      <c r="O2189" t="s">
        <v>2242</v>
      </c>
      <c r="P2189" s="2" t="str">
        <f>HYPERLINK("https://www.facebook.com/100005959599476")</f>
        <v>https://www.facebook.com/100005959599476</v>
      </c>
      <c r="Q2189">
        <v>3325</v>
      </c>
      <c r="R2189" t="s">
        <v>6067</v>
      </c>
      <c r="S2189" t="s">
        <v>6073</v>
      </c>
    </row>
    <row r="2190" spans="1:19" ht="14.25" customHeight="1" x14ac:dyDescent="0.3">
      <c r="A2190" t="s">
        <v>2225</v>
      </c>
      <c r="B2190" t="s">
        <v>1020</v>
      </c>
      <c r="C2190" t="s">
        <v>95</v>
      </c>
      <c r="D2190" t="s">
        <v>464</v>
      </c>
      <c r="E2190" t="s">
        <v>3106</v>
      </c>
      <c r="F2190" t="s">
        <v>6059</v>
      </c>
      <c r="G2190" s="2" t="str">
        <f>HYPERLINK("https://www.facebook.com/1362386453/posts/10216460219362335?comment_id=10216460396166755")</f>
        <v>https://www.facebook.com/1362386453/posts/10216460219362335?comment_id=10216460396166755</v>
      </c>
      <c r="H2190" t="s">
        <v>6061</v>
      </c>
      <c r="I2190" t="s">
        <v>3094</v>
      </c>
      <c r="J2190" s="2" t="str">
        <f>HYPERLINK("https://www.facebook.com/100001507308371")</f>
        <v>https://www.facebook.com/100001507308371</v>
      </c>
      <c r="K2190">
        <v>5776</v>
      </c>
      <c r="L2190" t="s">
        <v>6063</v>
      </c>
      <c r="N2190" t="s">
        <v>13</v>
      </c>
      <c r="O2190" t="s">
        <v>467</v>
      </c>
      <c r="P2190" s="2" t="str">
        <f>HYPERLINK("https://www.facebook.com/1362386453")</f>
        <v>https://www.facebook.com/1362386453</v>
      </c>
      <c r="Q2190">
        <v>3896</v>
      </c>
      <c r="R2190" t="s">
        <v>6067</v>
      </c>
      <c r="S2190" t="s">
        <v>6073</v>
      </c>
    </row>
    <row r="2191" spans="1:19" ht="14.25" customHeight="1" x14ac:dyDescent="0.3">
      <c r="A2191" t="s">
        <v>2225</v>
      </c>
      <c r="B2191" t="s">
        <v>3132</v>
      </c>
      <c r="C2191" t="s">
        <v>95</v>
      </c>
      <c r="D2191" t="s">
        <v>464</v>
      </c>
      <c r="E2191" t="s">
        <v>3133</v>
      </c>
      <c r="F2191" t="s">
        <v>6059</v>
      </c>
      <c r="G2191" s="2" t="str">
        <f>HYPERLINK("https://www.facebook.com/1362386453/posts/10216460219362335?comment_id=10216460310284608")</f>
        <v>https://www.facebook.com/1362386453/posts/10216460219362335?comment_id=10216460310284608</v>
      </c>
      <c r="H2191" t="s">
        <v>6061</v>
      </c>
      <c r="I2191" t="s">
        <v>3115</v>
      </c>
      <c r="J2191" s="2" t="str">
        <f>HYPERLINK("https://www.facebook.com/1397857161")</f>
        <v>https://www.facebook.com/1397857161</v>
      </c>
      <c r="K2191">
        <v>98</v>
      </c>
      <c r="N2191" t="s">
        <v>13</v>
      </c>
      <c r="O2191" t="s">
        <v>467</v>
      </c>
      <c r="P2191" s="2" t="str">
        <f>HYPERLINK("https://www.facebook.com/1362386453")</f>
        <v>https://www.facebook.com/1362386453</v>
      </c>
      <c r="Q2191">
        <v>3896</v>
      </c>
      <c r="R2191" t="s">
        <v>6067</v>
      </c>
      <c r="S2191" t="s">
        <v>6073</v>
      </c>
    </row>
    <row r="2192" spans="1:19" ht="14.25" customHeight="1" x14ac:dyDescent="0.3">
      <c r="A2192" t="s">
        <v>3527</v>
      </c>
      <c r="B2192" t="s">
        <v>107</v>
      </c>
      <c r="C2192" t="s">
        <v>95</v>
      </c>
      <c r="D2192" t="s">
        <v>690</v>
      </c>
      <c r="E2192" t="s">
        <v>691</v>
      </c>
      <c r="F2192" t="s">
        <v>6058</v>
      </c>
      <c r="G2192" s="2" t="str">
        <f>HYPERLINK("https://www.facebook.com/100004712176095/posts/1002814086552321")</f>
        <v>https://www.facebook.com/100004712176095/posts/1002814086552321</v>
      </c>
      <c r="H2192" t="s">
        <v>6061</v>
      </c>
      <c r="I2192" t="s">
        <v>3283</v>
      </c>
      <c r="J2192" s="2" t="str">
        <f>HYPERLINK("https://www.facebook.com/100004712176095")</f>
        <v>https://www.facebook.com/100004712176095</v>
      </c>
      <c r="K2192">
        <v>256</v>
      </c>
      <c r="L2192" t="s">
        <v>6064</v>
      </c>
      <c r="M2192">
        <v>30</v>
      </c>
      <c r="N2192" t="s">
        <v>13</v>
      </c>
      <c r="O2192" t="s">
        <v>3283</v>
      </c>
      <c r="P2192" s="2" t="str">
        <f>HYPERLINK("https://www.facebook.com/100004712176095")</f>
        <v>https://www.facebook.com/100004712176095</v>
      </c>
      <c r="Q2192">
        <v>256</v>
      </c>
      <c r="R2192" t="s">
        <v>6067</v>
      </c>
      <c r="S2192" t="s">
        <v>6073</v>
      </c>
    </row>
    <row r="2193" spans="1:19" ht="14.25" customHeight="1" x14ac:dyDescent="0.3">
      <c r="A2193" t="s">
        <v>5409</v>
      </c>
      <c r="B2193" t="s">
        <v>2018</v>
      </c>
      <c r="C2193" t="s">
        <v>3538</v>
      </c>
      <c r="D2193" t="s">
        <v>5913</v>
      </c>
      <c r="E2193" t="s">
        <v>5933</v>
      </c>
      <c r="F2193" t="s">
        <v>6059</v>
      </c>
      <c r="G2193" s="2" t="str">
        <f>HYPERLINK("https://www.facebook.com/1130867597/posts/10214595940868821?comment_id=10214619109808030")</f>
        <v>https://www.facebook.com/1130867597/posts/10214595940868821?comment_id=10214619109808030</v>
      </c>
      <c r="H2193" t="s">
        <v>6061</v>
      </c>
      <c r="I2193" t="s">
        <v>5915</v>
      </c>
      <c r="J2193" s="2" t="str">
        <f>HYPERLINK("https://www.facebook.com/100010298174429")</f>
        <v>https://www.facebook.com/100010298174429</v>
      </c>
      <c r="K2193">
        <v>0</v>
      </c>
      <c r="L2193" t="s">
        <v>6064</v>
      </c>
      <c r="N2193" t="s">
        <v>13</v>
      </c>
      <c r="O2193" t="s">
        <v>5916</v>
      </c>
      <c r="P2193" s="2" t="str">
        <f>HYPERLINK("https://www.facebook.com/1130867597")</f>
        <v>https://www.facebook.com/1130867597</v>
      </c>
      <c r="Q2193">
        <v>0</v>
      </c>
      <c r="R2193" t="s">
        <v>6067</v>
      </c>
      <c r="S2193" t="s">
        <v>6073</v>
      </c>
    </row>
    <row r="2194" spans="1:19" ht="14.25" customHeight="1" x14ac:dyDescent="0.3">
      <c r="A2194" t="s">
        <v>5409</v>
      </c>
      <c r="B2194" t="s">
        <v>1961</v>
      </c>
      <c r="C2194" t="s">
        <v>3538</v>
      </c>
      <c r="D2194" t="s">
        <v>5913</v>
      </c>
      <c r="E2194" t="s">
        <v>5914</v>
      </c>
      <c r="F2194" t="s">
        <v>6059</v>
      </c>
      <c r="G2194" s="2" t="str">
        <f>HYPERLINK("https://www.facebook.com/1130867597/posts/10214595940868821?comment_id=10214619186169939")</f>
        <v>https://www.facebook.com/1130867597/posts/10214595940868821?comment_id=10214619186169939</v>
      </c>
      <c r="H2194" t="s">
        <v>6061</v>
      </c>
      <c r="I2194" t="s">
        <v>5915</v>
      </c>
      <c r="J2194" s="2" t="str">
        <f>HYPERLINK("https://www.facebook.com/100010298174429")</f>
        <v>https://www.facebook.com/100010298174429</v>
      </c>
      <c r="K2194">
        <v>0</v>
      </c>
      <c r="L2194" t="s">
        <v>6064</v>
      </c>
      <c r="N2194" t="s">
        <v>13</v>
      </c>
      <c r="O2194" t="s">
        <v>5916</v>
      </c>
      <c r="P2194" s="2" t="str">
        <f>HYPERLINK("https://www.facebook.com/1130867597")</f>
        <v>https://www.facebook.com/1130867597</v>
      </c>
      <c r="Q2194">
        <v>0</v>
      </c>
      <c r="R2194" t="s">
        <v>6067</v>
      </c>
      <c r="S2194" t="s">
        <v>6073</v>
      </c>
    </row>
    <row r="2195" spans="1:19" ht="14.25" customHeight="1" x14ac:dyDescent="0.3">
      <c r="A2195" t="s">
        <v>5409</v>
      </c>
      <c r="B2195" t="s">
        <v>2024</v>
      </c>
      <c r="C2195" t="s">
        <v>3538</v>
      </c>
      <c r="D2195" t="s">
        <v>5913</v>
      </c>
      <c r="E2195" t="s">
        <v>5936</v>
      </c>
      <c r="F2195" t="s">
        <v>6059</v>
      </c>
      <c r="G2195" s="2" t="str">
        <f>HYPERLINK("https://www.facebook.com/1130867597/posts/10214595940868821?comment_id=10214619101367819")</f>
        <v>https://www.facebook.com/1130867597/posts/10214595940868821?comment_id=10214619101367819</v>
      </c>
      <c r="H2195" t="s">
        <v>6061</v>
      </c>
      <c r="I2195" t="s">
        <v>5915</v>
      </c>
      <c r="J2195" s="2" t="str">
        <f>HYPERLINK("https://www.facebook.com/100010298174429")</f>
        <v>https://www.facebook.com/100010298174429</v>
      </c>
      <c r="K2195">
        <v>0</v>
      </c>
      <c r="L2195" t="s">
        <v>6064</v>
      </c>
      <c r="N2195" t="s">
        <v>13</v>
      </c>
      <c r="O2195" t="s">
        <v>5916</v>
      </c>
      <c r="P2195" s="2" t="str">
        <f>HYPERLINK("https://www.facebook.com/1130867597")</f>
        <v>https://www.facebook.com/1130867597</v>
      </c>
      <c r="Q2195">
        <v>0</v>
      </c>
      <c r="R2195" t="s">
        <v>6067</v>
      </c>
      <c r="S2195" t="s">
        <v>6073</v>
      </c>
    </row>
    <row r="2196" spans="1:19" ht="14.25" customHeight="1" x14ac:dyDescent="0.3">
      <c r="A2196" t="s">
        <v>3527</v>
      </c>
      <c r="B2196" t="s">
        <v>3589</v>
      </c>
      <c r="C2196" t="s">
        <v>95</v>
      </c>
      <c r="D2196" t="s">
        <v>3592</v>
      </c>
      <c r="E2196" t="s">
        <v>3593</v>
      </c>
      <c r="F2196" t="s">
        <v>6059</v>
      </c>
      <c r="G2196" s="2" t="str">
        <f>HYPERLINK("https://www.facebook.com/100001476427197/posts/1949580811767781?comment_id=1949585505100645")</f>
        <v>https://www.facebook.com/100001476427197/posts/1949580811767781?comment_id=1949585505100645</v>
      </c>
      <c r="H2196" t="s">
        <v>6061</v>
      </c>
      <c r="I2196" t="s">
        <v>3594</v>
      </c>
      <c r="J2196" s="2" t="str">
        <f>HYPERLINK("https://www.facebook.com/100003561767890")</f>
        <v>https://www.facebook.com/100003561767890</v>
      </c>
      <c r="K2196">
        <v>769</v>
      </c>
      <c r="L2196" t="s">
        <v>6064</v>
      </c>
      <c r="N2196" t="s">
        <v>13</v>
      </c>
      <c r="O2196" t="s">
        <v>3595</v>
      </c>
      <c r="P2196" s="2" t="str">
        <f>HYPERLINK("https://www.facebook.com/100001476427197")</f>
        <v>https://www.facebook.com/100001476427197</v>
      </c>
      <c r="Q2196">
        <v>2645</v>
      </c>
      <c r="R2196" t="s">
        <v>6067</v>
      </c>
      <c r="S2196" t="s">
        <v>6073</v>
      </c>
    </row>
    <row r="2197" spans="1:19" ht="14.25" customHeight="1" x14ac:dyDescent="0.3">
      <c r="A2197" t="s">
        <v>4995</v>
      </c>
      <c r="B2197" t="s">
        <v>2000</v>
      </c>
      <c r="C2197" t="s">
        <v>3538</v>
      </c>
      <c r="D2197" t="s">
        <v>5311</v>
      </c>
      <c r="E2197" t="s">
        <v>5343</v>
      </c>
      <c r="F2197" t="s">
        <v>6059</v>
      </c>
      <c r="G2197" s="2" t="str">
        <f>HYPERLINK("https://www.facebook.com/1529329267308888/posts/2058800057695137?comment_id=2059116330996843")</f>
        <v>https://www.facebook.com/1529329267308888/posts/2058800057695137?comment_id=2059116330996843</v>
      </c>
      <c r="H2197" t="s">
        <v>6061</v>
      </c>
      <c r="I2197" t="s">
        <v>5344</v>
      </c>
      <c r="J2197" s="2" t="str">
        <f>HYPERLINK("https://www.facebook.com/100005255353245")</f>
        <v>https://www.facebook.com/100005255353245</v>
      </c>
      <c r="K2197">
        <v>0</v>
      </c>
      <c r="L2197" t="s">
        <v>6064</v>
      </c>
      <c r="N2197" t="s">
        <v>13</v>
      </c>
      <c r="O2197" t="s">
        <v>4471</v>
      </c>
      <c r="P2197" s="2" t="str">
        <f>HYPERLINK("https://www.facebook.com/1529329267308888")</f>
        <v>https://www.facebook.com/1529329267308888</v>
      </c>
      <c r="R2197" t="s">
        <v>6067</v>
      </c>
      <c r="S2197" t="s">
        <v>6073</v>
      </c>
    </row>
    <row r="2198" spans="1:19" ht="14.25" customHeight="1" x14ac:dyDescent="0.3">
      <c r="A2198" t="s">
        <v>629</v>
      </c>
      <c r="B2198" t="s">
        <v>801</v>
      </c>
      <c r="C2198" t="s">
        <v>95</v>
      </c>
      <c r="D2198" t="s">
        <v>649</v>
      </c>
      <c r="E2198" t="s">
        <v>650</v>
      </c>
      <c r="F2198" t="s">
        <v>6058</v>
      </c>
      <c r="G2198" s="2" t="str">
        <f>HYPERLINK("https://www.facebook.com/638516102864241/posts/1642051935843981")</f>
        <v>https://www.facebook.com/638516102864241/posts/1642051935843981</v>
      </c>
      <c r="H2198" t="s">
        <v>6061</v>
      </c>
      <c r="I2198" t="s">
        <v>806</v>
      </c>
      <c r="J2198" s="2" t="str">
        <f>HYPERLINK("https://www.facebook.com/638516102864241")</f>
        <v>https://www.facebook.com/638516102864241</v>
      </c>
      <c r="K2198">
        <v>61</v>
      </c>
      <c r="L2198" t="s">
        <v>6065</v>
      </c>
      <c r="N2198" t="s">
        <v>13</v>
      </c>
      <c r="O2198" t="s">
        <v>806</v>
      </c>
      <c r="P2198" s="2" t="str">
        <f>HYPERLINK("https://www.facebook.com/638516102864241")</f>
        <v>https://www.facebook.com/638516102864241</v>
      </c>
      <c r="Q2198">
        <v>61</v>
      </c>
      <c r="R2198" t="s">
        <v>6067</v>
      </c>
    </row>
    <row r="2199" spans="1:19" ht="14.25" customHeight="1" x14ac:dyDescent="0.3">
      <c r="A2199" t="s">
        <v>629</v>
      </c>
      <c r="B2199" t="s">
        <v>807</v>
      </c>
      <c r="C2199" t="s">
        <v>95</v>
      </c>
      <c r="D2199" t="s">
        <v>652</v>
      </c>
      <c r="E2199" t="s">
        <v>653</v>
      </c>
      <c r="F2199" t="s">
        <v>6058</v>
      </c>
      <c r="G2199" s="2" t="str">
        <f>HYPERLINK("https://www.facebook.com/638516102864241/posts/1642051675844007")</f>
        <v>https://www.facebook.com/638516102864241/posts/1642051675844007</v>
      </c>
      <c r="H2199" t="s">
        <v>6061</v>
      </c>
      <c r="I2199" t="s">
        <v>806</v>
      </c>
      <c r="J2199" s="2" t="str">
        <f>HYPERLINK("https://www.facebook.com/638516102864241")</f>
        <v>https://www.facebook.com/638516102864241</v>
      </c>
      <c r="K2199">
        <v>61</v>
      </c>
      <c r="L2199" t="s">
        <v>6065</v>
      </c>
      <c r="N2199" t="s">
        <v>13</v>
      </c>
      <c r="O2199" t="s">
        <v>806</v>
      </c>
      <c r="P2199" s="2" t="str">
        <f>HYPERLINK("https://www.facebook.com/638516102864241")</f>
        <v>https://www.facebook.com/638516102864241</v>
      </c>
      <c r="Q2199">
        <v>61</v>
      </c>
      <c r="R2199" t="s">
        <v>6067</v>
      </c>
    </row>
    <row r="2200" spans="1:19" ht="14.25" customHeight="1" x14ac:dyDescent="0.3">
      <c r="A2200" t="s">
        <v>2225</v>
      </c>
      <c r="B2200" t="s">
        <v>2319</v>
      </c>
      <c r="C2200" t="s">
        <v>95</v>
      </c>
      <c r="D2200" t="s">
        <v>2196</v>
      </c>
      <c r="E2200" t="s">
        <v>2320</v>
      </c>
      <c r="F2200" t="s">
        <v>6059</v>
      </c>
      <c r="G2200" s="2" t="str">
        <f>HYPERLINK("https://www.facebook.com/100001415260849/posts/1744734525583706?comment_id=1746524372071388")</f>
        <v>https://www.facebook.com/100001415260849/posts/1744734525583706?comment_id=1746524372071388</v>
      </c>
      <c r="H2200" t="s">
        <v>6061</v>
      </c>
      <c r="I2200" t="s">
        <v>2317</v>
      </c>
      <c r="J2200" s="2" t="str">
        <f>HYPERLINK("https://www.facebook.com/100000289016679")</f>
        <v>https://www.facebook.com/100000289016679</v>
      </c>
      <c r="K2200">
        <v>701</v>
      </c>
      <c r="L2200" t="s">
        <v>6063</v>
      </c>
      <c r="N2200" t="s">
        <v>13</v>
      </c>
      <c r="O2200" t="s">
        <v>2199</v>
      </c>
      <c r="P2200" s="2" t="str">
        <f>HYPERLINK("https://www.facebook.com/100001415260849")</f>
        <v>https://www.facebook.com/100001415260849</v>
      </c>
      <c r="Q2200">
        <v>0</v>
      </c>
      <c r="R2200" t="s">
        <v>6067</v>
      </c>
      <c r="S2200" t="s">
        <v>6073</v>
      </c>
    </row>
    <row r="2201" spans="1:19" ht="14.25" customHeight="1" x14ac:dyDescent="0.3">
      <c r="A2201" t="s">
        <v>2225</v>
      </c>
      <c r="B2201" t="s">
        <v>2315</v>
      </c>
      <c r="C2201" t="s">
        <v>95</v>
      </c>
      <c r="D2201" t="s">
        <v>2196</v>
      </c>
      <c r="E2201" t="s">
        <v>2316</v>
      </c>
      <c r="F2201" t="s">
        <v>6059</v>
      </c>
      <c r="G2201" s="2" t="str">
        <f>HYPERLINK("https://www.facebook.com/100001415260849/posts/1744734525583706?comment_id=1746524932071332")</f>
        <v>https://www.facebook.com/100001415260849/posts/1744734525583706?comment_id=1746524932071332</v>
      </c>
      <c r="H2201" t="s">
        <v>6061</v>
      </c>
      <c r="I2201" t="s">
        <v>2317</v>
      </c>
      <c r="J2201" s="2" t="str">
        <f>HYPERLINK("https://www.facebook.com/100000289016679")</f>
        <v>https://www.facebook.com/100000289016679</v>
      </c>
      <c r="K2201">
        <v>701</v>
      </c>
      <c r="L2201" t="s">
        <v>6063</v>
      </c>
      <c r="N2201" t="s">
        <v>13</v>
      </c>
      <c r="O2201" t="s">
        <v>2199</v>
      </c>
      <c r="P2201" s="2" t="str">
        <f>HYPERLINK("https://www.facebook.com/100001415260849")</f>
        <v>https://www.facebook.com/100001415260849</v>
      </c>
      <c r="Q2201">
        <v>0</v>
      </c>
      <c r="R2201" t="s">
        <v>6067</v>
      </c>
      <c r="S2201" t="s">
        <v>6073</v>
      </c>
    </row>
    <row r="2202" spans="1:19" ht="14.25" customHeight="1" x14ac:dyDescent="0.3">
      <c r="A2202" t="s">
        <v>2225</v>
      </c>
      <c r="B2202" t="s">
        <v>3270</v>
      </c>
      <c r="C2202" t="s">
        <v>95</v>
      </c>
      <c r="D2202" t="s">
        <v>2196</v>
      </c>
      <c r="E2202" t="s">
        <v>3271</v>
      </c>
      <c r="F2202" t="s">
        <v>6059</v>
      </c>
      <c r="G2202" s="2" t="str">
        <f>HYPERLINK("https://www.facebook.com/100001415260849/posts/1744734525583706?comment_id=1745901105467048")</f>
        <v>https://www.facebook.com/100001415260849/posts/1744734525583706?comment_id=1745901105467048</v>
      </c>
      <c r="H2202" t="s">
        <v>6061</v>
      </c>
      <c r="I2202" t="s">
        <v>2317</v>
      </c>
      <c r="J2202" s="2" t="str">
        <f>HYPERLINK("https://www.facebook.com/100000289016679")</f>
        <v>https://www.facebook.com/100000289016679</v>
      </c>
      <c r="K2202">
        <v>701</v>
      </c>
      <c r="L2202" t="s">
        <v>6063</v>
      </c>
      <c r="N2202" t="s">
        <v>13</v>
      </c>
      <c r="O2202" t="s">
        <v>2199</v>
      </c>
      <c r="P2202" s="2" t="str">
        <f>HYPERLINK("https://www.facebook.com/100001415260849")</f>
        <v>https://www.facebook.com/100001415260849</v>
      </c>
      <c r="Q2202">
        <v>0</v>
      </c>
      <c r="R2202" t="s">
        <v>6067</v>
      </c>
      <c r="S2202" t="s">
        <v>6073</v>
      </c>
    </row>
    <row r="2203" spans="1:19" ht="14.25" customHeight="1" x14ac:dyDescent="0.3">
      <c r="A2203" t="s">
        <v>3527</v>
      </c>
      <c r="B2203" t="s">
        <v>1368</v>
      </c>
      <c r="C2203" t="s">
        <v>3538</v>
      </c>
      <c r="D2203" t="s">
        <v>690</v>
      </c>
      <c r="E2203" t="s">
        <v>4188</v>
      </c>
      <c r="F2203" t="s">
        <v>6059</v>
      </c>
      <c r="G2203" s="2" t="str">
        <f>HYPERLINK("https://www.facebook.com/278105015535592/posts/1935377959808281?comment_id=1935465723132838")</f>
        <v>https://www.facebook.com/278105015535592/posts/1935377959808281?comment_id=1935465723132838</v>
      </c>
      <c r="H2203" t="s">
        <v>6061</v>
      </c>
      <c r="I2203" t="s">
        <v>4189</v>
      </c>
      <c r="J2203" s="2" t="str">
        <f>HYPERLINK("https://www.facebook.com/100006687559156")</f>
        <v>https://www.facebook.com/100006687559156</v>
      </c>
      <c r="K2203">
        <v>90</v>
      </c>
      <c r="L2203" t="s">
        <v>6063</v>
      </c>
      <c r="N2203" t="s">
        <v>13</v>
      </c>
      <c r="O2203" t="s">
        <v>996</v>
      </c>
      <c r="P2203" s="2" t="str">
        <f>HYPERLINK("https://www.facebook.com/278105015535592")</f>
        <v>https://www.facebook.com/278105015535592</v>
      </c>
      <c r="Q2203">
        <v>4845</v>
      </c>
      <c r="R2203" t="s">
        <v>6067</v>
      </c>
      <c r="S2203" t="s">
        <v>6073</v>
      </c>
    </row>
    <row r="2204" spans="1:19" ht="14.25" customHeight="1" x14ac:dyDescent="0.3">
      <c r="A2204" t="s">
        <v>629</v>
      </c>
      <c r="B2204" t="s">
        <v>1149</v>
      </c>
      <c r="C2204" t="s">
        <v>95</v>
      </c>
      <c r="D2204" t="s">
        <v>10</v>
      </c>
      <c r="E2204" t="s">
        <v>1150</v>
      </c>
      <c r="F2204" t="s">
        <v>6059</v>
      </c>
      <c r="G2204" s="2" t="str">
        <f>HYPERLINK("https://www.facebook.com/762053551/posts/10156366210158552?comment_id=10156366284258552")</f>
        <v>https://www.facebook.com/762053551/posts/10156366210158552?comment_id=10156366284258552</v>
      </c>
      <c r="H2204" t="s">
        <v>6061</v>
      </c>
      <c r="I2204" t="s">
        <v>1013</v>
      </c>
      <c r="J2204" s="2" t="str">
        <f>HYPERLINK("https://www.facebook.com/100008211015523")</f>
        <v>https://www.facebook.com/100008211015523</v>
      </c>
      <c r="K2204">
        <v>0</v>
      </c>
      <c r="L2204" t="s">
        <v>6063</v>
      </c>
      <c r="N2204" t="s">
        <v>13</v>
      </c>
      <c r="O2204" t="s">
        <v>14</v>
      </c>
      <c r="P2204" s="2" t="str">
        <f>HYPERLINK("https://www.facebook.com/762053551")</f>
        <v>https://www.facebook.com/762053551</v>
      </c>
      <c r="Q2204">
        <v>102347</v>
      </c>
      <c r="R2204" t="s">
        <v>6067</v>
      </c>
      <c r="S2204" t="s">
        <v>6073</v>
      </c>
    </row>
    <row r="2205" spans="1:19" ht="14.25" customHeight="1" x14ac:dyDescent="0.3">
      <c r="A2205" t="s">
        <v>3527</v>
      </c>
      <c r="B2205" t="s">
        <v>3245</v>
      </c>
      <c r="C2205" t="s">
        <v>95</v>
      </c>
      <c r="D2205" t="s">
        <v>3241</v>
      </c>
      <c r="E2205" t="s">
        <v>4175</v>
      </c>
      <c r="F2205" t="s">
        <v>6059</v>
      </c>
      <c r="G2205" s="2" t="str">
        <f>HYPERLINK("https://www.facebook.com/100000538983327/posts/2120112121350067?comment_id=2121478531213426")</f>
        <v>https://www.facebook.com/100000538983327/posts/2120112121350067?comment_id=2121478531213426</v>
      </c>
      <c r="H2205" t="s">
        <v>6061</v>
      </c>
      <c r="I2205" t="s">
        <v>3244</v>
      </c>
      <c r="J2205" s="2" t="str">
        <f>HYPERLINK("https://www.facebook.com/100000538983327")</f>
        <v>https://www.facebook.com/100000538983327</v>
      </c>
      <c r="K2205">
        <v>1466</v>
      </c>
      <c r="L2205" t="s">
        <v>6063</v>
      </c>
      <c r="N2205" t="s">
        <v>13</v>
      </c>
      <c r="O2205" t="s">
        <v>3244</v>
      </c>
      <c r="P2205" s="2" t="str">
        <f>HYPERLINK("https://www.facebook.com/100000538983327")</f>
        <v>https://www.facebook.com/100000538983327</v>
      </c>
      <c r="Q2205">
        <v>1466</v>
      </c>
      <c r="R2205" t="s">
        <v>6067</v>
      </c>
      <c r="S2205" t="s">
        <v>6073</v>
      </c>
    </row>
    <row r="2206" spans="1:19" ht="14.25" customHeight="1" x14ac:dyDescent="0.3">
      <c r="A2206" t="s">
        <v>3527</v>
      </c>
      <c r="B2206" t="s">
        <v>3245</v>
      </c>
      <c r="C2206" t="s">
        <v>95</v>
      </c>
      <c r="D2206" t="s">
        <v>3241</v>
      </c>
      <c r="E2206" t="s">
        <v>4177</v>
      </c>
      <c r="F2206" t="s">
        <v>6059</v>
      </c>
      <c r="G2206" s="2" t="str">
        <f>HYPERLINK("https://www.facebook.com/100000538983327/posts/2120112121350067?comment_id=2121478427880103")</f>
        <v>https://www.facebook.com/100000538983327/posts/2120112121350067?comment_id=2121478427880103</v>
      </c>
      <c r="H2206" t="s">
        <v>6061</v>
      </c>
      <c r="I2206" t="s">
        <v>3244</v>
      </c>
      <c r="J2206" s="2" t="str">
        <f>HYPERLINK("https://www.facebook.com/100000538983327")</f>
        <v>https://www.facebook.com/100000538983327</v>
      </c>
      <c r="K2206">
        <v>1466</v>
      </c>
      <c r="L2206" t="s">
        <v>6063</v>
      </c>
      <c r="N2206" t="s">
        <v>13</v>
      </c>
      <c r="O2206" t="s">
        <v>3244</v>
      </c>
      <c r="P2206" s="2" t="str">
        <f>HYPERLINK("https://www.facebook.com/100000538983327")</f>
        <v>https://www.facebook.com/100000538983327</v>
      </c>
      <c r="Q2206">
        <v>1466</v>
      </c>
      <c r="R2206" t="s">
        <v>6067</v>
      </c>
      <c r="S2206" t="s">
        <v>6073</v>
      </c>
    </row>
    <row r="2207" spans="1:19" ht="14.25" customHeight="1" x14ac:dyDescent="0.3">
      <c r="A2207" t="s">
        <v>4439</v>
      </c>
      <c r="B2207" t="s">
        <v>1404</v>
      </c>
      <c r="C2207" t="s">
        <v>3538</v>
      </c>
      <c r="D2207" t="s">
        <v>3241</v>
      </c>
      <c r="E2207" t="s">
        <v>4692</v>
      </c>
      <c r="F2207" t="s">
        <v>6056</v>
      </c>
      <c r="G2207" s="2" t="str">
        <f>HYPERLINK("https://www.facebook.com/100000538983327/posts/2120112121350067")</f>
        <v>https://www.facebook.com/100000538983327/posts/2120112121350067</v>
      </c>
      <c r="H2207" t="s">
        <v>6061</v>
      </c>
      <c r="I2207" t="s">
        <v>3244</v>
      </c>
      <c r="J2207" s="2" t="str">
        <f>HYPERLINK("https://www.facebook.com/100000538983327")</f>
        <v>https://www.facebook.com/100000538983327</v>
      </c>
      <c r="K2207">
        <v>1466</v>
      </c>
      <c r="L2207" t="s">
        <v>6063</v>
      </c>
      <c r="N2207" t="s">
        <v>13</v>
      </c>
      <c r="O2207" t="s">
        <v>3244</v>
      </c>
      <c r="P2207" s="2" t="str">
        <f>HYPERLINK("https://www.facebook.com/100000538983327")</f>
        <v>https://www.facebook.com/100000538983327</v>
      </c>
      <c r="Q2207">
        <v>1466</v>
      </c>
      <c r="R2207" t="s">
        <v>6067</v>
      </c>
      <c r="S2207" t="s">
        <v>6073</v>
      </c>
    </row>
    <row r="2208" spans="1:19" ht="14.25" customHeight="1" x14ac:dyDescent="0.3">
      <c r="A2208" t="s">
        <v>5409</v>
      </c>
      <c r="B2208" t="s">
        <v>2785</v>
      </c>
      <c r="C2208" t="s">
        <v>3538</v>
      </c>
      <c r="D2208" t="s">
        <v>4468</v>
      </c>
      <c r="E2208" t="s">
        <v>5486</v>
      </c>
      <c r="F2208" t="s">
        <v>6059</v>
      </c>
      <c r="G2208" s="2" t="str">
        <f>HYPERLINK("https://www.facebook.com/100001269247572/posts/1766589733393318?comment_id=1766805783371713")</f>
        <v>https://www.facebook.com/100001269247572/posts/1766589733393318?comment_id=1766805783371713</v>
      </c>
      <c r="H2208" t="s">
        <v>6061</v>
      </c>
      <c r="I2208" t="s">
        <v>5487</v>
      </c>
      <c r="J2208" s="2" t="str">
        <f>HYPERLINK("https://www.facebook.com/100004389270192")</f>
        <v>https://www.facebook.com/100004389270192</v>
      </c>
      <c r="K2208">
        <v>71</v>
      </c>
      <c r="L2208" t="s">
        <v>6063</v>
      </c>
      <c r="N2208" t="s">
        <v>13</v>
      </c>
      <c r="O2208" t="s">
        <v>5419</v>
      </c>
      <c r="P2208" s="2" t="str">
        <f>HYPERLINK("https://www.facebook.com/100001269247572")</f>
        <v>https://www.facebook.com/100001269247572</v>
      </c>
      <c r="Q2208">
        <v>191</v>
      </c>
      <c r="R2208" t="s">
        <v>6067</v>
      </c>
      <c r="S2208" t="s">
        <v>6073</v>
      </c>
    </row>
    <row r="2209" spans="1:19" ht="14.25" customHeight="1" x14ac:dyDescent="0.3">
      <c r="A2209" t="s">
        <v>3527</v>
      </c>
      <c r="B2209" t="s">
        <v>1456</v>
      </c>
      <c r="C2209" t="s">
        <v>3538</v>
      </c>
      <c r="D2209" t="s">
        <v>690</v>
      </c>
      <c r="E2209" t="s">
        <v>691</v>
      </c>
      <c r="F2209" t="s">
        <v>6056</v>
      </c>
      <c r="G2209" s="2" t="str">
        <f>HYPERLINK("https://www.facebook.com/278105015535592/posts/1935377959808281")</f>
        <v>https://www.facebook.com/278105015535592/posts/1935377959808281</v>
      </c>
      <c r="H2209" t="s">
        <v>6061</v>
      </c>
      <c r="I2209" t="s">
        <v>996</v>
      </c>
      <c r="J2209" s="2" t="str">
        <f>HYPERLINK("https://www.facebook.com/278105015535592")</f>
        <v>https://www.facebook.com/278105015535592</v>
      </c>
      <c r="K2209">
        <v>4845</v>
      </c>
      <c r="L2209" t="s">
        <v>6065</v>
      </c>
      <c r="N2209" t="s">
        <v>13</v>
      </c>
      <c r="O2209" t="s">
        <v>996</v>
      </c>
      <c r="P2209" s="2" t="str">
        <f>HYPERLINK("https://www.facebook.com/278105015535592")</f>
        <v>https://www.facebook.com/278105015535592</v>
      </c>
      <c r="Q2209">
        <v>4845</v>
      </c>
      <c r="R2209" t="s">
        <v>6067</v>
      </c>
    </row>
    <row r="2210" spans="1:19" ht="14.25" customHeight="1" x14ac:dyDescent="0.3">
      <c r="A2210" t="s">
        <v>629</v>
      </c>
      <c r="B2210" t="s">
        <v>2065</v>
      </c>
      <c r="C2210" t="s">
        <v>95</v>
      </c>
      <c r="D2210" t="s">
        <v>2066</v>
      </c>
      <c r="E2210" t="s">
        <v>2067</v>
      </c>
      <c r="F2210" t="s">
        <v>6057</v>
      </c>
      <c r="G2210" s="2" t="str">
        <f>HYPERLINK("https://www.facebook.com/100008708047760/posts/1838462243120693")</f>
        <v>https://www.facebook.com/100008708047760/posts/1838462243120693</v>
      </c>
      <c r="H2210" t="s">
        <v>6061</v>
      </c>
      <c r="I2210" t="s">
        <v>2068</v>
      </c>
      <c r="J2210" s="2" t="str">
        <f>HYPERLINK("https://www.facebook.com/100008708047760")</f>
        <v>https://www.facebook.com/100008708047760</v>
      </c>
      <c r="K2210">
        <v>560</v>
      </c>
      <c r="L2210" t="s">
        <v>6063</v>
      </c>
      <c r="N2210" t="s">
        <v>13</v>
      </c>
      <c r="O2210" t="s">
        <v>2068</v>
      </c>
      <c r="P2210" s="2" t="str">
        <f>HYPERLINK("https://www.facebook.com/100008708047760")</f>
        <v>https://www.facebook.com/100008708047760</v>
      </c>
      <c r="Q2210">
        <v>560</v>
      </c>
      <c r="R2210" t="s">
        <v>6067</v>
      </c>
      <c r="S2210" t="s">
        <v>6073</v>
      </c>
    </row>
    <row r="2211" spans="1:19" ht="14.25" customHeight="1" x14ac:dyDescent="0.3">
      <c r="A2211" t="s">
        <v>4995</v>
      </c>
      <c r="B2211" t="s">
        <v>5321</v>
      </c>
      <c r="C2211" t="s">
        <v>3538</v>
      </c>
      <c r="D2211" t="s">
        <v>5152</v>
      </c>
      <c r="E2211" t="s">
        <v>5153</v>
      </c>
      <c r="F2211" t="s">
        <v>6058</v>
      </c>
      <c r="G2211" s="2" t="str">
        <f>HYPERLINK("https://www.facebook.com/100003599266540/posts/1337348266395136")</f>
        <v>https://www.facebook.com/100003599266540/posts/1337348266395136</v>
      </c>
      <c r="H2211" t="s">
        <v>6061</v>
      </c>
      <c r="I2211" t="s">
        <v>2357</v>
      </c>
      <c r="J2211" s="2" t="str">
        <f>HYPERLINK("https://www.facebook.com/100003599266540")</f>
        <v>https://www.facebook.com/100003599266540</v>
      </c>
      <c r="K2211">
        <v>326</v>
      </c>
      <c r="L2211" t="s">
        <v>6063</v>
      </c>
      <c r="N2211" t="s">
        <v>13</v>
      </c>
      <c r="O2211" t="s">
        <v>2357</v>
      </c>
      <c r="P2211" s="2" t="str">
        <f>HYPERLINK("https://www.facebook.com/100003599266540")</f>
        <v>https://www.facebook.com/100003599266540</v>
      </c>
      <c r="Q2211">
        <v>326</v>
      </c>
      <c r="R2211" t="s">
        <v>6067</v>
      </c>
      <c r="S2211" t="s">
        <v>6073</v>
      </c>
    </row>
    <row r="2212" spans="1:19" ht="14.25" customHeight="1" x14ac:dyDescent="0.3">
      <c r="A2212" t="s">
        <v>5409</v>
      </c>
      <c r="B2212" t="s">
        <v>5614</v>
      </c>
      <c r="C2212" t="s">
        <v>3538</v>
      </c>
      <c r="D2212" t="s">
        <v>5117</v>
      </c>
      <c r="E2212" t="s">
        <v>5615</v>
      </c>
      <c r="F2212" t="s">
        <v>6059</v>
      </c>
      <c r="G2212" s="2" t="str">
        <f>HYPERLINK("https://www.facebook.com/100008916314935/posts/1781863062120887?comment_id=1781864768787383")</f>
        <v>https://www.facebook.com/100008916314935/posts/1781863062120887?comment_id=1781864768787383</v>
      </c>
      <c r="H2212" t="s">
        <v>6061</v>
      </c>
      <c r="I2212" t="s">
        <v>5606</v>
      </c>
      <c r="J2212" s="2" t="str">
        <f>HYPERLINK("https://www.facebook.com/100001472073976")</f>
        <v>https://www.facebook.com/100001472073976</v>
      </c>
      <c r="K2212">
        <v>601</v>
      </c>
      <c r="L2212" t="s">
        <v>6063</v>
      </c>
      <c r="N2212" t="s">
        <v>13</v>
      </c>
      <c r="O2212" t="s">
        <v>5120</v>
      </c>
      <c r="P2212" s="2" t="str">
        <f>HYPERLINK("https://www.facebook.com/100008916314935")</f>
        <v>https://www.facebook.com/100008916314935</v>
      </c>
      <c r="Q2212">
        <v>82</v>
      </c>
      <c r="R2212" t="s">
        <v>6067</v>
      </c>
      <c r="S2212" t="s">
        <v>6073</v>
      </c>
    </row>
    <row r="2213" spans="1:19" ht="14.25" customHeight="1" x14ac:dyDescent="0.3">
      <c r="A2213" t="s">
        <v>629</v>
      </c>
      <c r="B2213" t="s">
        <v>817</v>
      </c>
      <c r="C2213" t="s">
        <v>95</v>
      </c>
      <c r="D2213" t="s">
        <v>818</v>
      </c>
      <c r="E2213" t="s">
        <v>819</v>
      </c>
      <c r="F2213" t="s">
        <v>6057</v>
      </c>
      <c r="G2213" s="2" t="str">
        <f>HYPERLINK("https://www.facebook.com/100022809277547/posts/215186899251618")</f>
        <v>https://www.facebook.com/100022809277547/posts/215186899251618</v>
      </c>
      <c r="H2213" t="s">
        <v>6061</v>
      </c>
      <c r="I2213" t="s">
        <v>820</v>
      </c>
      <c r="J2213" s="2" t="str">
        <f>HYPERLINK("https://www.facebook.com/100022809277547")</f>
        <v>https://www.facebook.com/100022809277547</v>
      </c>
      <c r="K2213">
        <v>3587</v>
      </c>
      <c r="L2213" t="s">
        <v>6064</v>
      </c>
      <c r="N2213" t="s">
        <v>13</v>
      </c>
      <c r="O2213" t="s">
        <v>820</v>
      </c>
      <c r="P2213" s="2" t="str">
        <f>HYPERLINK("https://www.facebook.com/100022809277547")</f>
        <v>https://www.facebook.com/100022809277547</v>
      </c>
      <c r="Q2213">
        <v>3587</v>
      </c>
      <c r="R2213" t="s">
        <v>6067</v>
      </c>
      <c r="S2213" t="s">
        <v>6073</v>
      </c>
    </row>
    <row r="2214" spans="1:19" ht="14.25" customHeight="1" x14ac:dyDescent="0.3">
      <c r="A2214" t="s">
        <v>629</v>
      </c>
      <c r="B2214" t="s">
        <v>1573</v>
      </c>
      <c r="C2214" t="s">
        <v>95</v>
      </c>
      <c r="D2214" t="s">
        <v>882</v>
      </c>
      <c r="E2214" t="s">
        <v>1574</v>
      </c>
      <c r="F2214" t="s">
        <v>6059</v>
      </c>
      <c r="G2214" s="2" t="str">
        <f>HYPERLINK("https://www.facebook.com/100003771932724/posts/1222460574556329?comment_id=1222669024535484")</f>
        <v>https://www.facebook.com/100003771932724/posts/1222460574556329?comment_id=1222669024535484</v>
      </c>
      <c r="H2214" t="s">
        <v>6061</v>
      </c>
      <c r="I2214" t="s">
        <v>1575</v>
      </c>
      <c r="J2214" s="2" t="str">
        <f>HYPERLINK("https://www.facebook.com/1746774972")</f>
        <v>https://www.facebook.com/1746774972</v>
      </c>
      <c r="K2214">
        <v>0</v>
      </c>
      <c r="L2214" t="s">
        <v>6064</v>
      </c>
      <c r="N2214" t="s">
        <v>13</v>
      </c>
      <c r="O2214" t="s">
        <v>884</v>
      </c>
      <c r="P2214" s="2" t="str">
        <f>HYPERLINK("https://www.facebook.com/100003771932724")</f>
        <v>https://www.facebook.com/100003771932724</v>
      </c>
      <c r="Q2214">
        <v>1079</v>
      </c>
      <c r="R2214" t="s">
        <v>6067</v>
      </c>
      <c r="S2214" t="s">
        <v>6073</v>
      </c>
    </row>
    <row r="2215" spans="1:19" ht="14.25" customHeight="1" x14ac:dyDescent="0.3">
      <c r="A2215" t="s">
        <v>5409</v>
      </c>
      <c r="B2215" t="s">
        <v>288</v>
      </c>
      <c r="C2215" t="s">
        <v>3538</v>
      </c>
      <c r="D2215" t="s">
        <v>4318</v>
      </c>
      <c r="E2215" t="s">
        <v>5824</v>
      </c>
      <c r="F2215" t="s">
        <v>6059</v>
      </c>
      <c r="G2215" s="2" t="str">
        <f>HYPERLINK("https://www.facebook.com/100005209959549/posts/828650170651974?comment_id=828657567317901")</f>
        <v>https://www.facebook.com/100005209959549/posts/828650170651974?comment_id=828657567317901</v>
      </c>
      <c r="H2215" t="s">
        <v>6061</v>
      </c>
      <c r="I2215" t="s">
        <v>5825</v>
      </c>
      <c r="J2215" s="2" t="str">
        <f>HYPERLINK("https://www.facebook.com/100005209959549")</f>
        <v>https://www.facebook.com/100005209959549</v>
      </c>
      <c r="K2215">
        <v>26</v>
      </c>
      <c r="L2215" t="s">
        <v>6064</v>
      </c>
      <c r="N2215" t="s">
        <v>13</v>
      </c>
      <c r="O2215" t="s">
        <v>5825</v>
      </c>
      <c r="P2215" s="2" t="str">
        <f>HYPERLINK("https://www.facebook.com/100005209959549")</f>
        <v>https://www.facebook.com/100005209959549</v>
      </c>
      <c r="Q2215">
        <v>26</v>
      </c>
      <c r="R2215" t="s">
        <v>6067</v>
      </c>
      <c r="S2215" t="s">
        <v>6073</v>
      </c>
    </row>
    <row r="2216" spans="1:19" ht="14.25" customHeight="1" x14ac:dyDescent="0.3">
      <c r="A2216" t="s">
        <v>629</v>
      </c>
      <c r="B2216" t="s">
        <v>895</v>
      </c>
      <c r="C2216" t="s">
        <v>95</v>
      </c>
      <c r="D2216" t="s">
        <v>696</v>
      </c>
      <c r="E2216" t="s">
        <v>696</v>
      </c>
      <c r="F2216" t="s">
        <v>6056</v>
      </c>
      <c r="G2216" s="2" t="str">
        <f>HYPERLINK("https://www.facebook.com/1317328045/posts/10215843806670901")</f>
        <v>https://www.facebook.com/1317328045/posts/10215843806670901</v>
      </c>
      <c r="H2216" t="s">
        <v>6061</v>
      </c>
      <c r="I2216" t="s">
        <v>699</v>
      </c>
      <c r="J2216" s="2" t="str">
        <f>HYPERLINK("https://www.facebook.com/1317328045")</f>
        <v>https://www.facebook.com/1317328045</v>
      </c>
      <c r="K2216">
        <v>7075</v>
      </c>
      <c r="L2216" t="s">
        <v>6064</v>
      </c>
      <c r="N2216" t="s">
        <v>13</v>
      </c>
      <c r="O2216" t="s">
        <v>699</v>
      </c>
      <c r="P2216" s="2" t="str">
        <f>HYPERLINK("https://www.facebook.com/1317328045")</f>
        <v>https://www.facebook.com/1317328045</v>
      </c>
      <c r="Q2216">
        <v>7075</v>
      </c>
      <c r="R2216" t="s">
        <v>6067</v>
      </c>
      <c r="S2216" t="s">
        <v>6073</v>
      </c>
    </row>
    <row r="2217" spans="1:19" ht="14.25" customHeight="1" x14ac:dyDescent="0.3">
      <c r="A2217" t="s">
        <v>629</v>
      </c>
      <c r="B2217" t="s">
        <v>793</v>
      </c>
      <c r="C2217" t="s">
        <v>95</v>
      </c>
      <c r="D2217" t="s">
        <v>696</v>
      </c>
      <c r="E2217" t="s">
        <v>794</v>
      </c>
      <c r="F2217" t="s">
        <v>6059</v>
      </c>
      <c r="G2217" s="2" t="str">
        <f>HYPERLINK("https://www.facebook.com/1317328045/posts/10215843806670901?comment_id=10215844299403219")</f>
        <v>https://www.facebook.com/1317328045/posts/10215843806670901?comment_id=10215844299403219</v>
      </c>
      <c r="H2217" t="s">
        <v>6061</v>
      </c>
      <c r="I2217" t="s">
        <v>699</v>
      </c>
      <c r="J2217" s="2" t="str">
        <f>HYPERLINK("https://www.facebook.com/1317328045")</f>
        <v>https://www.facebook.com/1317328045</v>
      </c>
      <c r="K2217">
        <v>7075</v>
      </c>
      <c r="L2217" t="s">
        <v>6064</v>
      </c>
      <c r="N2217" t="s">
        <v>13</v>
      </c>
      <c r="O2217" t="s">
        <v>699</v>
      </c>
      <c r="P2217" s="2" t="str">
        <f>HYPERLINK("https://www.facebook.com/1317328045")</f>
        <v>https://www.facebook.com/1317328045</v>
      </c>
      <c r="Q2217">
        <v>7075</v>
      </c>
      <c r="R2217" t="s">
        <v>6067</v>
      </c>
      <c r="S2217" t="s">
        <v>6073</v>
      </c>
    </row>
    <row r="2218" spans="1:19" ht="14.25" customHeight="1" x14ac:dyDescent="0.3">
      <c r="A2218" t="s">
        <v>5409</v>
      </c>
      <c r="B2218" t="s">
        <v>980</v>
      </c>
      <c r="C2218" t="s">
        <v>3538</v>
      </c>
      <c r="D2218" t="s">
        <v>5117</v>
      </c>
      <c r="E2218" t="s">
        <v>5604</v>
      </c>
      <c r="F2218" t="s">
        <v>6059</v>
      </c>
      <c r="G2218" s="2" t="str">
        <f>HYPERLINK("https://www.facebook.com/100008916314935/posts/1781863062120887?comment_id=1781870655453461")</f>
        <v>https://www.facebook.com/100008916314935/posts/1781863062120887?comment_id=1781870655453461</v>
      </c>
      <c r="H2218" t="s">
        <v>6061</v>
      </c>
      <c r="I2218" t="s">
        <v>3109</v>
      </c>
      <c r="J2218" s="2" t="str">
        <f>HYPERLINK("https://www.facebook.com/100000033162104")</f>
        <v>https://www.facebook.com/100000033162104</v>
      </c>
      <c r="K2218">
        <v>658</v>
      </c>
      <c r="L2218" t="s">
        <v>6064</v>
      </c>
      <c r="N2218" t="s">
        <v>13</v>
      </c>
      <c r="O2218" t="s">
        <v>5120</v>
      </c>
      <c r="P2218" s="2" t="str">
        <f>HYPERLINK("https://www.facebook.com/100008916314935")</f>
        <v>https://www.facebook.com/100008916314935</v>
      </c>
      <c r="Q2218">
        <v>82</v>
      </c>
      <c r="R2218" t="s">
        <v>6067</v>
      </c>
      <c r="S2218" t="s">
        <v>6073</v>
      </c>
    </row>
    <row r="2219" spans="1:19" ht="14.25" customHeight="1" x14ac:dyDescent="0.3">
      <c r="A2219" t="s">
        <v>5409</v>
      </c>
      <c r="B2219" t="s">
        <v>997</v>
      </c>
      <c r="C2219" t="s">
        <v>3538</v>
      </c>
      <c r="D2219" t="s">
        <v>5117</v>
      </c>
      <c r="E2219" t="s">
        <v>5620</v>
      </c>
      <c r="F2219" t="s">
        <v>6059</v>
      </c>
      <c r="G2219" s="2" t="str">
        <f>HYPERLINK("https://www.facebook.com/100008916314935/posts/1781863062120887?comment_id=1781863802120813")</f>
        <v>https://www.facebook.com/100008916314935/posts/1781863062120887?comment_id=1781863802120813</v>
      </c>
      <c r="H2219" t="s">
        <v>6061</v>
      </c>
      <c r="I2219" t="s">
        <v>3109</v>
      </c>
      <c r="J2219" s="2" t="str">
        <f>HYPERLINK("https://www.facebook.com/100000033162104")</f>
        <v>https://www.facebook.com/100000033162104</v>
      </c>
      <c r="K2219">
        <v>658</v>
      </c>
      <c r="L2219" t="s">
        <v>6064</v>
      </c>
      <c r="N2219" t="s">
        <v>13</v>
      </c>
      <c r="O2219" t="s">
        <v>5120</v>
      </c>
      <c r="P2219" s="2" t="str">
        <f>HYPERLINK("https://www.facebook.com/100008916314935")</f>
        <v>https://www.facebook.com/100008916314935</v>
      </c>
      <c r="Q2219">
        <v>82</v>
      </c>
      <c r="R2219" t="s">
        <v>6067</v>
      </c>
      <c r="S2219" t="s">
        <v>6073</v>
      </c>
    </row>
    <row r="2220" spans="1:19" ht="14.25" customHeight="1" x14ac:dyDescent="0.3">
      <c r="A2220" t="s">
        <v>2225</v>
      </c>
      <c r="B2220" t="s">
        <v>3117</v>
      </c>
      <c r="C2220" t="s">
        <v>95</v>
      </c>
      <c r="D2220" t="s">
        <v>464</v>
      </c>
      <c r="E2220" t="s">
        <v>3118</v>
      </c>
      <c r="F2220" t="s">
        <v>6059</v>
      </c>
      <c r="G2220" s="2" t="str">
        <f>HYPERLINK("https://www.facebook.com/1362386453/posts/10216460219362335?comment_id=10216460355205731")</f>
        <v>https://www.facebook.com/1362386453/posts/10216460219362335?comment_id=10216460355205731</v>
      </c>
      <c r="H2220" t="s">
        <v>6061</v>
      </c>
      <c r="I2220" t="s">
        <v>3109</v>
      </c>
      <c r="J2220" s="2" t="str">
        <f>HYPERLINK("https://www.facebook.com/100000033162104")</f>
        <v>https://www.facebook.com/100000033162104</v>
      </c>
      <c r="K2220">
        <v>658</v>
      </c>
      <c r="L2220" t="s">
        <v>6064</v>
      </c>
      <c r="N2220" t="s">
        <v>13</v>
      </c>
      <c r="O2220" t="s">
        <v>467</v>
      </c>
      <c r="P2220" s="2" t="str">
        <f>HYPERLINK("https://www.facebook.com/1362386453")</f>
        <v>https://www.facebook.com/1362386453</v>
      </c>
      <c r="Q2220">
        <v>3896</v>
      </c>
      <c r="R2220" t="s">
        <v>6067</v>
      </c>
      <c r="S2220" t="s">
        <v>6073</v>
      </c>
    </row>
    <row r="2221" spans="1:19" ht="14.25" customHeight="1" x14ac:dyDescent="0.3">
      <c r="A2221" t="s">
        <v>2225</v>
      </c>
      <c r="B2221" t="s">
        <v>3107</v>
      </c>
      <c r="C2221" t="s">
        <v>95</v>
      </c>
      <c r="D2221" t="s">
        <v>464</v>
      </c>
      <c r="E2221" t="s">
        <v>3108</v>
      </c>
      <c r="F2221" t="s">
        <v>6059</v>
      </c>
      <c r="G2221" s="2" t="str">
        <f>HYPERLINK("https://www.facebook.com/1362386453/posts/10216460219362335?comment_id=10216460382726419")</f>
        <v>https://www.facebook.com/1362386453/posts/10216460219362335?comment_id=10216460382726419</v>
      </c>
      <c r="H2221" t="s">
        <v>6061</v>
      </c>
      <c r="I2221" t="s">
        <v>3109</v>
      </c>
      <c r="J2221" s="2" t="str">
        <f>HYPERLINK("https://www.facebook.com/100000033162104")</f>
        <v>https://www.facebook.com/100000033162104</v>
      </c>
      <c r="K2221">
        <v>658</v>
      </c>
      <c r="L2221" t="s">
        <v>6064</v>
      </c>
      <c r="N2221" t="s">
        <v>13</v>
      </c>
      <c r="O2221" t="s">
        <v>467</v>
      </c>
      <c r="P2221" s="2" t="str">
        <f>HYPERLINK("https://www.facebook.com/1362386453")</f>
        <v>https://www.facebook.com/1362386453</v>
      </c>
      <c r="Q2221">
        <v>3896</v>
      </c>
      <c r="R2221" t="s">
        <v>6067</v>
      </c>
      <c r="S2221" t="s">
        <v>6073</v>
      </c>
    </row>
    <row r="2222" spans="1:19" ht="14.25" customHeight="1" x14ac:dyDescent="0.3">
      <c r="A2222" t="s">
        <v>629</v>
      </c>
      <c r="B2222" t="s">
        <v>1130</v>
      </c>
      <c r="C2222" t="s">
        <v>95</v>
      </c>
      <c r="D2222" t="s">
        <v>10</v>
      </c>
      <c r="E2222" t="s">
        <v>1135</v>
      </c>
      <c r="F2222" t="s">
        <v>6059</v>
      </c>
      <c r="G2222" s="2" t="str">
        <f>HYPERLINK("https://www.facebook.com/762053551/posts/10156366210158552?comment_id=10156366293088552")</f>
        <v>https://www.facebook.com/762053551/posts/10156366210158552?comment_id=10156366293088552</v>
      </c>
      <c r="H2222" t="s">
        <v>6061</v>
      </c>
      <c r="I2222" t="s">
        <v>992</v>
      </c>
      <c r="J2222" s="2" t="str">
        <f t="shared" ref="J2222:J2233" si="62">HYPERLINK("https://www.facebook.com/1170441054")</f>
        <v>https://www.facebook.com/1170441054</v>
      </c>
      <c r="K2222">
        <v>64</v>
      </c>
      <c r="N2222" t="s">
        <v>13</v>
      </c>
      <c r="O2222" t="s">
        <v>14</v>
      </c>
      <c r="P2222" s="2" t="str">
        <f t="shared" ref="P2222:P2233" si="63">HYPERLINK("https://www.facebook.com/762053551")</f>
        <v>https://www.facebook.com/762053551</v>
      </c>
      <c r="Q2222">
        <v>102347</v>
      </c>
      <c r="R2222" t="s">
        <v>6067</v>
      </c>
      <c r="S2222" t="s">
        <v>6084</v>
      </c>
    </row>
    <row r="2223" spans="1:19" ht="14.25" customHeight="1" x14ac:dyDescent="0.3">
      <c r="A2223" t="s">
        <v>629</v>
      </c>
      <c r="B2223" t="s">
        <v>1020</v>
      </c>
      <c r="C2223" t="s">
        <v>95</v>
      </c>
      <c r="D2223" t="s">
        <v>10</v>
      </c>
      <c r="E2223" t="s">
        <v>1021</v>
      </c>
      <c r="F2223" t="s">
        <v>6059</v>
      </c>
      <c r="G2223" s="2" t="str">
        <f>HYPERLINK("https://www.facebook.com/762053551/posts/10156366210158552?comment_id=10156366386848552")</f>
        <v>https://www.facebook.com/762053551/posts/10156366210158552?comment_id=10156366386848552</v>
      </c>
      <c r="H2223" t="s">
        <v>6061</v>
      </c>
      <c r="I2223" t="s">
        <v>992</v>
      </c>
      <c r="J2223" s="2" t="str">
        <f t="shared" si="62"/>
        <v>https://www.facebook.com/1170441054</v>
      </c>
      <c r="K2223">
        <v>64</v>
      </c>
      <c r="N2223" t="s">
        <v>13</v>
      </c>
      <c r="O2223" t="s">
        <v>14</v>
      </c>
      <c r="P2223" s="2" t="str">
        <f t="shared" si="63"/>
        <v>https://www.facebook.com/762053551</v>
      </c>
      <c r="Q2223">
        <v>102347</v>
      </c>
      <c r="R2223" t="s">
        <v>6067</v>
      </c>
      <c r="S2223" t="s">
        <v>6084</v>
      </c>
    </row>
    <row r="2224" spans="1:19" ht="14.25" customHeight="1" x14ac:dyDescent="0.3">
      <c r="A2224" t="s">
        <v>629</v>
      </c>
      <c r="B2224" t="s">
        <v>1181</v>
      </c>
      <c r="C2224" t="s">
        <v>95</v>
      </c>
      <c r="D2224" t="s">
        <v>10</v>
      </c>
      <c r="E2224" t="s">
        <v>1182</v>
      </c>
      <c r="F2224" t="s">
        <v>6059</v>
      </c>
      <c r="G2224" s="2" t="str">
        <f>HYPERLINK("https://www.facebook.com/762053551/posts/10156366210158552?comment_id=10156366266228552")</f>
        <v>https://www.facebook.com/762053551/posts/10156366210158552?comment_id=10156366266228552</v>
      </c>
      <c r="H2224" t="s">
        <v>6061</v>
      </c>
      <c r="I2224" t="s">
        <v>992</v>
      </c>
      <c r="J2224" s="2" t="str">
        <f t="shared" si="62"/>
        <v>https://www.facebook.com/1170441054</v>
      </c>
      <c r="K2224">
        <v>64</v>
      </c>
      <c r="N2224" t="s">
        <v>13</v>
      </c>
      <c r="O2224" t="s">
        <v>14</v>
      </c>
      <c r="P2224" s="2" t="str">
        <f t="shared" si="63"/>
        <v>https://www.facebook.com/762053551</v>
      </c>
      <c r="Q2224">
        <v>102347</v>
      </c>
      <c r="R2224" t="s">
        <v>6067</v>
      </c>
      <c r="S2224" t="s">
        <v>6084</v>
      </c>
    </row>
    <row r="2225" spans="1:19" ht="14.25" customHeight="1" x14ac:dyDescent="0.3">
      <c r="A2225" t="s">
        <v>629</v>
      </c>
      <c r="B2225" t="s">
        <v>1219</v>
      </c>
      <c r="C2225" t="s">
        <v>95</v>
      </c>
      <c r="D2225" t="s">
        <v>10</v>
      </c>
      <c r="E2225" t="s">
        <v>1222</v>
      </c>
      <c r="F2225" t="s">
        <v>6059</v>
      </c>
      <c r="G2225" s="2" t="str">
        <f>HYPERLINK("https://www.facebook.com/762053551/posts/10156366210158552?comment_id=10156366248738552")</f>
        <v>https://www.facebook.com/762053551/posts/10156366210158552?comment_id=10156366248738552</v>
      </c>
      <c r="H2225" t="s">
        <v>6061</v>
      </c>
      <c r="I2225" t="s">
        <v>992</v>
      </c>
      <c r="J2225" s="2" t="str">
        <f t="shared" si="62"/>
        <v>https://www.facebook.com/1170441054</v>
      </c>
      <c r="K2225">
        <v>64</v>
      </c>
      <c r="N2225" t="s">
        <v>13</v>
      </c>
      <c r="O2225" t="s">
        <v>14</v>
      </c>
      <c r="P2225" s="2" t="str">
        <f t="shared" si="63"/>
        <v>https://www.facebook.com/762053551</v>
      </c>
      <c r="Q2225">
        <v>102347</v>
      </c>
      <c r="R2225" t="s">
        <v>6067</v>
      </c>
      <c r="S2225" t="s">
        <v>6084</v>
      </c>
    </row>
    <row r="2226" spans="1:19" ht="14.25" customHeight="1" x14ac:dyDescent="0.3">
      <c r="A2226" t="s">
        <v>629</v>
      </c>
      <c r="B2226" t="s">
        <v>1213</v>
      </c>
      <c r="C2226" t="s">
        <v>95</v>
      </c>
      <c r="D2226" t="s">
        <v>10</v>
      </c>
      <c r="E2226" t="s">
        <v>1216</v>
      </c>
      <c r="F2226" t="s">
        <v>6059</v>
      </c>
      <c r="G2226" s="2" t="str">
        <f>HYPERLINK("https://www.facebook.com/762053551/posts/10156366210158552?comment_id=10156366249823552")</f>
        <v>https://www.facebook.com/762053551/posts/10156366210158552?comment_id=10156366249823552</v>
      </c>
      <c r="H2226" t="s">
        <v>6061</v>
      </c>
      <c r="I2226" t="s">
        <v>992</v>
      </c>
      <c r="J2226" s="2" t="str">
        <f t="shared" si="62"/>
        <v>https://www.facebook.com/1170441054</v>
      </c>
      <c r="K2226">
        <v>64</v>
      </c>
      <c r="N2226" t="s">
        <v>13</v>
      </c>
      <c r="O2226" t="s">
        <v>14</v>
      </c>
      <c r="P2226" s="2" t="str">
        <f t="shared" si="63"/>
        <v>https://www.facebook.com/762053551</v>
      </c>
      <c r="Q2226">
        <v>102347</v>
      </c>
      <c r="R2226" t="s">
        <v>6067</v>
      </c>
      <c r="S2226" t="s">
        <v>6084</v>
      </c>
    </row>
    <row r="2227" spans="1:19" ht="14.25" customHeight="1" x14ac:dyDescent="0.3">
      <c r="A2227" t="s">
        <v>629</v>
      </c>
      <c r="B2227" t="s">
        <v>32</v>
      </c>
      <c r="C2227" t="s">
        <v>95</v>
      </c>
      <c r="D2227" t="s">
        <v>10</v>
      </c>
      <c r="E2227" t="s">
        <v>1285</v>
      </c>
      <c r="F2227" t="s">
        <v>6059</v>
      </c>
      <c r="G2227" s="2" t="str">
        <f>HYPERLINK("https://www.facebook.com/762053551/posts/10156366210158552?comment_id=10156366218768552")</f>
        <v>https://www.facebook.com/762053551/posts/10156366210158552?comment_id=10156366218768552</v>
      </c>
      <c r="H2227" t="s">
        <v>6061</v>
      </c>
      <c r="I2227" t="s">
        <v>992</v>
      </c>
      <c r="J2227" s="2" t="str">
        <f t="shared" si="62"/>
        <v>https://www.facebook.com/1170441054</v>
      </c>
      <c r="K2227">
        <v>64</v>
      </c>
      <c r="N2227" t="s">
        <v>13</v>
      </c>
      <c r="O2227" t="s">
        <v>14</v>
      </c>
      <c r="P2227" s="2" t="str">
        <f t="shared" si="63"/>
        <v>https://www.facebook.com/762053551</v>
      </c>
      <c r="Q2227">
        <v>102347</v>
      </c>
      <c r="R2227" t="s">
        <v>6067</v>
      </c>
      <c r="S2227" t="s">
        <v>6084</v>
      </c>
    </row>
    <row r="2228" spans="1:19" ht="14.25" customHeight="1" x14ac:dyDescent="0.3">
      <c r="A2228" t="s">
        <v>629</v>
      </c>
      <c r="B2228" t="s">
        <v>1001</v>
      </c>
      <c r="C2228" t="s">
        <v>95</v>
      </c>
      <c r="D2228" t="s">
        <v>10</v>
      </c>
      <c r="E2228" t="s">
        <v>1002</v>
      </c>
      <c r="F2228" t="s">
        <v>6059</v>
      </c>
      <c r="G2228" s="2" t="str">
        <f>HYPERLINK("https://www.facebook.com/762053551/posts/10156366210158552?comment_id=10156366415193552")</f>
        <v>https://www.facebook.com/762053551/posts/10156366210158552?comment_id=10156366415193552</v>
      </c>
      <c r="H2228" t="s">
        <v>6061</v>
      </c>
      <c r="I2228" t="s">
        <v>992</v>
      </c>
      <c r="J2228" s="2" t="str">
        <f t="shared" si="62"/>
        <v>https://www.facebook.com/1170441054</v>
      </c>
      <c r="K2228">
        <v>64</v>
      </c>
      <c r="N2228" t="s">
        <v>13</v>
      </c>
      <c r="O2228" t="s">
        <v>14</v>
      </c>
      <c r="P2228" s="2" t="str">
        <f t="shared" si="63"/>
        <v>https://www.facebook.com/762053551</v>
      </c>
      <c r="Q2228">
        <v>102347</v>
      </c>
      <c r="R2228" t="s">
        <v>6067</v>
      </c>
      <c r="S2228" t="s">
        <v>6084</v>
      </c>
    </row>
    <row r="2229" spans="1:19" ht="14.25" customHeight="1" x14ac:dyDescent="0.3">
      <c r="A2229" t="s">
        <v>629</v>
      </c>
      <c r="B2229" t="s">
        <v>26</v>
      </c>
      <c r="C2229" t="s">
        <v>95</v>
      </c>
      <c r="D2229" t="s">
        <v>10</v>
      </c>
      <c r="E2229" t="s">
        <v>1280</v>
      </c>
      <c r="F2229" t="s">
        <v>6059</v>
      </c>
      <c r="G2229" s="2" t="str">
        <f>HYPERLINK("https://www.facebook.com/762053551/posts/10156366210158552?comment_id=10156366220983552")</f>
        <v>https://www.facebook.com/762053551/posts/10156366210158552?comment_id=10156366220983552</v>
      </c>
      <c r="H2229" t="s">
        <v>6061</v>
      </c>
      <c r="I2229" t="s">
        <v>992</v>
      </c>
      <c r="J2229" s="2" t="str">
        <f t="shared" si="62"/>
        <v>https://www.facebook.com/1170441054</v>
      </c>
      <c r="K2229">
        <v>64</v>
      </c>
      <c r="N2229" t="s">
        <v>13</v>
      </c>
      <c r="O2229" t="s">
        <v>14</v>
      </c>
      <c r="P2229" s="2" t="str">
        <f t="shared" si="63"/>
        <v>https://www.facebook.com/762053551</v>
      </c>
      <c r="Q2229">
        <v>102347</v>
      </c>
      <c r="R2229" t="s">
        <v>6067</v>
      </c>
      <c r="S2229" t="s">
        <v>6084</v>
      </c>
    </row>
    <row r="2230" spans="1:19" ht="14.25" customHeight="1" x14ac:dyDescent="0.3">
      <c r="A2230" t="s">
        <v>629</v>
      </c>
      <c r="B2230" t="s">
        <v>1158</v>
      </c>
      <c r="C2230" t="s">
        <v>95</v>
      </c>
      <c r="D2230" t="s">
        <v>10</v>
      </c>
      <c r="E2230" t="s">
        <v>1159</v>
      </c>
      <c r="F2230" t="s">
        <v>6059</v>
      </c>
      <c r="G2230" s="2" t="str">
        <f>HYPERLINK("https://www.facebook.com/762053551/posts/10156366210158552?comment_id=10156366274413552")</f>
        <v>https://www.facebook.com/762053551/posts/10156366210158552?comment_id=10156366274413552</v>
      </c>
      <c r="H2230" t="s">
        <v>6061</v>
      </c>
      <c r="I2230" t="s">
        <v>992</v>
      </c>
      <c r="J2230" s="2" t="str">
        <f t="shared" si="62"/>
        <v>https://www.facebook.com/1170441054</v>
      </c>
      <c r="K2230">
        <v>64</v>
      </c>
      <c r="N2230" t="s">
        <v>13</v>
      </c>
      <c r="O2230" t="s">
        <v>14</v>
      </c>
      <c r="P2230" s="2" t="str">
        <f t="shared" si="63"/>
        <v>https://www.facebook.com/762053551</v>
      </c>
      <c r="Q2230">
        <v>102347</v>
      </c>
      <c r="R2230" t="s">
        <v>6067</v>
      </c>
      <c r="S2230" t="s">
        <v>6084</v>
      </c>
    </row>
    <row r="2231" spans="1:19" ht="14.25" customHeight="1" x14ac:dyDescent="0.3">
      <c r="A2231" t="s">
        <v>629</v>
      </c>
      <c r="B2231" t="s">
        <v>1136</v>
      </c>
      <c r="C2231" t="s">
        <v>95</v>
      </c>
      <c r="D2231" t="s">
        <v>10</v>
      </c>
      <c r="E2231" t="s">
        <v>1138</v>
      </c>
      <c r="F2231" t="s">
        <v>6059</v>
      </c>
      <c r="G2231" s="2" t="str">
        <f>HYPERLINK("https://www.facebook.com/762053551/posts/10156366210158552?comment_id=10156366292073552")</f>
        <v>https://www.facebook.com/762053551/posts/10156366210158552?comment_id=10156366292073552</v>
      </c>
      <c r="H2231" t="s">
        <v>6061</v>
      </c>
      <c r="I2231" t="s">
        <v>992</v>
      </c>
      <c r="J2231" s="2" t="str">
        <f t="shared" si="62"/>
        <v>https://www.facebook.com/1170441054</v>
      </c>
      <c r="K2231">
        <v>64</v>
      </c>
      <c r="N2231" t="s">
        <v>13</v>
      </c>
      <c r="O2231" t="s">
        <v>14</v>
      </c>
      <c r="P2231" s="2" t="str">
        <f t="shared" si="63"/>
        <v>https://www.facebook.com/762053551</v>
      </c>
      <c r="Q2231">
        <v>102347</v>
      </c>
      <c r="R2231" t="s">
        <v>6067</v>
      </c>
      <c r="S2231" t="s">
        <v>6084</v>
      </c>
    </row>
    <row r="2232" spans="1:19" ht="14.25" customHeight="1" x14ac:dyDescent="0.3">
      <c r="A2232" t="s">
        <v>629</v>
      </c>
      <c r="B2232" t="s">
        <v>1124</v>
      </c>
      <c r="C2232" t="s">
        <v>95</v>
      </c>
      <c r="D2232" t="s">
        <v>10</v>
      </c>
      <c r="E2232" t="s">
        <v>1129</v>
      </c>
      <c r="F2232" t="s">
        <v>6059</v>
      </c>
      <c r="G2232" s="2" t="str">
        <f>HYPERLINK("https://www.facebook.com/762053551/posts/10156366210158552?comment_id=10156366295163552")</f>
        <v>https://www.facebook.com/762053551/posts/10156366210158552?comment_id=10156366295163552</v>
      </c>
      <c r="H2232" t="s">
        <v>6061</v>
      </c>
      <c r="I2232" t="s">
        <v>992</v>
      </c>
      <c r="J2232" s="2" t="str">
        <f t="shared" si="62"/>
        <v>https://www.facebook.com/1170441054</v>
      </c>
      <c r="K2232">
        <v>64</v>
      </c>
      <c r="N2232" t="s">
        <v>13</v>
      </c>
      <c r="O2232" t="s">
        <v>14</v>
      </c>
      <c r="P2232" s="2" t="str">
        <f t="shared" si="63"/>
        <v>https://www.facebook.com/762053551</v>
      </c>
      <c r="Q2232">
        <v>102347</v>
      </c>
      <c r="R2232" t="s">
        <v>6067</v>
      </c>
      <c r="S2232" t="s">
        <v>6084</v>
      </c>
    </row>
    <row r="2233" spans="1:19" ht="14.25" customHeight="1" x14ac:dyDescent="0.3">
      <c r="A2233" t="s">
        <v>629</v>
      </c>
      <c r="B2233" t="s">
        <v>1190</v>
      </c>
      <c r="C2233" t="s">
        <v>95</v>
      </c>
      <c r="D2233" t="s">
        <v>10</v>
      </c>
      <c r="E2233" t="s">
        <v>1191</v>
      </c>
      <c r="F2233" t="s">
        <v>6059</v>
      </c>
      <c r="G2233" s="2" t="str">
        <f>HYPERLINK("https://www.facebook.com/762053551/posts/10156366210158552?comment_id=10156366255948552")</f>
        <v>https://www.facebook.com/762053551/posts/10156366210158552?comment_id=10156366255948552</v>
      </c>
      <c r="H2233" t="s">
        <v>6061</v>
      </c>
      <c r="I2233" t="s">
        <v>992</v>
      </c>
      <c r="J2233" s="2" t="str">
        <f t="shared" si="62"/>
        <v>https://www.facebook.com/1170441054</v>
      </c>
      <c r="K2233">
        <v>64</v>
      </c>
      <c r="N2233" t="s">
        <v>13</v>
      </c>
      <c r="O2233" t="s">
        <v>14</v>
      </c>
      <c r="P2233" s="2" t="str">
        <f t="shared" si="63"/>
        <v>https://www.facebook.com/762053551</v>
      </c>
      <c r="Q2233">
        <v>102347</v>
      </c>
      <c r="R2233" t="s">
        <v>6067</v>
      </c>
      <c r="S2233" t="s">
        <v>6084</v>
      </c>
    </row>
    <row r="2234" spans="1:19" ht="14.25" customHeight="1" x14ac:dyDescent="0.3">
      <c r="A2234" t="s">
        <v>5409</v>
      </c>
      <c r="B2234" t="s">
        <v>4350</v>
      </c>
      <c r="C2234" t="s">
        <v>3538</v>
      </c>
      <c r="D2234" t="s">
        <v>5942</v>
      </c>
      <c r="E2234" t="s">
        <v>5943</v>
      </c>
      <c r="F2234" t="s">
        <v>6059</v>
      </c>
      <c r="G2234" s="2" t="str">
        <f>HYPERLINK("https://www.facebook.com/100001111309029/posts/1609735639073464?comment_id=1610212035692491")</f>
        <v>https://www.facebook.com/100001111309029/posts/1609735639073464?comment_id=1610212035692491</v>
      </c>
      <c r="H2234" t="s">
        <v>6061</v>
      </c>
      <c r="I2234" t="s">
        <v>5944</v>
      </c>
      <c r="J2234" s="2" t="str">
        <f>HYPERLINK("https://www.facebook.com/100023333942741")</f>
        <v>https://www.facebook.com/100023333942741</v>
      </c>
      <c r="K2234">
        <v>0</v>
      </c>
      <c r="L2234" t="s">
        <v>6063</v>
      </c>
      <c r="N2234" t="s">
        <v>13</v>
      </c>
      <c r="O2234" t="s">
        <v>5945</v>
      </c>
      <c r="P2234" s="2" t="str">
        <f>HYPERLINK("https://www.facebook.com/100001111309029")</f>
        <v>https://www.facebook.com/100001111309029</v>
      </c>
      <c r="Q2234">
        <v>309</v>
      </c>
      <c r="R2234" t="s">
        <v>6067</v>
      </c>
      <c r="S2234" t="s">
        <v>6073</v>
      </c>
    </row>
    <row r="2235" spans="1:19" ht="14.25" customHeight="1" x14ac:dyDescent="0.3">
      <c r="A2235" t="s">
        <v>4995</v>
      </c>
      <c r="B2235" t="s">
        <v>1577</v>
      </c>
      <c r="C2235" t="s">
        <v>3538</v>
      </c>
      <c r="D2235" t="s">
        <v>5152</v>
      </c>
      <c r="E2235" t="s">
        <v>5153</v>
      </c>
      <c r="F2235" t="s">
        <v>6058</v>
      </c>
      <c r="G2235" s="2" t="str">
        <f>HYPERLINK("https://www.facebook.com/100001279641662/posts/1802691156450188")</f>
        <v>https://www.facebook.com/100001279641662/posts/1802691156450188</v>
      </c>
      <c r="H2235" t="s">
        <v>6061</v>
      </c>
      <c r="I2235" t="s">
        <v>5299</v>
      </c>
      <c r="J2235" s="2" t="str">
        <f>HYPERLINK("https://www.facebook.com/100001279641662")</f>
        <v>https://www.facebook.com/100001279641662</v>
      </c>
      <c r="K2235">
        <v>77</v>
      </c>
      <c r="L2235" t="s">
        <v>6064</v>
      </c>
      <c r="N2235" t="s">
        <v>13</v>
      </c>
      <c r="O2235" t="s">
        <v>5299</v>
      </c>
      <c r="P2235" s="2" t="str">
        <f>HYPERLINK("https://www.facebook.com/100001279641662")</f>
        <v>https://www.facebook.com/100001279641662</v>
      </c>
      <c r="Q2235">
        <v>77</v>
      </c>
      <c r="R2235" t="s">
        <v>6067</v>
      </c>
      <c r="S2235" t="s">
        <v>6073</v>
      </c>
    </row>
    <row r="2236" spans="1:19" ht="14.25" customHeight="1" x14ac:dyDescent="0.3">
      <c r="A2236" t="s">
        <v>1</v>
      </c>
      <c r="B2236" t="s">
        <v>350</v>
      </c>
      <c r="C2236" t="s">
        <v>95</v>
      </c>
      <c r="D2236" t="s">
        <v>10</v>
      </c>
      <c r="E2236" t="s">
        <v>351</v>
      </c>
      <c r="F2236" t="s">
        <v>6059</v>
      </c>
      <c r="G2236" s="2" t="str">
        <f>HYPERLINK("https://www.facebook.com/762053551/posts/10156366210158552?comment_id=10156368269218552")</f>
        <v>https://www.facebook.com/762053551/posts/10156366210158552?comment_id=10156368269218552</v>
      </c>
      <c r="H2236" t="s">
        <v>6061</v>
      </c>
      <c r="I2236" t="s">
        <v>160</v>
      </c>
      <c r="J2236" s="2" t="str">
        <f>HYPERLINK("https://www.facebook.com/100001241341184")</f>
        <v>https://www.facebook.com/100001241341184</v>
      </c>
      <c r="K2236">
        <v>306</v>
      </c>
      <c r="L2236" t="s">
        <v>6063</v>
      </c>
      <c r="N2236" t="s">
        <v>13</v>
      </c>
      <c r="O2236" t="s">
        <v>14</v>
      </c>
      <c r="P2236" s="2" t="str">
        <f>HYPERLINK("https://www.facebook.com/762053551")</f>
        <v>https://www.facebook.com/762053551</v>
      </c>
      <c r="Q2236">
        <v>102347</v>
      </c>
      <c r="R2236" t="s">
        <v>6067</v>
      </c>
      <c r="S2236" t="s">
        <v>6073</v>
      </c>
    </row>
    <row r="2237" spans="1:19" ht="14.25" customHeight="1" x14ac:dyDescent="0.3">
      <c r="A2237" t="s">
        <v>1</v>
      </c>
      <c r="B2237" t="s">
        <v>182</v>
      </c>
      <c r="C2237" t="s">
        <v>95</v>
      </c>
      <c r="D2237" t="s">
        <v>10</v>
      </c>
      <c r="E2237" t="s">
        <v>183</v>
      </c>
      <c r="F2237" t="s">
        <v>6059</v>
      </c>
      <c r="G2237" s="2" t="str">
        <f>HYPERLINK("https://www.facebook.com/762053551/posts/10156366210158552?comment_id=10156368390163552")</f>
        <v>https://www.facebook.com/762053551/posts/10156366210158552?comment_id=10156368390163552</v>
      </c>
      <c r="H2237" t="s">
        <v>6061</v>
      </c>
      <c r="I2237" t="s">
        <v>160</v>
      </c>
      <c r="J2237" s="2" t="str">
        <f>HYPERLINK("https://www.facebook.com/100001241341184")</f>
        <v>https://www.facebook.com/100001241341184</v>
      </c>
      <c r="K2237">
        <v>306</v>
      </c>
      <c r="L2237" t="s">
        <v>6063</v>
      </c>
      <c r="N2237" t="s">
        <v>13</v>
      </c>
      <c r="O2237" t="s">
        <v>14</v>
      </c>
      <c r="P2237" s="2" t="str">
        <f>HYPERLINK("https://www.facebook.com/762053551")</f>
        <v>https://www.facebook.com/762053551</v>
      </c>
      <c r="Q2237">
        <v>102347</v>
      </c>
      <c r="R2237" t="s">
        <v>6067</v>
      </c>
      <c r="S2237" t="s">
        <v>6073</v>
      </c>
    </row>
    <row r="2238" spans="1:19" ht="14.25" customHeight="1" x14ac:dyDescent="0.3">
      <c r="A2238" t="s">
        <v>2225</v>
      </c>
      <c r="B2238" t="s">
        <v>605</v>
      </c>
      <c r="C2238" t="s">
        <v>95</v>
      </c>
      <c r="D2238" t="s">
        <v>3504</v>
      </c>
      <c r="E2238" t="s">
        <v>3505</v>
      </c>
      <c r="F2238" t="s">
        <v>6059</v>
      </c>
      <c r="G2238" s="2" t="str">
        <f>HYPERLINK("https://www.facebook.com/126214910735239/posts/1763590783664302?comment_id=1764093440280703")</f>
        <v>https://www.facebook.com/126214910735239/posts/1763590783664302?comment_id=1764093440280703</v>
      </c>
      <c r="H2238" t="s">
        <v>6061</v>
      </c>
      <c r="I2238" t="s">
        <v>3506</v>
      </c>
      <c r="J2238" s="2" t="str">
        <f>HYPERLINK("https://www.facebook.com/100010422103133")</f>
        <v>https://www.facebook.com/100010422103133</v>
      </c>
      <c r="K2238">
        <v>203</v>
      </c>
      <c r="L2238" t="s">
        <v>6063</v>
      </c>
      <c r="N2238" t="s">
        <v>13</v>
      </c>
      <c r="O2238" t="s">
        <v>3507</v>
      </c>
      <c r="P2238" s="2" t="str">
        <f>HYPERLINK("https://www.facebook.com/126214910735239")</f>
        <v>https://www.facebook.com/126214910735239</v>
      </c>
      <c r="Q2238">
        <v>2455</v>
      </c>
      <c r="R2238" t="s">
        <v>6067</v>
      </c>
      <c r="S2238" t="s">
        <v>6073</v>
      </c>
    </row>
    <row r="2239" spans="1:19" ht="14.25" customHeight="1" x14ac:dyDescent="0.3">
      <c r="A2239" t="s">
        <v>1</v>
      </c>
      <c r="B2239" t="s">
        <v>377</v>
      </c>
      <c r="C2239" t="s">
        <v>95</v>
      </c>
      <c r="D2239" t="s">
        <v>378</v>
      </c>
      <c r="E2239" t="s">
        <v>379</v>
      </c>
      <c r="F2239" t="s">
        <v>6059</v>
      </c>
      <c r="G2239" s="2" t="str">
        <f>HYPERLINK("https://www.facebook.com/100001013646240/posts/1700576746652764?comment_id=1700609099982862")</f>
        <v>https://www.facebook.com/100001013646240/posts/1700576746652764?comment_id=1700609099982862</v>
      </c>
      <c r="H2239" t="s">
        <v>6061</v>
      </c>
      <c r="I2239" t="s">
        <v>380</v>
      </c>
      <c r="J2239" s="2" t="str">
        <f>HYPERLINK("https://www.facebook.com/100001311265508")</f>
        <v>https://www.facebook.com/100001311265508</v>
      </c>
      <c r="K2239">
        <v>0</v>
      </c>
      <c r="L2239" t="s">
        <v>6064</v>
      </c>
      <c r="N2239" t="s">
        <v>13</v>
      </c>
      <c r="O2239" t="s">
        <v>381</v>
      </c>
      <c r="P2239" s="2" t="str">
        <f>HYPERLINK("https://www.facebook.com/100001013646240")</f>
        <v>https://www.facebook.com/100001013646240</v>
      </c>
      <c r="Q2239">
        <v>632</v>
      </c>
      <c r="R2239" t="s">
        <v>6067</v>
      </c>
      <c r="S2239" t="s">
        <v>6073</v>
      </c>
    </row>
    <row r="2240" spans="1:19" ht="14.25" customHeight="1" x14ac:dyDescent="0.3">
      <c r="A2240" t="s">
        <v>4995</v>
      </c>
      <c r="B2240" t="s">
        <v>5348</v>
      </c>
      <c r="C2240" t="s">
        <v>3538</v>
      </c>
      <c r="D2240" t="s">
        <v>5349</v>
      </c>
      <c r="E2240" t="s">
        <v>5350</v>
      </c>
      <c r="F2240" t="s">
        <v>6057</v>
      </c>
      <c r="G2240" s="2" t="str">
        <f>HYPERLINK("https://www.facebook.com/100001482942275/posts/1713912352001513")</f>
        <v>https://www.facebook.com/100001482942275/posts/1713912352001513</v>
      </c>
      <c r="H2240" t="s">
        <v>6061</v>
      </c>
      <c r="I2240" t="s">
        <v>5351</v>
      </c>
      <c r="J2240" s="2" t="str">
        <f>HYPERLINK("https://www.facebook.com/100001482942275")</f>
        <v>https://www.facebook.com/100001482942275</v>
      </c>
      <c r="K2240">
        <v>7451</v>
      </c>
      <c r="L2240" t="s">
        <v>6064</v>
      </c>
      <c r="N2240" t="s">
        <v>13</v>
      </c>
      <c r="O2240" t="s">
        <v>5351</v>
      </c>
      <c r="P2240" s="2" t="str">
        <f>HYPERLINK("https://www.facebook.com/100001482942275")</f>
        <v>https://www.facebook.com/100001482942275</v>
      </c>
      <c r="Q2240">
        <v>7451</v>
      </c>
      <c r="R2240" t="s">
        <v>6067</v>
      </c>
      <c r="S2240" t="s">
        <v>6073</v>
      </c>
    </row>
    <row r="2241" spans="1:19" ht="14.25" customHeight="1" x14ac:dyDescent="0.3">
      <c r="A2241" t="s">
        <v>5409</v>
      </c>
      <c r="B2241" t="s">
        <v>1961</v>
      </c>
      <c r="C2241" t="s">
        <v>3538</v>
      </c>
      <c r="D2241" t="s">
        <v>5442</v>
      </c>
      <c r="E2241" t="s">
        <v>5917</v>
      </c>
      <c r="F2241" t="s">
        <v>6059</v>
      </c>
      <c r="G2241" s="2" t="str">
        <f>HYPERLINK("https://www.facebook.com/100000480086400/posts/2357605387598774?comment_id=2358298930862753")</f>
        <v>https://www.facebook.com/100000480086400/posts/2357605387598774?comment_id=2358298930862753</v>
      </c>
      <c r="H2241" t="s">
        <v>6061</v>
      </c>
      <c r="I2241" t="s">
        <v>2199</v>
      </c>
      <c r="J2241" s="2" t="str">
        <f>HYPERLINK("https://www.facebook.com/100001415260849")</f>
        <v>https://www.facebook.com/100001415260849</v>
      </c>
      <c r="K2241">
        <v>0</v>
      </c>
      <c r="L2241" t="s">
        <v>6063</v>
      </c>
      <c r="N2241" t="s">
        <v>13</v>
      </c>
      <c r="O2241" t="s">
        <v>5244</v>
      </c>
      <c r="P2241" s="2" t="str">
        <f>HYPERLINK("https://www.facebook.com/100000480086400")</f>
        <v>https://www.facebook.com/100000480086400</v>
      </c>
      <c r="Q2241">
        <v>6778</v>
      </c>
      <c r="R2241" t="s">
        <v>6067</v>
      </c>
      <c r="S2241" t="s">
        <v>6073</v>
      </c>
    </row>
    <row r="2242" spans="1:19" ht="14.25" customHeight="1" x14ac:dyDescent="0.3">
      <c r="A2242" t="s">
        <v>5409</v>
      </c>
      <c r="B2242" t="s">
        <v>5964</v>
      </c>
      <c r="C2242" t="s">
        <v>3538</v>
      </c>
      <c r="D2242" t="s">
        <v>4943</v>
      </c>
      <c r="E2242" t="s">
        <v>5965</v>
      </c>
      <c r="F2242" t="s">
        <v>6059</v>
      </c>
      <c r="G2242" s="2" t="str">
        <f>HYPERLINK("https://www.facebook.com/1181011217/posts/10215757430106998?comment_id=10215759591041020")</f>
        <v>https://www.facebook.com/1181011217/posts/10215757430106998?comment_id=10215759591041020</v>
      </c>
      <c r="H2242" t="s">
        <v>6061</v>
      </c>
      <c r="I2242" t="s">
        <v>5875</v>
      </c>
      <c r="J2242" s="2" t="str">
        <f>HYPERLINK("https://www.facebook.com/544508249")</f>
        <v>https://www.facebook.com/544508249</v>
      </c>
      <c r="K2242">
        <v>0</v>
      </c>
      <c r="L2242" t="s">
        <v>6063</v>
      </c>
      <c r="N2242" t="s">
        <v>13</v>
      </c>
      <c r="O2242" t="s">
        <v>4945</v>
      </c>
      <c r="P2242" s="2" t="str">
        <f>HYPERLINK("https://www.facebook.com/1181011217")</f>
        <v>https://www.facebook.com/1181011217</v>
      </c>
      <c r="Q2242">
        <v>0</v>
      </c>
      <c r="R2242" t="s">
        <v>6067</v>
      </c>
      <c r="S2242" t="s">
        <v>6073</v>
      </c>
    </row>
    <row r="2243" spans="1:19" ht="14.25" customHeight="1" x14ac:dyDescent="0.3">
      <c r="A2243" t="s">
        <v>5409</v>
      </c>
      <c r="B2243" t="s">
        <v>1750</v>
      </c>
      <c r="C2243" t="s">
        <v>3538</v>
      </c>
      <c r="D2243" t="s">
        <v>4943</v>
      </c>
      <c r="E2243" t="s">
        <v>5874</v>
      </c>
      <c r="F2243" t="s">
        <v>6059</v>
      </c>
      <c r="G2243" s="2" t="str">
        <f>HYPERLINK("https://www.facebook.com/1181011217/posts/10215757430106998?comment_id=10215760203376328")</f>
        <v>https://www.facebook.com/1181011217/posts/10215757430106998?comment_id=10215760203376328</v>
      </c>
      <c r="H2243" t="s">
        <v>6061</v>
      </c>
      <c r="I2243" t="s">
        <v>5875</v>
      </c>
      <c r="J2243" s="2" t="str">
        <f>HYPERLINK("https://www.facebook.com/544508249")</f>
        <v>https://www.facebook.com/544508249</v>
      </c>
      <c r="K2243">
        <v>0</v>
      </c>
      <c r="L2243" t="s">
        <v>6063</v>
      </c>
      <c r="N2243" t="s">
        <v>13</v>
      </c>
      <c r="O2243" t="s">
        <v>4945</v>
      </c>
      <c r="P2243" s="2" t="str">
        <f>HYPERLINK("https://www.facebook.com/1181011217")</f>
        <v>https://www.facebook.com/1181011217</v>
      </c>
      <c r="Q2243">
        <v>0</v>
      </c>
      <c r="R2243" t="s">
        <v>6067</v>
      </c>
      <c r="S2243" t="s">
        <v>6073</v>
      </c>
    </row>
    <row r="2244" spans="1:19" ht="14.25" customHeight="1" x14ac:dyDescent="0.3">
      <c r="A2244" t="s">
        <v>2225</v>
      </c>
      <c r="B2244" t="s">
        <v>1003</v>
      </c>
      <c r="C2244" t="s">
        <v>95</v>
      </c>
      <c r="D2244" t="s">
        <v>3085</v>
      </c>
      <c r="E2244" t="s">
        <v>3086</v>
      </c>
      <c r="F2244" t="s">
        <v>6059</v>
      </c>
      <c r="G2244" s="2" t="str">
        <f>HYPERLINK("https://www.facebook.com/755424965/posts/10157462849039966?comment_id=10157462981559966")</f>
        <v>https://www.facebook.com/755424965/posts/10157462849039966?comment_id=10157462981559966</v>
      </c>
      <c r="H2244" t="s">
        <v>6061</v>
      </c>
      <c r="I2244" t="s">
        <v>3087</v>
      </c>
      <c r="J2244" s="2" t="str">
        <f>HYPERLINK("https://www.facebook.com/1495151384")</f>
        <v>https://www.facebook.com/1495151384</v>
      </c>
      <c r="K2244">
        <v>1780</v>
      </c>
      <c r="L2244" t="s">
        <v>6063</v>
      </c>
      <c r="N2244" t="s">
        <v>13</v>
      </c>
      <c r="O2244" t="s">
        <v>3088</v>
      </c>
      <c r="P2244" s="2" t="str">
        <f>HYPERLINK("https://www.facebook.com/755424965")</f>
        <v>https://www.facebook.com/755424965</v>
      </c>
      <c r="Q2244">
        <v>7109</v>
      </c>
      <c r="R2244" t="s">
        <v>6067</v>
      </c>
      <c r="S2244" t="s">
        <v>6073</v>
      </c>
    </row>
    <row r="2245" spans="1:19" ht="14.25" customHeight="1" x14ac:dyDescent="0.3">
      <c r="A2245" t="s">
        <v>2225</v>
      </c>
      <c r="B2245" t="s">
        <v>3463</v>
      </c>
      <c r="C2245" t="s">
        <v>95</v>
      </c>
      <c r="D2245" t="s">
        <v>3460</v>
      </c>
      <c r="E2245" t="s">
        <v>3464</v>
      </c>
      <c r="F2245" t="s">
        <v>6059</v>
      </c>
      <c r="G2245" s="2" t="str">
        <f>HYPERLINK("https://www.facebook.com/100006051378479/posts/2007823269429366?comment_id=2008110279400665")</f>
        <v>https://www.facebook.com/100006051378479/posts/2007823269429366?comment_id=2008110279400665</v>
      </c>
      <c r="H2245" t="s">
        <v>6061</v>
      </c>
      <c r="I2245" t="s">
        <v>3462</v>
      </c>
      <c r="J2245" s="2" t="str">
        <f>HYPERLINK("https://www.facebook.com/100002522596489")</f>
        <v>https://www.facebook.com/100002522596489</v>
      </c>
      <c r="K2245">
        <v>32</v>
      </c>
      <c r="L2245" t="s">
        <v>6063</v>
      </c>
      <c r="N2245" t="s">
        <v>13</v>
      </c>
      <c r="O2245" t="s">
        <v>873</v>
      </c>
      <c r="P2245" s="2" t="str">
        <f>HYPERLINK("https://www.facebook.com/100006051378479")</f>
        <v>https://www.facebook.com/100006051378479</v>
      </c>
      <c r="Q2245">
        <v>58</v>
      </c>
      <c r="R2245" t="s">
        <v>6067</v>
      </c>
      <c r="S2245" t="s">
        <v>6073</v>
      </c>
    </row>
    <row r="2246" spans="1:19" ht="14.25" customHeight="1" x14ac:dyDescent="0.3">
      <c r="A2246" t="s">
        <v>3527</v>
      </c>
      <c r="B2246" t="s">
        <v>4030</v>
      </c>
      <c r="C2246" t="s">
        <v>95</v>
      </c>
      <c r="D2246" t="s">
        <v>690</v>
      </c>
      <c r="E2246" t="s">
        <v>4031</v>
      </c>
      <c r="F2246" t="s">
        <v>6059</v>
      </c>
      <c r="G2246" s="2" t="str">
        <f>HYPERLINK("https://www.facebook.com/278105015535592/posts/1935377959808281?comment_id=1935638326448911")</f>
        <v>https://www.facebook.com/278105015535592/posts/1935377959808281?comment_id=1935638326448911</v>
      </c>
      <c r="H2246" t="s">
        <v>6061</v>
      </c>
      <c r="I2246" t="s">
        <v>408</v>
      </c>
      <c r="J2246" s="2" t="str">
        <f>HYPERLINK("https://www.facebook.com/132754177323554")</f>
        <v>https://www.facebook.com/132754177323554</v>
      </c>
      <c r="K2246">
        <v>16569</v>
      </c>
      <c r="L2246" t="s">
        <v>6065</v>
      </c>
      <c r="N2246" t="s">
        <v>13</v>
      </c>
      <c r="O2246" t="s">
        <v>996</v>
      </c>
      <c r="P2246" s="2" t="str">
        <f>HYPERLINK("https://www.facebook.com/278105015535592")</f>
        <v>https://www.facebook.com/278105015535592</v>
      </c>
      <c r="Q2246">
        <v>4845</v>
      </c>
      <c r="R2246" t="s">
        <v>6067</v>
      </c>
    </row>
    <row r="2247" spans="1:19" ht="14.25" customHeight="1" x14ac:dyDescent="0.3">
      <c r="A2247" t="s">
        <v>1</v>
      </c>
      <c r="B2247" t="s">
        <v>19</v>
      </c>
      <c r="C2247" t="s">
        <v>16</v>
      </c>
      <c r="D2247" t="s">
        <v>10</v>
      </c>
      <c r="E2247" t="s">
        <v>20</v>
      </c>
      <c r="F2247" t="s">
        <v>6059</v>
      </c>
      <c r="G2247" s="2" t="str">
        <f>HYPERLINK("https://www.facebook.com/762053551/posts/10156366210158552?comment_id=10156368609083552")</f>
        <v>https://www.facebook.com/762053551/posts/10156366210158552?comment_id=10156368609083552</v>
      </c>
      <c r="H2247" t="s">
        <v>6061</v>
      </c>
      <c r="I2247" t="s">
        <v>18</v>
      </c>
      <c r="J2247" s="2" t="str">
        <f>HYPERLINK("https://www.facebook.com/1047762916")</f>
        <v>https://www.facebook.com/1047762916</v>
      </c>
      <c r="K2247">
        <v>1724</v>
      </c>
      <c r="L2247" t="s">
        <v>6063</v>
      </c>
      <c r="N2247" t="s">
        <v>13</v>
      </c>
      <c r="O2247" t="s">
        <v>14</v>
      </c>
      <c r="P2247" s="2" t="str">
        <f>HYPERLINK("https://www.facebook.com/762053551")</f>
        <v>https://www.facebook.com/762053551</v>
      </c>
      <c r="Q2247">
        <v>102347</v>
      </c>
      <c r="R2247" t="s">
        <v>6067</v>
      </c>
      <c r="S2247" t="s">
        <v>6073</v>
      </c>
    </row>
    <row r="2248" spans="1:19" ht="14.25" customHeight="1" x14ac:dyDescent="0.3">
      <c r="A2248" t="s">
        <v>3527</v>
      </c>
      <c r="B2248" t="s">
        <v>3627</v>
      </c>
      <c r="C2248" t="s">
        <v>95</v>
      </c>
      <c r="D2248" t="s">
        <v>2196</v>
      </c>
      <c r="E2248" t="s">
        <v>3629</v>
      </c>
      <c r="F2248" t="s">
        <v>6059</v>
      </c>
      <c r="G2248" s="2" t="str">
        <f>HYPERLINK("https://www.facebook.com/100001415260849/posts/1744734525583706?comment_id=1745222048868287")</f>
        <v>https://www.facebook.com/100001415260849/posts/1744734525583706?comment_id=1745222048868287</v>
      </c>
      <c r="H2248" t="s">
        <v>6061</v>
      </c>
      <c r="I2248" t="s">
        <v>3630</v>
      </c>
      <c r="J2248" s="2" t="str">
        <f>HYPERLINK("https://www.facebook.com/100001042338849")</f>
        <v>https://www.facebook.com/100001042338849</v>
      </c>
      <c r="K2248">
        <v>1439</v>
      </c>
      <c r="L2248" t="s">
        <v>6064</v>
      </c>
      <c r="N2248" t="s">
        <v>13</v>
      </c>
      <c r="O2248" t="s">
        <v>2199</v>
      </c>
      <c r="P2248" s="2" t="str">
        <f>HYPERLINK("https://www.facebook.com/100001415260849")</f>
        <v>https://www.facebook.com/100001415260849</v>
      </c>
      <c r="Q2248">
        <v>0</v>
      </c>
      <c r="R2248" t="s">
        <v>6067</v>
      </c>
      <c r="S2248" t="s">
        <v>6073</v>
      </c>
    </row>
    <row r="2249" spans="1:19" ht="14.25" customHeight="1" x14ac:dyDescent="0.3">
      <c r="A2249" t="s">
        <v>629</v>
      </c>
      <c r="B2249" t="s">
        <v>834</v>
      </c>
      <c r="C2249" t="s">
        <v>95</v>
      </c>
      <c r="D2249" t="s">
        <v>835</v>
      </c>
      <c r="E2249" t="s">
        <v>836</v>
      </c>
      <c r="F2249" t="s">
        <v>6057</v>
      </c>
      <c r="G2249" s="2" t="str">
        <f>HYPERLINK("https://www.facebook.com/100020967064535/posts/165769470798621")</f>
        <v>https://www.facebook.com/100020967064535/posts/165769470798621</v>
      </c>
      <c r="H2249" t="s">
        <v>6061</v>
      </c>
      <c r="I2249" t="s">
        <v>837</v>
      </c>
      <c r="J2249" s="2" t="str">
        <f>HYPERLINK("https://www.facebook.com/100020967064535")</f>
        <v>https://www.facebook.com/100020967064535</v>
      </c>
      <c r="K2249">
        <v>2169</v>
      </c>
      <c r="L2249" t="s">
        <v>6063</v>
      </c>
      <c r="N2249" t="s">
        <v>13</v>
      </c>
      <c r="O2249" t="s">
        <v>837</v>
      </c>
      <c r="P2249" s="2" t="str">
        <f>HYPERLINK("https://www.facebook.com/100020967064535")</f>
        <v>https://www.facebook.com/100020967064535</v>
      </c>
      <c r="Q2249">
        <v>2169</v>
      </c>
      <c r="R2249" t="s">
        <v>6067</v>
      </c>
      <c r="S2249" t="s">
        <v>6073</v>
      </c>
    </row>
    <row r="2250" spans="1:19" ht="14.25" customHeight="1" x14ac:dyDescent="0.3">
      <c r="A2250" t="s">
        <v>2225</v>
      </c>
      <c r="B2250" t="s">
        <v>329</v>
      </c>
      <c r="C2250" t="s">
        <v>95</v>
      </c>
      <c r="D2250" t="s">
        <v>1099</v>
      </c>
      <c r="E2250" t="s">
        <v>3386</v>
      </c>
      <c r="F2250" t="s">
        <v>6056</v>
      </c>
      <c r="G2250" s="2" t="str">
        <f>HYPERLINK("https://www.facebook.com/100002489064006/posts/1666923993400553")</f>
        <v>https://www.facebook.com/100002489064006/posts/1666923993400553</v>
      </c>
      <c r="H2250" t="s">
        <v>6061</v>
      </c>
      <c r="I2250" t="s">
        <v>1101</v>
      </c>
      <c r="J2250" s="2" t="str">
        <f>HYPERLINK("https://www.facebook.com/100002489064006")</f>
        <v>https://www.facebook.com/100002489064006</v>
      </c>
      <c r="K2250">
        <v>2089</v>
      </c>
      <c r="L2250" t="s">
        <v>6063</v>
      </c>
      <c r="N2250" t="s">
        <v>13</v>
      </c>
      <c r="O2250" t="s">
        <v>1101</v>
      </c>
      <c r="P2250" s="2" t="str">
        <f>HYPERLINK("https://www.facebook.com/100002489064006")</f>
        <v>https://www.facebook.com/100002489064006</v>
      </c>
      <c r="Q2250">
        <v>2089</v>
      </c>
      <c r="R2250" t="s">
        <v>6067</v>
      </c>
      <c r="S2250" t="s">
        <v>6073</v>
      </c>
    </row>
    <row r="2251" spans="1:19" ht="14.25" customHeight="1" x14ac:dyDescent="0.3">
      <c r="A2251" t="s">
        <v>2225</v>
      </c>
      <c r="B2251" t="s">
        <v>3222</v>
      </c>
      <c r="C2251" t="s">
        <v>95</v>
      </c>
      <c r="D2251" t="s">
        <v>1099</v>
      </c>
      <c r="E2251" t="s">
        <v>3223</v>
      </c>
      <c r="F2251" t="s">
        <v>6059</v>
      </c>
      <c r="G2251" s="2" t="str">
        <f>HYPERLINK("https://www.facebook.com/100002489064006/posts/1666923993400553?comment_id=1668228796603406")</f>
        <v>https://www.facebook.com/100002489064006/posts/1666923993400553?comment_id=1668228796603406</v>
      </c>
      <c r="H2251" t="s">
        <v>6061</v>
      </c>
      <c r="I2251" t="s">
        <v>1101</v>
      </c>
      <c r="J2251" s="2" t="str">
        <f>HYPERLINK("https://www.facebook.com/100002489064006")</f>
        <v>https://www.facebook.com/100002489064006</v>
      </c>
      <c r="K2251">
        <v>2089</v>
      </c>
      <c r="L2251" t="s">
        <v>6063</v>
      </c>
      <c r="N2251" t="s">
        <v>13</v>
      </c>
      <c r="O2251" t="s">
        <v>1101</v>
      </c>
      <c r="P2251" s="2" t="str">
        <f>HYPERLINK("https://www.facebook.com/100002489064006")</f>
        <v>https://www.facebook.com/100002489064006</v>
      </c>
      <c r="Q2251">
        <v>2089</v>
      </c>
      <c r="R2251" t="s">
        <v>6067</v>
      </c>
      <c r="S2251" t="s">
        <v>6073</v>
      </c>
    </row>
    <row r="2252" spans="1:19" ht="14.25" customHeight="1" x14ac:dyDescent="0.3">
      <c r="A2252" t="s">
        <v>629</v>
      </c>
      <c r="B2252" t="s">
        <v>1098</v>
      </c>
      <c r="C2252" t="s">
        <v>95</v>
      </c>
      <c r="D2252" t="s">
        <v>1099</v>
      </c>
      <c r="E2252" t="s">
        <v>1100</v>
      </c>
      <c r="F2252" t="s">
        <v>6059</v>
      </c>
      <c r="G2252" s="2" t="str">
        <f>HYPERLINK("https://www.facebook.com/100002489064006/posts/1666923993400553?comment_id=1670538426372443")</f>
        <v>https://www.facebook.com/100002489064006/posts/1666923993400553?comment_id=1670538426372443</v>
      </c>
      <c r="H2252" t="s">
        <v>6061</v>
      </c>
      <c r="I2252" t="s">
        <v>1101</v>
      </c>
      <c r="J2252" s="2" t="str">
        <f>HYPERLINK("https://www.facebook.com/100002489064006")</f>
        <v>https://www.facebook.com/100002489064006</v>
      </c>
      <c r="K2252">
        <v>2089</v>
      </c>
      <c r="L2252" t="s">
        <v>6063</v>
      </c>
      <c r="N2252" t="s">
        <v>13</v>
      </c>
      <c r="O2252" t="s">
        <v>1101</v>
      </c>
      <c r="P2252" s="2" t="str">
        <f>HYPERLINK("https://www.facebook.com/100002489064006")</f>
        <v>https://www.facebook.com/100002489064006</v>
      </c>
      <c r="Q2252">
        <v>2089</v>
      </c>
      <c r="R2252" t="s">
        <v>6067</v>
      </c>
      <c r="S2252" t="s">
        <v>6073</v>
      </c>
    </row>
    <row r="2253" spans="1:19" ht="14.25" customHeight="1" x14ac:dyDescent="0.3">
      <c r="A2253" t="s">
        <v>2225</v>
      </c>
      <c r="B2253" t="s">
        <v>15</v>
      </c>
      <c r="C2253" t="s">
        <v>95</v>
      </c>
      <c r="D2253" t="s">
        <v>1409</v>
      </c>
      <c r="E2253" t="s">
        <v>3200</v>
      </c>
      <c r="F2253" t="s">
        <v>6059</v>
      </c>
      <c r="G2253" s="2" t="str">
        <f>HYPERLINK("https://www.facebook.com/1188505182/posts/10214974858303441?comment_id=10214974925385118")</f>
        <v>https://www.facebook.com/1188505182/posts/10214974858303441?comment_id=10214974925385118</v>
      </c>
      <c r="H2253" t="s">
        <v>6061</v>
      </c>
      <c r="I2253" t="s">
        <v>3201</v>
      </c>
      <c r="J2253" s="2" t="str">
        <f>HYPERLINK("https://www.facebook.com/100000109706642")</f>
        <v>https://www.facebook.com/100000109706642</v>
      </c>
      <c r="K2253">
        <v>1644</v>
      </c>
      <c r="L2253" t="s">
        <v>6063</v>
      </c>
      <c r="N2253" t="s">
        <v>13</v>
      </c>
      <c r="O2253" t="s">
        <v>1411</v>
      </c>
      <c r="P2253" s="2" t="str">
        <f>HYPERLINK("https://www.facebook.com/1188505182")</f>
        <v>https://www.facebook.com/1188505182</v>
      </c>
      <c r="Q2253">
        <v>542</v>
      </c>
      <c r="R2253" t="s">
        <v>6067</v>
      </c>
      <c r="S2253" t="s">
        <v>6073</v>
      </c>
    </row>
    <row r="2254" spans="1:19" ht="14.25" customHeight="1" x14ac:dyDescent="0.3">
      <c r="A2254" t="s">
        <v>4995</v>
      </c>
      <c r="B2254" t="s">
        <v>5180</v>
      </c>
      <c r="C2254" t="s">
        <v>3538</v>
      </c>
      <c r="D2254" t="s">
        <v>5181</v>
      </c>
      <c r="E2254" t="s">
        <v>5182</v>
      </c>
      <c r="F2254" t="s">
        <v>6059</v>
      </c>
      <c r="G2254" s="2" t="str">
        <f>HYPERLINK("https://www.facebook.com/138535056190329/posts/1724541924256293?comment_id=1725695847474234")</f>
        <v>https://www.facebook.com/138535056190329/posts/1724541924256293?comment_id=1725695847474234</v>
      </c>
      <c r="H2254" t="s">
        <v>6061</v>
      </c>
      <c r="I2254" t="s">
        <v>5183</v>
      </c>
      <c r="J2254" s="2" t="str">
        <f>HYPERLINK("https://www.facebook.com/100002104787413")</f>
        <v>https://www.facebook.com/100002104787413</v>
      </c>
      <c r="K2254">
        <v>0</v>
      </c>
      <c r="L2254" t="s">
        <v>6063</v>
      </c>
      <c r="N2254" t="s">
        <v>13</v>
      </c>
      <c r="O2254" t="s">
        <v>5184</v>
      </c>
      <c r="P2254" s="2" t="str">
        <f>HYPERLINK("https://www.facebook.com/138535056190329")</f>
        <v>https://www.facebook.com/138535056190329</v>
      </c>
      <c r="Q2254">
        <v>21095</v>
      </c>
      <c r="R2254" t="s">
        <v>6067</v>
      </c>
      <c r="S2254" t="s">
        <v>6073</v>
      </c>
    </row>
    <row r="2255" spans="1:19" ht="14.25" customHeight="1" x14ac:dyDescent="0.3">
      <c r="A2255" t="s">
        <v>5409</v>
      </c>
      <c r="B2255" t="s">
        <v>3004</v>
      </c>
      <c r="C2255" t="s">
        <v>3538</v>
      </c>
      <c r="D2255" t="s">
        <v>5181</v>
      </c>
      <c r="E2255" t="s">
        <v>5555</v>
      </c>
      <c r="F2255" t="s">
        <v>6059</v>
      </c>
      <c r="G2255" s="2" t="str">
        <f>HYPERLINK("https://www.facebook.com/138535056190329/posts/1724541924256293?comment_id=1724817704228715")</f>
        <v>https://www.facebook.com/138535056190329/posts/1724541924256293?comment_id=1724817704228715</v>
      </c>
      <c r="H2255" t="s">
        <v>6061</v>
      </c>
      <c r="I2255" t="s">
        <v>5556</v>
      </c>
      <c r="J2255" s="2" t="str">
        <f>HYPERLINK("https://www.facebook.com/100002668627776")</f>
        <v>https://www.facebook.com/100002668627776</v>
      </c>
      <c r="K2255">
        <v>2413</v>
      </c>
      <c r="L2255" t="s">
        <v>6063</v>
      </c>
      <c r="N2255" t="s">
        <v>13</v>
      </c>
      <c r="O2255" t="s">
        <v>5184</v>
      </c>
      <c r="P2255" s="2" t="str">
        <f>HYPERLINK("https://www.facebook.com/138535056190329")</f>
        <v>https://www.facebook.com/138535056190329</v>
      </c>
      <c r="Q2255">
        <v>21095</v>
      </c>
      <c r="R2255" t="s">
        <v>6067</v>
      </c>
      <c r="S2255" t="s">
        <v>6073</v>
      </c>
    </row>
    <row r="2256" spans="1:19" ht="14.25" customHeight="1" x14ac:dyDescent="0.3">
      <c r="A2256" t="s">
        <v>629</v>
      </c>
      <c r="B2256" t="s">
        <v>745</v>
      </c>
      <c r="C2256" t="s">
        <v>95</v>
      </c>
      <c r="D2256" t="s">
        <v>696</v>
      </c>
      <c r="E2256" t="s">
        <v>746</v>
      </c>
      <c r="F2256" t="s">
        <v>6059</v>
      </c>
      <c r="G2256" s="2" t="str">
        <f>HYPERLINK("https://www.facebook.com/1317328045/posts/10215843806670901?comment_id=10215844523248815")</f>
        <v>https://www.facebook.com/1317328045/posts/10215843806670901?comment_id=10215844523248815</v>
      </c>
      <c r="H2256" t="s">
        <v>6061</v>
      </c>
      <c r="I2256" t="s">
        <v>747</v>
      </c>
      <c r="J2256" s="2" t="str">
        <f>HYPERLINK("https://www.facebook.com/100000700705085")</f>
        <v>https://www.facebook.com/100000700705085</v>
      </c>
      <c r="K2256">
        <v>506</v>
      </c>
      <c r="L2256" t="s">
        <v>6063</v>
      </c>
      <c r="N2256" t="s">
        <v>13</v>
      </c>
      <c r="O2256" t="s">
        <v>699</v>
      </c>
      <c r="P2256" s="2" t="str">
        <f>HYPERLINK("https://www.facebook.com/1317328045")</f>
        <v>https://www.facebook.com/1317328045</v>
      </c>
      <c r="Q2256">
        <v>7075</v>
      </c>
      <c r="R2256" t="s">
        <v>6067</v>
      </c>
      <c r="S2256" t="s">
        <v>6073</v>
      </c>
    </row>
    <row r="2257" spans="1:19" ht="14.25" customHeight="1" x14ac:dyDescent="0.3">
      <c r="A2257" t="s">
        <v>629</v>
      </c>
      <c r="B2257" t="s">
        <v>798</v>
      </c>
      <c r="C2257" t="s">
        <v>95</v>
      </c>
      <c r="D2257" t="s">
        <v>696</v>
      </c>
      <c r="E2257" t="s">
        <v>800</v>
      </c>
      <c r="F2257" t="s">
        <v>6059</v>
      </c>
      <c r="G2257" s="2" t="str">
        <f>HYPERLINK("https://www.facebook.com/1317328045/posts/10215843806670901?comment_id=10215844295443120")</f>
        <v>https://www.facebook.com/1317328045/posts/10215843806670901?comment_id=10215844295443120</v>
      </c>
      <c r="H2257" t="s">
        <v>6061</v>
      </c>
      <c r="I2257" t="s">
        <v>747</v>
      </c>
      <c r="J2257" s="2" t="str">
        <f>HYPERLINK("https://www.facebook.com/100000700705085")</f>
        <v>https://www.facebook.com/100000700705085</v>
      </c>
      <c r="K2257">
        <v>506</v>
      </c>
      <c r="L2257" t="s">
        <v>6063</v>
      </c>
      <c r="N2257" t="s">
        <v>13</v>
      </c>
      <c r="O2257" t="s">
        <v>699</v>
      </c>
      <c r="P2257" s="2" t="str">
        <f>HYPERLINK("https://www.facebook.com/1317328045")</f>
        <v>https://www.facebook.com/1317328045</v>
      </c>
      <c r="Q2257">
        <v>7075</v>
      </c>
      <c r="R2257" t="s">
        <v>6067</v>
      </c>
      <c r="S2257" t="s">
        <v>6073</v>
      </c>
    </row>
    <row r="2258" spans="1:19" ht="14.25" customHeight="1" x14ac:dyDescent="0.3">
      <c r="A2258" t="s">
        <v>629</v>
      </c>
      <c r="B2258" t="s">
        <v>659</v>
      </c>
      <c r="C2258" t="s">
        <v>95</v>
      </c>
      <c r="D2258" t="s">
        <v>146</v>
      </c>
      <c r="E2258" t="s">
        <v>660</v>
      </c>
      <c r="F2258" t="s">
        <v>6059</v>
      </c>
      <c r="G2258" s="2" t="str">
        <f>HYPERLINK("https://www.facebook.com/100007600845702/posts/2040630392866969?comment_id=2052435278353147")</f>
        <v>https://www.facebook.com/100007600845702/posts/2040630392866969?comment_id=2052435278353147</v>
      </c>
      <c r="H2258" t="s">
        <v>6061</v>
      </c>
      <c r="I2258" t="s">
        <v>149</v>
      </c>
      <c r="J2258" s="2" t="str">
        <f>HYPERLINK("https://www.facebook.com/100007600845702")</f>
        <v>https://www.facebook.com/100007600845702</v>
      </c>
      <c r="K2258">
        <v>0</v>
      </c>
      <c r="L2258" t="s">
        <v>6063</v>
      </c>
      <c r="N2258" t="s">
        <v>13</v>
      </c>
      <c r="O2258" t="s">
        <v>149</v>
      </c>
      <c r="P2258" s="2" t="str">
        <f>HYPERLINK("https://www.facebook.com/100007600845702")</f>
        <v>https://www.facebook.com/100007600845702</v>
      </c>
      <c r="Q2258">
        <v>0</v>
      </c>
      <c r="R2258" t="s">
        <v>6067</v>
      </c>
      <c r="S2258" t="s">
        <v>6073</v>
      </c>
    </row>
    <row r="2259" spans="1:19" ht="14.25" customHeight="1" x14ac:dyDescent="0.3">
      <c r="A2259" t="s">
        <v>5409</v>
      </c>
      <c r="B2259" t="s">
        <v>1615</v>
      </c>
      <c r="C2259" t="s">
        <v>3538</v>
      </c>
      <c r="D2259" t="s">
        <v>5241</v>
      </c>
      <c r="E2259" t="s">
        <v>5853</v>
      </c>
      <c r="F2259" t="s">
        <v>6059</v>
      </c>
      <c r="G2259" s="2" t="str">
        <f>HYPERLINK("https://www.facebook.com/100000480086400/posts/2356981097661203?comment_id=2358381840854462")</f>
        <v>https://www.facebook.com/100000480086400/posts/2356981097661203?comment_id=2358381840854462</v>
      </c>
      <c r="H2259" t="s">
        <v>6061</v>
      </c>
      <c r="I2259" t="s">
        <v>5854</v>
      </c>
      <c r="J2259" s="2" t="str">
        <f>HYPERLINK("https://www.facebook.com/100001296811871")</f>
        <v>https://www.facebook.com/100001296811871</v>
      </c>
      <c r="K2259">
        <v>1717</v>
      </c>
      <c r="L2259" t="s">
        <v>6064</v>
      </c>
      <c r="N2259" t="s">
        <v>13</v>
      </c>
      <c r="O2259" t="s">
        <v>5244</v>
      </c>
      <c r="P2259" s="2" t="str">
        <f>HYPERLINK("https://www.facebook.com/100000480086400")</f>
        <v>https://www.facebook.com/100000480086400</v>
      </c>
      <c r="Q2259">
        <v>6778</v>
      </c>
      <c r="R2259" t="s">
        <v>6067</v>
      </c>
      <c r="S2259" t="s">
        <v>6073</v>
      </c>
    </row>
    <row r="2260" spans="1:19" ht="14.25" customHeight="1" x14ac:dyDescent="0.3">
      <c r="A2260" t="s">
        <v>2225</v>
      </c>
      <c r="B2260" t="s">
        <v>15</v>
      </c>
      <c r="C2260" t="s">
        <v>95</v>
      </c>
      <c r="D2260" t="s">
        <v>1409</v>
      </c>
      <c r="E2260" t="s">
        <v>3202</v>
      </c>
      <c r="F2260" t="s">
        <v>6059</v>
      </c>
      <c r="G2260" s="2" t="str">
        <f>HYPERLINK("https://www.facebook.com/1188505182/posts/10214974858303441?comment_id=10214974925105111")</f>
        <v>https://www.facebook.com/1188505182/posts/10214974858303441?comment_id=10214974925105111</v>
      </c>
      <c r="H2260" t="s">
        <v>6061</v>
      </c>
      <c r="I2260" t="s">
        <v>3198</v>
      </c>
      <c r="J2260" s="2" t="str">
        <f>HYPERLINK("https://www.facebook.com/100003456837751")</f>
        <v>https://www.facebook.com/100003456837751</v>
      </c>
      <c r="K2260">
        <v>160</v>
      </c>
      <c r="L2260" t="s">
        <v>6064</v>
      </c>
      <c r="N2260" t="s">
        <v>13</v>
      </c>
      <c r="O2260" t="s">
        <v>1411</v>
      </c>
      <c r="P2260" s="2" t="str">
        <f>HYPERLINK("https://www.facebook.com/1188505182")</f>
        <v>https://www.facebook.com/1188505182</v>
      </c>
      <c r="Q2260">
        <v>542</v>
      </c>
      <c r="R2260" t="s">
        <v>6067</v>
      </c>
      <c r="S2260" t="s">
        <v>6073</v>
      </c>
    </row>
    <row r="2261" spans="1:19" ht="14.25" customHeight="1" x14ac:dyDescent="0.3">
      <c r="A2261" t="s">
        <v>629</v>
      </c>
      <c r="B2261" t="s">
        <v>814</v>
      </c>
      <c r="C2261" t="s">
        <v>95</v>
      </c>
      <c r="D2261" t="s">
        <v>464</v>
      </c>
      <c r="E2261" t="s">
        <v>815</v>
      </c>
      <c r="F2261" t="s">
        <v>6059</v>
      </c>
      <c r="G2261" s="2" t="str">
        <f>HYPERLINK("https://www.facebook.com/1362386453/posts/10216460219362335?comment_id=10216469420032346")</f>
        <v>https://www.facebook.com/1362386453/posts/10216460219362335?comment_id=10216469420032346</v>
      </c>
      <c r="H2261" t="s">
        <v>6061</v>
      </c>
      <c r="I2261" t="s">
        <v>816</v>
      </c>
      <c r="J2261" s="2" t="str">
        <f>HYPERLINK("https://www.facebook.com/100004062785457")</f>
        <v>https://www.facebook.com/100004062785457</v>
      </c>
      <c r="K2261">
        <v>1878</v>
      </c>
      <c r="L2261" t="s">
        <v>6064</v>
      </c>
      <c r="N2261" t="s">
        <v>13</v>
      </c>
      <c r="O2261" t="s">
        <v>467</v>
      </c>
      <c r="P2261" s="2" t="str">
        <f>HYPERLINK("https://www.facebook.com/1362386453")</f>
        <v>https://www.facebook.com/1362386453</v>
      </c>
      <c r="Q2261">
        <v>3896</v>
      </c>
      <c r="R2261" t="s">
        <v>6067</v>
      </c>
      <c r="S2261" t="s">
        <v>6073</v>
      </c>
    </row>
    <row r="2262" spans="1:19" ht="14.25" customHeight="1" x14ac:dyDescent="0.3">
      <c r="A2262" t="s">
        <v>629</v>
      </c>
      <c r="B2262" t="s">
        <v>824</v>
      </c>
      <c r="C2262" t="s">
        <v>95</v>
      </c>
      <c r="D2262" t="s">
        <v>464</v>
      </c>
      <c r="E2262" t="s">
        <v>825</v>
      </c>
      <c r="F2262" t="s">
        <v>6059</v>
      </c>
      <c r="G2262" s="2" t="str">
        <f>HYPERLINK("https://www.facebook.com/1362386453/posts/10216460219362335?comment_id=10216469341270377")</f>
        <v>https://www.facebook.com/1362386453/posts/10216460219362335?comment_id=10216469341270377</v>
      </c>
      <c r="H2262" t="s">
        <v>6061</v>
      </c>
      <c r="I2262" t="s">
        <v>816</v>
      </c>
      <c r="J2262" s="2" t="str">
        <f>HYPERLINK("https://www.facebook.com/100004062785457")</f>
        <v>https://www.facebook.com/100004062785457</v>
      </c>
      <c r="K2262">
        <v>1878</v>
      </c>
      <c r="L2262" t="s">
        <v>6064</v>
      </c>
      <c r="N2262" t="s">
        <v>13</v>
      </c>
      <c r="O2262" t="s">
        <v>467</v>
      </c>
      <c r="P2262" s="2" t="str">
        <f>HYPERLINK("https://www.facebook.com/1362386453")</f>
        <v>https://www.facebook.com/1362386453</v>
      </c>
      <c r="Q2262">
        <v>3896</v>
      </c>
      <c r="R2262" t="s">
        <v>6067</v>
      </c>
      <c r="S2262" t="s">
        <v>6073</v>
      </c>
    </row>
    <row r="2263" spans="1:19" ht="14.25" customHeight="1" x14ac:dyDescent="0.3">
      <c r="A2263" t="s">
        <v>3527</v>
      </c>
      <c r="B2263" t="s">
        <v>1396</v>
      </c>
      <c r="C2263" t="s">
        <v>95</v>
      </c>
      <c r="D2263" t="s">
        <v>4065</v>
      </c>
      <c r="E2263" t="s">
        <v>4224</v>
      </c>
      <c r="F2263" t="s">
        <v>6059</v>
      </c>
      <c r="G2263" s="2" t="str">
        <f>HYPERLINK("https://www.facebook.com/1736152623/posts/10204283825412555?comment_id=10204283867413605")</f>
        <v>https://www.facebook.com/1736152623/posts/10204283825412555?comment_id=10204283867413605</v>
      </c>
      <c r="H2263" t="s">
        <v>6061</v>
      </c>
      <c r="I2263" t="s">
        <v>4225</v>
      </c>
      <c r="J2263" s="2" t="str">
        <f>HYPERLINK("https://www.facebook.com/100000717444775")</f>
        <v>https://www.facebook.com/100000717444775</v>
      </c>
      <c r="K2263">
        <v>321</v>
      </c>
      <c r="L2263" t="s">
        <v>6063</v>
      </c>
      <c r="N2263" t="s">
        <v>13</v>
      </c>
      <c r="O2263" t="s">
        <v>4068</v>
      </c>
      <c r="P2263" s="2" t="str">
        <f>HYPERLINK("https://www.facebook.com/1736152623")</f>
        <v>https://www.facebook.com/1736152623</v>
      </c>
      <c r="Q2263">
        <v>408</v>
      </c>
      <c r="R2263" t="s">
        <v>6067</v>
      </c>
      <c r="S2263" t="s">
        <v>6073</v>
      </c>
    </row>
    <row r="2264" spans="1:19" ht="14.25" customHeight="1" x14ac:dyDescent="0.3">
      <c r="A2264" t="s">
        <v>629</v>
      </c>
      <c r="B2264" t="s">
        <v>1224</v>
      </c>
      <c r="C2264" t="s">
        <v>95</v>
      </c>
      <c r="D2264" t="s">
        <v>10</v>
      </c>
      <c r="E2264" t="s">
        <v>1227</v>
      </c>
      <c r="F2264" t="s">
        <v>6059</v>
      </c>
      <c r="G2264" s="2" t="str">
        <f>HYPERLINK("https://www.facebook.com/762053551/posts/10156366210158552?comment_id=10156366247228552")</f>
        <v>https://www.facebook.com/762053551/posts/10156366210158552?comment_id=10156366247228552</v>
      </c>
      <c r="H2264" t="s">
        <v>6061</v>
      </c>
      <c r="I2264" t="s">
        <v>1197</v>
      </c>
      <c r="J2264" s="2" t="str">
        <f>HYPERLINK("https://www.facebook.com/1028835839")</f>
        <v>https://www.facebook.com/1028835839</v>
      </c>
      <c r="K2264">
        <v>0</v>
      </c>
      <c r="L2264" t="s">
        <v>6063</v>
      </c>
      <c r="N2264" t="s">
        <v>13</v>
      </c>
      <c r="O2264" t="s">
        <v>14</v>
      </c>
      <c r="P2264" s="2" t="str">
        <f>HYPERLINK("https://www.facebook.com/762053551")</f>
        <v>https://www.facebook.com/762053551</v>
      </c>
      <c r="Q2264">
        <v>102347</v>
      </c>
      <c r="R2264" t="s">
        <v>6067</v>
      </c>
      <c r="S2264" t="s">
        <v>6073</v>
      </c>
    </row>
    <row r="2265" spans="1:19" ht="14.25" customHeight="1" x14ac:dyDescent="0.3">
      <c r="A2265" t="s">
        <v>629</v>
      </c>
      <c r="B2265" t="s">
        <v>1195</v>
      </c>
      <c r="C2265" t="s">
        <v>95</v>
      </c>
      <c r="D2265" t="s">
        <v>10</v>
      </c>
      <c r="E2265" t="s">
        <v>1196</v>
      </c>
      <c r="F2265" t="s">
        <v>6059</v>
      </c>
      <c r="G2265" s="2" t="str">
        <f>HYPERLINK("https://www.facebook.com/762053551/posts/10156366210158552?comment_id=10156366253903552")</f>
        <v>https://www.facebook.com/762053551/posts/10156366210158552?comment_id=10156366253903552</v>
      </c>
      <c r="H2265" t="s">
        <v>6061</v>
      </c>
      <c r="I2265" t="s">
        <v>1197</v>
      </c>
      <c r="J2265" s="2" t="str">
        <f>HYPERLINK("https://www.facebook.com/1028835839")</f>
        <v>https://www.facebook.com/1028835839</v>
      </c>
      <c r="K2265">
        <v>0</v>
      </c>
      <c r="L2265" t="s">
        <v>6063</v>
      </c>
      <c r="N2265" t="s">
        <v>13</v>
      </c>
      <c r="O2265" t="s">
        <v>14</v>
      </c>
      <c r="P2265" s="2" t="str">
        <f>HYPERLINK("https://www.facebook.com/762053551")</f>
        <v>https://www.facebook.com/762053551</v>
      </c>
      <c r="Q2265">
        <v>102347</v>
      </c>
      <c r="R2265" t="s">
        <v>6067</v>
      </c>
      <c r="S2265" t="s">
        <v>6073</v>
      </c>
    </row>
    <row r="2266" spans="1:19" ht="14.25" customHeight="1" x14ac:dyDescent="0.3">
      <c r="A2266" t="s">
        <v>1</v>
      </c>
      <c r="B2266" t="s">
        <v>298</v>
      </c>
      <c r="C2266" t="s">
        <v>95</v>
      </c>
      <c r="D2266" t="s">
        <v>299</v>
      </c>
      <c r="E2266" t="s">
        <v>300</v>
      </c>
      <c r="F2266" t="s">
        <v>6056</v>
      </c>
      <c r="G2266" s="2" t="str">
        <f>HYPERLINK("https://www.facebook.com/192378574183165/posts/1649910198429988")</f>
        <v>https://www.facebook.com/192378574183165/posts/1649910198429988</v>
      </c>
      <c r="H2266" t="s">
        <v>6061</v>
      </c>
      <c r="I2266" t="s">
        <v>301</v>
      </c>
      <c r="J2266" s="2" t="str">
        <f>HYPERLINK("https://www.facebook.com/192378574183165")</f>
        <v>https://www.facebook.com/192378574183165</v>
      </c>
      <c r="K2266">
        <v>6211</v>
      </c>
      <c r="L2266" t="s">
        <v>6065</v>
      </c>
      <c r="N2266" t="s">
        <v>13</v>
      </c>
      <c r="O2266" t="s">
        <v>301</v>
      </c>
      <c r="P2266" s="2" t="str">
        <f>HYPERLINK("https://www.facebook.com/192378574183165")</f>
        <v>https://www.facebook.com/192378574183165</v>
      </c>
      <c r="Q2266">
        <v>6211</v>
      </c>
      <c r="R2266" t="s">
        <v>6067</v>
      </c>
      <c r="S2266" t="s">
        <v>6073</v>
      </c>
    </row>
    <row r="2267" spans="1:19" ht="14.25" customHeight="1" x14ac:dyDescent="0.3">
      <c r="A2267" t="s">
        <v>2225</v>
      </c>
      <c r="B2267" t="s">
        <v>2960</v>
      </c>
      <c r="C2267" t="s">
        <v>95</v>
      </c>
      <c r="D2267" t="s">
        <v>464</v>
      </c>
      <c r="E2267" t="s">
        <v>2961</v>
      </c>
      <c r="F2267" t="s">
        <v>6059</v>
      </c>
      <c r="G2267" s="2" t="str">
        <f>HYPERLINK("https://www.facebook.com/1362386453/posts/10216460219362335?comment_id=10216461711519638")</f>
        <v>https://www.facebook.com/1362386453/posts/10216460219362335?comment_id=10216461711519638</v>
      </c>
      <c r="H2267" t="s">
        <v>6061</v>
      </c>
      <c r="I2267" t="s">
        <v>2892</v>
      </c>
      <c r="J2267" s="2" t="str">
        <f>HYPERLINK("https://www.facebook.com/100000510167563")</f>
        <v>https://www.facebook.com/100000510167563</v>
      </c>
      <c r="K2267">
        <v>0</v>
      </c>
      <c r="L2267" t="s">
        <v>6064</v>
      </c>
      <c r="N2267" t="s">
        <v>13</v>
      </c>
      <c r="O2267" t="s">
        <v>467</v>
      </c>
      <c r="P2267" s="2" t="str">
        <f>HYPERLINK("https://www.facebook.com/1362386453")</f>
        <v>https://www.facebook.com/1362386453</v>
      </c>
      <c r="Q2267">
        <v>3896</v>
      </c>
      <c r="R2267" t="s">
        <v>6067</v>
      </c>
      <c r="S2267" t="s">
        <v>6073</v>
      </c>
    </row>
    <row r="2268" spans="1:19" ht="14.25" customHeight="1" x14ac:dyDescent="0.3">
      <c r="A2268" t="s">
        <v>2225</v>
      </c>
      <c r="B2268" t="s">
        <v>2939</v>
      </c>
      <c r="C2268" t="s">
        <v>95</v>
      </c>
      <c r="D2268" t="s">
        <v>464</v>
      </c>
      <c r="E2268" t="s">
        <v>2940</v>
      </c>
      <c r="F2268" t="s">
        <v>6059</v>
      </c>
      <c r="G2268" s="2" t="str">
        <f>HYPERLINK("https://www.facebook.com/1362386453/posts/10216460219362335?comment_id=10216461766481012")</f>
        <v>https://www.facebook.com/1362386453/posts/10216460219362335?comment_id=10216461766481012</v>
      </c>
      <c r="H2268" t="s">
        <v>6061</v>
      </c>
      <c r="I2268" t="s">
        <v>2892</v>
      </c>
      <c r="J2268" s="2" t="str">
        <f>HYPERLINK("https://www.facebook.com/100000510167563")</f>
        <v>https://www.facebook.com/100000510167563</v>
      </c>
      <c r="K2268">
        <v>0</v>
      </c>
      <c r="L2268" t="s">
        <v>6064</v>
      </c>
      <c r="N2268" t="s">
        <v>13</v>
      </c>
      <c r="O2268" t="s">
        <v>467</v>
      </c>
      <c r="P2268" s="2" t="str">
        <f>HYPERLINK("https://www.facebook.com/1362386453")</f>
        <v>https://www.facebook.com/1362386453</v>
      </c>
      <c r="Q2268">
        <v>3896</v>
      </c>
      <c r="R2268" t="s">
        <v>6067</v>
      </c>
      <c r="S2268" t="s">
        <v>6073</v>
      </c>
    </row>
    <row r="2269" spans="1:19" ht="14.25" customHeight="1" x14ac:dyDescent="0.3">
      <c r="A2269" t="s">
        <v>2225</v>
      </c>
      <c r="B2269" t="s">
        <v>2488</v>
      </c>
      <c r="C2269" t="s">
        <v>95</v>
      </c>
      <c r="D2269" t="s">
        <v>802</v>
      </c>
      <c r="E2269" t="s">
        <v>803</v>
      </c>
      <c r="F2269" t="s">
        <v>6058</v>
      </c>
      <c r="G2269" s="2" t="str">
        <f>HYPERLINK("https://www.facebook.com/100001516334023/posts/1763296953730832")</f>
        <v>https://www.facebook.com/100001516334023/posts/1763296953730832</v>
      </c>
      <c r="H2269" t="s">
        <v>6061</v>
      </c>
      <c r="I2269" t="s">
        <v>2490</v>
      </c>
      <c r="J2269" s="2" t="str">
        <f>HYPERLINK("https://www.facebook.com/100001516334023")</f>
        <v>https://www.facebook.com/100001516334023</v>
      </c>
      <c r="K2269">
        <v>12</v>
      </c>
      <c r="L2269" t="s">
        <v>6063</v>
      </c>
      <c r="N2269" t="s">
        <v>13</v>
      </c>
      <c r="O2269" t="s">
        <v>2490</v>
      </c>
      <c r="P2269" s="2" t="str">
        <f>HYPERLINK("https://www.facebook.com/100001516334023")</f>
        <v>https://www.facebook.com/100001516334023</v>
      </c>
      <c r="Q2269">
        <v>12</v>
      </c>
      <c r="R2269" t="s">
        <v>6067</v>
      </c>
    </row>
    <row r="2270" spans="1:19" ht="14.25" customHeight="1" x14ac:dyDescent="0.3">
      <c r="A2270" t="s">
        <v>5409</v>
      </c>
      <c r="B2270" t="s">
        <v>107</v>
      </c>
      <c r="C2270" t="s">
        <v>3538</v>
      </c>
      <c r="D2270" t="s">
        <v>5762</v>
      </c>
      <c r="E2270" t="s">
        <v>5763</v>
      </c>
      <c r="F2270" t="s">
        <v>6059</v>
      </c>
      <c r="G2270" s="2" t="str">
        <f>HYPERLINK("https://www.facebook.com/100001285283129/posts/1805548059498019?comment_id=1806099826109509")</f>
        <v>https://www.facebook.com/100001285283129/posts/1805548059498019?comment_id=1806099826109509</v>
      </c>
      <c r="H2270" t="s">
        <v>6061</v>
      </c>
      <c r="I2270" t="s">
        <v>5764</v>
      </c>
      <c r="J2270" s="2" t="str">
        <f>HYPERLINK("https://www.facebook.com/1110967084")</f>
        <v>https://www.facebook.com/1110967084</v>
      </c>
      <c r="K2270">
        <v>0</v>
      </c>
      <c r="L2270" t="s">
        <v>6063</v>
      </c>
      <c r="N2270" t="s">
        <v>13</v>
      </c>
      <c r="O2270" t="s">
        <v>5755</v>
      </c>
      <c r="P2270" s="2" t="str">
        <f>HYPERLINK("https://www.facebook.com/100001285283129")</f>
        <v>https://www.facebook.com/100001285283129</v>
      </c>
      <c r="Q2270">
        <v>128</v>
      </c>
      <c r="R2270" t="s">
        <v>6067</v>
      </c>
      <c r="S2270" t="s">
        <v>6073</v>
      </c>
    </row>
    <row r="2271" spans="1:19" ht="14.25" customHeight="1" x14ac:dyDescent="0.3">
      <c r="A2271" t="s">
        <v>2225</v>
      </c>
      <c r="B2271" t="s">
        <v>1404</v>
      </c>
      <c r="C2271" t="s">
        <v>95</v>
      </c>
      <c r="D2271" t="s">
        <v>2014</v>
      </c>
      <c r="E2271" t="s">
        <v>3287</v>
      </c>
      <c r="F2271" t="s">
        <v>6059</v>
      </c>
      <c r="G2271" s="2" t="str">
        <f>HYPERLINK("https://www.facebook.com/170089376357131/posts/1925489974150387?comment_id=1925538810812170")</f>
        <v>https://www.facebook.com/170089376357131/posts/1925489974150387?comment_id=1925538810812170</v>
      </c>
      <c r="H2271" t="s">
        <v>6061</v>
      </c>
      <c r="I2271" t="s">
        <v>3288</v>
      </c>
      <c r="J2271" s="2" t="str">
        <f>HYPERLINK("https://www.facebook.com/100006164380557")</f>
        <v>https://www.facebook.com/100006164380557</v>
      </c>
      <c r="K2271">
        <v>0</v>
      </c>
      <c r="N2271" t="s">
        <v>13</v>
      </c>
      <c r="O2271" t="s">
        <v>2017</v>
      </c>
      <c r="P2271" s="2" t="str">
        <f>HYPERLINK("https://www.facebook.com/170089376357131")</f>
        <v>https://www.facebook.com/170089376357131</v>
      </c>
      <c r="R2271" t="s">
        <v>6067</v>
      </c>
      <c r="S2271" t="s">
        <v>6109</v>
      </c>
    </row>
    <row r="2272" spans="1:19" ht="14.25" customHeight="1" x14ac:dyDescent="0.3">
      <c r="A2272" t="s">
        <v>5409</v>
      </c>
      <c r="B2272" t="s">
        <v>4532</v>
      </c>
      <c r="C2272" t="s">
        <v>3538</v>
      </c>
      <c r="D2272" t="s">
        <v>4468</v>
      </c>
      <c r="E2272" t="s">
        <v>5536</v>
      </c>
      <c r="F2272" t="s">
        <v>6059</v>
      </c>
      <c r="G2272" s="2" t="str">
        <f>HYPERLINK("https://www.facebook.com/100001269247572/posts/1766589733393318?comment_id=1766752016710423")</f>
        <v>https://www.facebook.com/100001269247572/posts/1766589733393318?comment_id=1766752016710423</v>
      </c>
      <c r="H2272" t="s">
        <v>6061</v>
      </c>
      <c r="I2272" t="s">
        <v>5419</v>
      </c>
      <c r="J2272" s="2" t="str">
        <f>HYPERLINK("https://www.facebook.com/100001269247572")</f>
        <v>https://www.facebook.com/100001269247572</v>
      </c>
      <c r="K2272">
        <v>191</v>
      </c>
      <c r="L2272" t="s">
        <v>6063</v>
      </c>
      <c r="N2272" t="s">
        <v>13</v>
      </c>
      <c r="O2272" t="s">
        <v>5419</v>
      </c>
      <c r="P2272" s="2" t="str">
        <f>HYPERLINK("https://www.facebook.com/100001269247572")</f>
        <v>https://www.facebook.com/100001269247572</v>
      </c>
      <c r="Q2272">
        <v>191</v>
      </c>
      <c r="R2272" t="s">
        <v>6067</v>
      </c>
    </row>
    <row r="2273" spans="1:19" ht="14.25" customHeight="1" x14ac:dyDescent="0.3">
      <c r="A2273" t="s">
        <v>2225</v>
      </c>
      <c r="B2273" t="s">
        <v>1548</v>
      </c>
      <c r="C2273" t="s">
        <v>95</v>
      </c>
      <c r="D2273" t="s">
        <v>3206</v>
      </c>
      <c r="E2273" t="s">
        <v>3388</v>
      </c>
      <c r="F2273" t="s">
        <v>6059</v>
      </c>
      <c r="G2273" s="2" t="str">
        <f>HYPERLINK("https://www.facebook.com/100008934274771/posts/1810029789304813?comment_id=1810034172637708")</f>
        <v>https://www.facebook.com/100008934274771/posts/1810029789304813?comment_id=1810034172637708</v>
      </c>
      <c r="H2273" t="s">
        <v>6061</v>
      </c>
      <c r="I2273" t="s">
        <v>3362</v>
      </c>
      <c r="J2273" s="2" t="str">
        <f>HYPERLINK("https://www.facebook.com/100006666121352")</f>
        <v>https://www.facebook.com/100006666121352</v>
      </c>
      <c r="K2273">
        <v>113</v>
      </c>
      <c r="L2273" t="s">
        <v>6063</v>
      </c>
      <c r="N2273" t="s">
        <v>13</v>
      </c>
      <c r="O2273" t="s">
        <v>856</v>
      </c>
      <c r="P2273" s="2" t="str">
        <f>HYPERLINK("https://www.facebook.com/100008934274771")</f>
        <v>https://www.facebook.com/100008934274771</v>
      </c>
      <c r="Q2273">
        <v>10395</v>
      </c>
      <c r="R2273" t="s">
        <v>6067</v>
      </c>
      <c r="S2273" t="s">
        <v>6073</v>
      </c>
    </row>
    <row r="2274" spans="1:19" ht="14.25" customHeight="1" x14ac:dyDescent="0.3">
      <c r="A2274" t="s">
        <v>1</v>
      </c>
      <c r="B2274" t="s">
        <v>357</v>
      </c>
      <c r="C2274" t="s">
        <v>95</v>
      </c>
      <c r="D2274" t="s">
        <v>358</v>
      </c>
      <c r="E2274" t="s">
        <v>359</v>
      </c>
      <c r="F2274" t="s">
        <v>6056</v>
      </c>
      <c r="G2274" s="2" t="str">
        <f>HYPERLINK("https://www.facebook.com/100004076333433/posts/1432143853598145")</f>
        <v>https://www.facebook.com/100004076333433/posts/1432143853598145</v>
      </c>
      <c r="H2274" t="s">
        <v>6061</v>
      </c>
      <c r="I2274" t="s">
        <v>360</v>
      </c>
      <c r="J2274" s="2" t="str">
        <f>HYPERLINK("https://www.facebook.com/100004076333433")</f>
        <v>https://www.facebook.com/100004076333433</v>
      </c>
      <c r="K2274">
        <v>2913</v>
      </c>
      <c r="L2274" t="s">
        <v>6063</v>
      </c>
      <c r="N2274" t="s">
        <v>13</v>
      </c>
      <c r="O2274" t="s">
        <v>360</v>
      </c>
      <c r="P2274" s="2" t="str">
        <f>HYPERLINK("https://www.facebook.com/100004076333433")</f>
        <v>https://www.facebook.com/100004076333433</v>
      </c>
      <c r="Q2274">
        <v>2913</v>
      </c>
      <c r="R2274" t="s">
        <v>6067</v>
      </c>
      <c r="S2274" t="s">
        <v>6073</v>
      </c>
    </row>
    <row r="2275" spans="1:19" ht="14.25" customHeight="1" x14ac:dyDescent="0.3">
      <c r="A2275" t="s">
        <v>1</v>
      </c>
      <c r="B2275" t="s">
        <v>597</v>
      </c>
      <c r="C2275" t="s">
        <v>27</v>
      </c>
      <c r="D2275" t="s">
        <v>28</v>
      </c>
      <c r="E2275" t="s">
        <v>598</v>
      </c>
      <c r="F2275" t="s">
        <v>6056</v>
      </c>
      <c r="G2275" s="2" t="str">
        <f>HYPERLINK("https://www.facebook.com/100001652702200/posts/1834613723270367")</f>
        <v>https://www.facebook.com/100001652702200/posts/1834613723270367</v>
      </c>
      <c r="H2275" t="s">
        <v>6061</v>
      </c>
      <c r="I2275" t="s">
        <v>31</v>
      </c>
      <c r="J2275" s="2" t="str">
        <f>HYPERLINK("https://www.facebook.com/100001652702200")</f>
        <v>https://www.facebook.com/100001652702200</v>
      </c>
      <c r="K2275">
        <v>0</v>
      </c>
      <c r="L2275" t="s">
        <v>6063</v>
      </c>
      <c r="N2275" t="s">
        <v>13</v>
      </c>
      <c r="O2275" t="s">
        <v>31</v>
      </c>
      <c r="P2275" s="2" t="str">
        <f>HYPERLINK("https://www.facebook.com/100001652702200")</f>
        <v>https://www.facebook.com/100001652702200</v>
      </c>
      <c r="Q2275">
        <v>0</v>
      </c>
      <c r="R2275" t="s">
        <v>6067</v>
      </c>
      <c r="S2275" t="s">
        <v>6073</v>
      </c>
    </row>
    <row r="2276" spans="1:19" ht="14.25" customHeight="1" x14ac:dyDescent="0.3">
      <c r="A2276" t="s">
        <v>1</v>
      </c>
      <c r="B2276" t="s">
        <v>495</v>
      </c>
      <c r="C2276" t="s">
        <v>95</v>
      </c>
      <c r="D2276" t="s">
        <v>496</v>
      </c>
      <c r="E2276" t="s">
        <v>497</v>
      </c>
      <c r="F2276" t="s">
        <v>6057</v>
      </c>
      <c r="G2276" s="2" t="str">
        <f>HYPERLINK("https://www.facebook.com/100000198309538/posts/2160109897338933")</f>
        <v>https://www.facebook.com/100000198309538/posts/2160109897338933</v>
      </c>
      <c r="H2276" t="s">
        <v>6061</v>
      </c>
      <c r="I2276" t="s">
        <v>498</v>
      </c>
      <c r="J2276" s="2" t="str">
        <f>HYPERLINK("https://www.facebook.com/100000198309538")</f>
        <v>https://www.facebook.com/100000198309538</v>
      </c>
      <c r="K2276">
        <v>329</v>
      </c>
      <c r="L2276" t="s">
        <v>6063</v>
      </c>
      <c r="N2276" t="s">
        <v>13</v>
      </c>
      <c r="O2276" t="s">
        <v>498</v>
      </c>
      <c r="P2276" s="2" t="str">
        <f>HYPERLINK("https://www.facebook.com/100000198309538")</f>
        <v>https://www.facebook.com/100000198309538</v>
      </c>
      <c r="Q2276">
        <v>329</v>
      </c>
      <c r="R2276" t="s">
        <v>6067</v>
      </c>
      <c r="S2276" t="s">
        <v>6073</v>
      </c>
    </row>
    <row r="2277" spans="1:19" ht="14.25" customHeight="1" x14ac:dyDescent="0.3">
      <c r="A2277" t="s">
        <v>5409</v>
      </c>
      <c r="B2277" t="s">
        <v>324</v>
      </c>
      <c r="C2277" t="s">
        <v>3538</v>
      </c>
      <c r="D2277" t="s">
        <v>3757</v>
      </c>
      <c r="E2277" t="s">
        <v>5835</v>
      </c>
      <c r="F2277" t="s">
        <v>6059</v>
      </c>
      <c r="G2277" s="2" t="str">
        <f>HYPERLINK("https://www.facebook.com/1676376791/posts/10209685538090004?comment_id=10209686199546540")</f>
        <v>https://www.facebook.com/1676376791/posts/10209685538090004?comment_id=10209686199546540</v>
      </c>
      <c r="H2277" t="s">
        <v>6061</v>
      </c>
      <c r="I2277" t="s">
        <v>5836</v>
      </c>
      <c r="J2277" s="2" t="str">
        <f>HYPERLINK("https://www.facebook.com/100001637242834")</f>
        <v>https://www.facebook.com/100001637242834</v>
      </c>
      <c r="K2277">
        <v>388</v>
      </c>
      <c r="L2277" t="s">
        <v>6063</v>
      </c>
      <c r="N2277" t="s">
        <v>13</v>
      </c>
      <c r="O2277" t="s">
        <v>3760</v>
      </c>
      <c r="P2277" s="2" t="str">
        <f>HYPERLINK("https://www.facebook.com/1676376791")</f>
        <v>https://www.facebook.com/1676376791</v>
      </c>
      <c r="Q2277">
        <v>4013</v>
      </c>
      <c r="R2277" t="s">
        <v>6067</v>
      </c>
      <c r="S2277" t="s">
        <v>6073</v>
      </c>
    </row>
    <row r="2278" spans="1:19" ht="14.25" customHeight="1" x14ac:dyDescent="0.3">
      <c r="A2278" t="s">
        <v>629</v>
      </c>
      <c r="B2278" t="s">
        <v>675</v>
      </c>
      <c r="C2278" t="s">
        <v>95</v>
      </c>
      <c r="D2278" t="s">
        <v>681</v>
      </c>
      <c r="E2278" t="s">
        <v>682</v>
      </c>
      <c r="F2278" t="s">
        <v>6059</v>
      </c>
      <c r="G2278" s="2" t="str">
        <f>HYPERLINK("https://www.facebook.com/218843318500440/posts/571878299863605?comment_id=571931273191641")</f>
        <v>https://www.facebook.com/218843318500440/posts/571878299863605?comment_id=571931273191641</v>
      </c>
      <c r="H2278" t="s">
        <v>6061</v>
      </c>
      <c r="I2278" t="s">
        <v>424</v>
      </c>
      <c r="J2278" s="2" t="str">
        <f>HYPERLINK("https://www.facebook.com/218843318500440")</f>
        <v>https://www.facebook.com/218843318500440</v>
      </c>
      <c r="K2278">
        <v>28144</v>
      </c>
      <c r="L2278" t="s">
        <v>6065</v>
      </c>
      <c r="N2278" t="s">
        <v>13</v>
      </c>
      <c r="O2278" t="s">
        <v>424</v>
      </c>
      <c r="P2278" s="2" t="str">
        <f>HYPERLINK("https://www.facebook.com/218843318500440")</f>
        <v>https://www.facebook.com/218843318500440</v>
      </c>
      <c r="Q2278">
        <v>28144</v>
      </c>
      <c r="R2278" t="s">
        <v>6067</v>
      </c>
      <c r="S2278" t="s">
        <v>6073</v>
      </c>
    </row>
    <row r="2279" spans="1:19" ht="14.25" customHeight="1" x14ac:dyDescent="0.3">
      <c r="A2279" t="s">
        <v>5409</v>
      </c>
      <c r="B2279" t="s">
        <v>377</v>
      </c>
      <c r="C2279" t="s">
        <v>3538</v>
      </c>
      <c r="D2279" t="s">
        <v>5425</v>
      </c>
      <c r="E2279" t="s">
        <v>5866</v>
      </c>
      <c r="F2279" t="s">
        <v>6056</v>
      </c>
      <c r="G2279" s="2" t="str">
        <f>HYPERLINK("https://www.facebook.com/1717320447/posts/10204642291893366")</f>
        <v>https://www.facebook.com/1717320447/posts/10204642291893366</v>
      </c>
      <c r="H2279" t="s">
        <v>6061</v>
      </c>
      <c r="I2279" t="s">
        <v>5427</v>
      </c>
      <c r="J2279" s="2" t="str">
        <f>HYPERLINK("https://www.facebook.com/1717320447")</f>
        <v>https://www.facebook.com/1717320447</v>
      </c>
      <c r="K2279">
        <v>0</v>
      </c>
      <c r="L2279" t="s">
        <v>6063</v>
      </c>
      <c r="N2279" t="s">
        <v>13</v>
      </c>
      <c r="O2279" t="s">
        <v>5427</v>
      </c>
      <c r="P2279" s="2" t="str">
        <f>HYPERLINK("https://www.facebook.com/1717320447")</f>
        <v>https://www.facebook.com/1717320447</v>
      </c>
      <c r="Q2279">
        <v>0</v>
      </c>
      <c r="R2279" t="s">
        <v>6067</v>
      </c>
      <c r="S2279" t="s">
        <v>6073</v>
      </c>
    </row>
    <row r="2280" spans="1:19" ht="14.25" customHeight="1" x14ac:dyDescent="0.3">
      <c r="A2280" t="s">
        <v>5409</v>
      </c>
      <c r="B2280" t="s">
        <v>1391</v>
      </c>
      <c r="C2280" t="s">
        <v>3538</v>
      </c>
      <c r="D2280" t="s">
        <v>5425</v>
      </c>
      <c r="E2280" t="s">
        <v>5757</v>
      </c>
      <c r="F2280" t="s">
        <v>6059</v>
      </c>
      <c r="G2280" s="2" t="str">
        <f>HYPERLINK("https://www.facebook.com/1717320447/posts/10204642291893366?comment_id=10204643717529006")</f>
        <v>https://www.facebook.com/1717320447/posts/10204642291893366?comment_id=10204643717529006</v>
      </c>
      <c r="H2280" t="s">
        <v>6061</v>
      </c>
      <c r="I2280" t="s">
        <v>5427</v>
      </c>
      <c r="J2280" s="2" t="str">
        <f>HYPERLINK("https://www.facebook.com/1717320447")</f>
        <v>https://www.facebook.com/1717320447</v>
      </c>
      <c r="K2280">
        <v>0</v>
      </c>
      <c r="L2280" t="s">
        <v>6063</v>
      </c>
      <c r="N2280" t="s">
        <v>13</v>
      </c>
      <c r="O2280" t="s">
        <v>5427</v>
      </c>
      <c r="P2280" s="2" t="str">
        <f>HYPERLINK("https://www.facebook.com/1717320447")</f>
        <v>https://www.facebook.com/1717320447</v>
      </c>
      <c r="Q2280">
        <v>0</v>
      </c>
      <c r="R2280" t="s">
        <v>6067</v>
      </c>
      <c r="S2280" t="s">
        <v>6073</v>
      </c>
    </row>
    <row r="2281" spans="1:19" ht="14.25" customHeight="1" x14ac:dyDescent="0.3">
      <c r="A2281" t="s">
        <v>5409</v>
      </c>
      <c r="B2281" t="s">
        <v>3885</v>
      </c>
      <c r="C2281" t="s">
        <v>3538</v>
      </c>
      <c r="D2281" t="s">
        <v>5425</v>
      </c>
      <c r="E2281" t="s">
        <v>5567</v>
      </c>
      <c r="F2281" t="s">
        <v>6059</v>
      </c>
      <c r="G2281" s="2" t="str">
        <f>HYPERLINK("https://www.facebook.com/1717320447/posts/10204642291893366?comment_id=10204646395875963")</f>
        <v>https://www.facebook.com/1717320447/posts/10204642291893366?comment_id=10204646395875963</v>
      </c>
      <c r="H2281" t="s">
        <v>6061</v>
      </c>
      <c r="I2281" t="s">
        <v>5427</v>
      </c>
      <c r="J2281" s="2" t="str">
        <f>HYPERLINK("https://www.facebook.com/1717320447")</f>
        <v>https://www.facebook.com/1717320447</v>
      </c>
      <c r="K2281">
        <v>0</v>
      </c>
      <c r="L2281" t="s">
        <v>6063</v>
      </c>
      <c r="N2281" t="s">
        <v>13</v>
      </c>
      <c r="O2281" t="s">
        <v>5427</v>
      </c>
      <c r="P2281" s="2" t="str">
        <f>HYPERLINK("https://www.facebook.com/1717320447")</f>
        <v>https://www.facebook.com/1717320447</v>
      </c>
      <c r="Q2281">
        <v>0</v>
      </c>
      <c r="R2281" t="s">
        <v>6067</v>
      </c>
      <c r="S2281" t="s">
        <v>6073</v>
      </c>
    </row>
    <row r="2282" spans="1:19" ht="14.25" customHeight="1" x14ac:dyDescent="0.3">
      <c r="A2282" t="s">
        <v>2225</v>
      </c>
      <c r="B2282" t="s">
        <v>2723</v>
      </c>
      <c r="C2282" t="s">
        <v>95</v>
      </c>
      <c r="D2282" t="s">
        <v>853</v>
      </c>
      <c r="E2282" t="s">
        <v>2724</v>
      </c>
      <c r="F2282" t="s">
        <v>6059</v>
      </c>
      <c r="G2282" s="2" t="str">
        <f>HYPERLINK("https://www.facebook.com/100008934274771/posts/1810262525948206?comment_id=1810274929280299")</f>
        <v>https://www.facebook.com/100008934274771/posts/1810262525948206?comment_id=1810274929280299</v>
      </c>
      <c r="H2282" t="s">
        <v>6061</v>
      </c>
      <c r="I2282" t="s">
        <v>2310</v>
      </c>
      <c r="J2282" s="2" t="str">
        <f>HYPERLINK("https://www.facebook.com/100024862097366")</f>
        <v>https://www.facebook.com/100024862097366</v>
      </c>
      <c r="K2282">
        <v>4</v>
      </c>
      <c r="L2282" t="s">
        <v>6063</v>
      </c>
      <c r="N2282" t="s">
        <v>13</v>
      </c>
      <c r="O2282" t="s">
        <v>856</v>
      </c>
      <c r="P2282" s="2" t="str">
        <f>HYPERLINK("https://www.facebook.com/100008934274771")</f>
        <v>https://www.facebook.com/100008934274771</v>
      </c>
      <c r="Q2282">
        <v>10395</v>
      </c>
      <c r="R2282" t="s">
        <v>6067</v>
      </c>
      <c r="S2282" t="s">
        <v>6073</v>
      </c>
    </row>
    <row r="2283" spans="1:19" ht="14.25" customHeight="1" x14ac:dyDescent="0.3">
      <c r="A2283" t="s">
        <v>5409</v>
      </c>
      <c r="B2283" t="s">
        <v>3839</v>
      </c>
      <c r="C2283" t="s">
        <v>3538</v>
      </c>
      <c r="D2283" t="s">
        <v>5117</v>
      </c>
      <c r="E2283" t="s">
        <v>5546</v>
      </c>
      <c r="F2283" t="s">
        <v>6059</v>
      </c>
      <c r="G2283" s="2" t="str">
        <f>HYPERLINK("https://www.facebook.com/100008916314935/posts/1781863062120887?comment_id=1781917735448753")</f>
        <v>https://www.facebook.com/100008916314935/posts/1781863062120887?comment_id=1781917735448753</v>
      </c>
      <c r="H2283" t="s">
        <v>6061</v>
      </c>
      <c r="I2283" t="s">
        <v>5547</v>
      </c>
      <c r="J2283" s="2" t="str">
        <f>HYPERLINK("https://www.facebook.com/100002565611157")</f>
        <v>https://www.facebook.com/100002565611157</v>
      </c>
      <c r="K2283">
        <v>475</v>
      </c>
      <c r="L2283" t="s">
        <v>6064</v>
      </c>
      <c r="N2283" t="s">
        <v>13</v>
      </c>
      <c r="O2283" t="s">
        <v>5120</v>
      </c>
      <c r="P2283" s="2" t="str">
        <f>HYPERLINK("https://www.facebook.com/100008916314935")</f>
        <v>https://www.facebook.com/100008916314935</v>
      </c>
      <c r="Q2283">
        <v>82</v>
      </c>
      <c r="R2283" t="s">
        <v>6067</v>
      </c>
      <c r="S2283" t="s">
        <v>6073</v>
      </c>
    </row>
    <row r="2284" spans="1:19" ht="14.25" customHeight="1" x14ac:dyDescent="0.3">
      <c r="A2284" t="s">
        <v>4995</v>
      </c>
      <c r="B2284" t="s">
        <v>3516</v>
      </c>
      <c r="C2284" t="s">
        <v>3538</v>
      </c>
      <c r="D2284" t="s">
        <v>5078</v>
      </c>
      <c r="E2284" t="s">
        <v>5404</v>
      </c>
      <c r="F2284" t="s">
        <v>6056</v>
      </c>
      <c r="G2284" s="2" t="str">
        <f>HYPERLINK("https://www.facebook.com/100001929668660/posts/1891490270925277")</f>
        <v>https://www.facebook.com/100001929668660/posts/1891490270925277</v>
      </c>
      <c r="H2284" t="s">
        <v>6061</v>
      </c>
      <c r="I2284" t="s">
        <v>5081</v>
      </c>
      <c r="J2284" s="2" t="str">
        <f>HYPERLINK("https://www.facebook.com/100001929668660")</f>
        <v>https://www.facebook.com/100001929668660</v>
      </c>
      <c r="K2284">
        <v>2652</v>
      </c>
      <c r="L2284" t="s">
        <v>6064</v>
      </c>
      <c r="N2284" t="s">
        <v>13</v>
      </c>
      <c r="O2284" t="s">
        <v>5081</v>
      </c>
      <c r="P2284" s="2" t="str">
        <f>HYPERLINK("https://www.facebook.com/100001929668660")</f>
        <v>https://www.facebook.com/100001929668660</v>
      </c>
      <c r="Q2284">
        <v>2652</v>
      </c>
      <c r="R2284" t="s">
        <v>6067</v>
      </c>
      <c r="S2284" t="s">
        <v>6073</v>
      </c>
    </row>
    <row r="2285" spans="1:19" ht="14.25" customHeight="1" x14ac:dyDescent="0.3">
      <c r="A2285" t="s">
        <v>3527</v>
      </c>
      <c r="B2285" t="s">
        <v>231</v>
      </c>
      <c r="C2285" t="s">
        <v>3538</v>
      </c>
      <c r="D2285" t="s">
        <v>4262</v>
      </c>
      <c r="E2285" t="s">
        <v>4263</v>
      </c>
      <c r="F2285" t="s">
        <v>6057</v>
      </c>
      <c r="G2285" s="2" t="str">
        <f>HYPERLINK("https://www.facebook.com/100004028628689/posts/1285413364936272")</f>
        <v>https://www.facebook.com/100004028628689/posts/1285413364936272</v>
      </c>
      <c r="H2285" t="s">
        <v>6061</v>
      </c>
      <c r="I2285" t="s">
        <v>4038</v>
      </c>
      <c r="J2285" s="2" t="str">
        <f>HYPERLINK("https://www.facebook.com/100004028628689")</f>
        <v>https://www.facebook.com/100004028628689</v>
      </c>
      <c r="K2285">
        <v>3</v>
      </c>
      <c r="L2285" t="s">
        <v>6064</v>
      </c>
      <c r="N2285" t="s">
        <v>13</v>
      </c>
      <c r="O2285" t="s">
        <v>4038</v>
      </c>
      <c r="P2285" s="2" t="str">
        <f>HYPERLINK("https://www.facebook.com/100004028628689")</f>
        <v>https://www.facebook.com/100004028628689</v>
      </c>
      <c r="Q2285">
        <v>3</v>
      </c>
      <c r="R2285" t="s">
        <v>6067</v>
      </c>
      <c r="S2285" t="s">
        <v>6073</v>
      </c>
    </row>
    <row r="2286" spans="1:19" ht="14.25" customHeight="1" x14ac:dyDescent="0.3">
      <c r="A2286" t="s">
        <v>4439</v>
      </c>
      <c r="B2286" t="s">
        <v>1557</v>
      </c>
      <c r="C2286" t="s">
        <v>3538</v>
      </c>
      <c r="D2286" t="s">
        <v>4787</v>
      </c>
      <c r="E2286" t="s">
        <v>4788</v>
      </c>
      <c r="F2286" t="s">
        <v>6059</v>
      </c>
      <c r="G2286" s="2" t="str">
        <f>HYPERLINK("https://www.facebook.com/170089376357131/posts/1923259707706747?comment_id=1923335414365843")</f>
        <v>https://www.facebook.com/170089376357131/posts/1923259707706747?comment_id=1923335414365843</v>
      </c>
      <c r="H2286" t="s">
        <v>6061</v>
      </c>
      <c r="I2286" t="s">
        <v>4789</v>
      </c>
      <c r="J2286" s="2" t="str">
        <f>HYPERLINK("https://www.facebook.com/1828177830")</f>
        <v>https://www.facebook.com/1828177830</v>
      </c>
      <c r="K2286">
        <v>0</v>
      </c>
      <c r="L2286" t="s">
        <v>6064</v>
      </c>
      <c r="N2286" t="s">
        <v>13</v>
      </c>
      <c r="O2286" t="s">
        <v>2017</v>
      </c>
      <c r="P2286" s="2" t="str">
        <f>HYPERLINK("https://www.facebook.com/170089376357131")</f>
        <v>https://www.facebook.com/170089376357131</v>
      </c>
      <c r="R2286" t="s">
        <v>6067</v>
      </c>
      <c r="S2286" t="s">
        <v>6073</v>
      </c>
    </row>
    <row r="2287" spans="1:19" ht="14.25" customHeight="1" x14ac:dyDescent="0.3">
      <c r="A2287" t="s">
        <v>3527</v>
      </c>
      <c r="B2287" t="s">
        <v>630</v>
      </c>
      <c r="C2287" t="s">
        <v>95</v>
      </c>
      <c r="D2287" t="s">
        <v>3520</v>
      </c>
      <c r="E2287" t="s">
        <v>3529</v>
      </c>
      <c r="F2287" t="s">
        <v>6056</v>
      </c>
      <c r="G2287" s="2" t="str">
        <f>HYPERLINK("https://www.facebook.com/1340821636/posts/10215861089903755")</f>
        <v>https://www.facebook.com/1340821636/posts/10215861089903755</v>
      </c>
      <c r="H2287" t="s">
        <v>6061</v>
      </c>
      <c r="I2287" t="s">
        <v>3522</v>
      </c>
      <c r="J2287" s="2" t="str">
        <f>HYPERLINK("https://www.facebook.com/1340821636")</f>
        <v>https://www.facebook.com/1340821636</v>
      </c>
      <c r="K2287">
        <v>0</v>
      </c>
      <c r="L2287" t="s">
        <v>6063</v>
      </c>
      <c r="N2287" t="s">
        <v>13</v>
      </c>
      <c r="O2287" t="s">
        <v>3522</v>
      </c>
      <c r="P2287" s="2" t="str">
        <f>HYPERLINK("https://www.facebook.com/1340821636")</f>
        <v>https://www.facebook.com/1340821636</v>
      </c>
      <c r="Q2287">
        <v>0</v>
      </c>
      <c r="R2287" t="s">
        <v>6067</v>
      </c>
    </row>
    <row r="2288" spans="1:19" ht="14.25" customHeight="1" x14ac:dyDescent="0.3">
      <c r="A2288" t="s">
        <v>1</v>
      </c>
      <c r="B2288" t="s">
        <v>567</v>
      </c>
      <c r="C2288" t="s">
        <v>95</v>
      </c>
      <c r="D2288" t="s">
        <v>568</v>
      </c>
      <c r="E2288" t="s">
        <v>569</v>
      </c>
      <c r="F2288" t="s">
        <v>6059</v>
      </c>
      <c r="G2288" s="2" t="str">
        <f>HYPERLINK("https://www.facebook.com/100010421106042/posts/579987695691929?comment_id=580375395653159")</f>
        <v>https://www.facebook.com/100010421106042/posts/579987695691929?comment_id=580375395653159</v>
      </c>
      <c r="H2288" t="s">
        <v>6061</v>
      </c>
      <c r="I2288" t="s">
        <v>570</v>
      </c>
      <c r="J2288" s="2" t="str">
        <f>HYPERLINK("https://www.facebook.com/100006360018200")</f>
        <v>https://www.facebook.com/100006360018200</v>
      </c>
      <c r="K2288">
        <v>263</v>
      </c>
      <c r="L2288" t="s">
        <v>6063</v>
      </c>
      <c r="N2288" t="s">
        <v>13</v>
      </c>
      <c r="O2288" t="s">
        <v>571</v>
      </c>
      <c r="P2288" s="2" t="str">
        <f>HYPERLINK("https://www.facebook.com/100010421106042")</f>
        <v>https://www.facebook.com/100010421106042</v>
      </c>
      <c r="Q2288">
        <v>2614</v>
      </c>
      <c r="R2288" t="s">
        <v>6067</v>
      </c>
      <c r="S2288" t="s">
        <v>6073</v>
      </c>
    </row>
    <row r="2289" spans="1:19" ht="14.25" customHeight="1" x14ac:dyDescent="0.3">
      <c r="A2289" t="s">
        <v>5409</v>
      </c>
      <c r="B2289" t="s">
        <v>1370</v>
      </c>
      <c r="C2289" t="s">
        <v>3538</v>
      </c>
      <c r="D2289" t="s">
        <v>5653</v>
      </c>
      <c r="E2289" t="s">
        <v>5734</v>
      </c>
      <c r="F2289" t="s">
        <v>6059</v>
      </c>
      <c r="G2289" s="2" t="str">
        <f>HYPERLINK("https://www.facebook.com/100001365366967/posts/1575591375829693?comment_id=1575592015829629")</f>
        <v>https://www.facebook.com/100001365366967/posts/1575591375829693?comment_id=1575592015829629</v>
      </c>
      <c r="H2289" t="s">
        <v>6061</v>
      </c>
      <c r="I2289" t="s">
        <v>5735</v>
      </c>
      <c r="J2289" s="2" t="str">
        <f>HYPERLINK("https://www.facebook.com/100004796976213")</f>
        <v>https://www.facebook.com/100004796976213</v>
      </c>
      <c r="K2289">
        <v>5201</v>
      </c>
      <c r="L2289" t="s">
        <v>6063</v>
      </c>
      <c r="N2289" t="s">
        <v>13</v>
      </c>
      <c r="O2289" t="s">
        <v>5656</v>
      </c>
      <c r="P2289" s="2" t="str">
        <f>HYPERLINK("https://www.facebook.com/100001365366967")</f>
        <v>https://www.facebook.com/100001365366967</v>
      </c>
      <c r="Q2289">
        <v>6509</v>
      </c>
      <c r="R2289" t="s">
        <v>6067</v>
      </c>
      <c r="S2289" t="s">
        <v>6073</v>
      </c>
    </row>
    <row r="2290" spans="1:19" ht="14.25" customHeight="1" x14ac:dyDescent="0.3">
      <c r="A2290" t="s">
        <v>5409</v>
      </c>
      <c r="B2290" t="s">
        <v>2428</v>
      </c>
      <c r="C2290" t="s">
        <v>3538</v>
      </c>
      <c r="D2290" t="s">
        <v>5425</v>
      </c>
      <c r="E2290" t="s">
        <v>5469</v>
      </c>
      <c r="F2290" t="s">
        <v>6059</v>
      </c>
      <c r="G2290" s="2" t="str">
        <f>HYPERLINK("https://www.facebook.com/1717320447/posts/10204642291893366?comment_id=10204646826486728")</f>
        <v>https://www.facebook.com/1717320447/posts/10204642291893366?comment_id=10204646826486728</v>
      </c>
      <c r="H2290" t="s">
        <v>6061</v>
      </c>
      <c r="I2290" t="s">
        <v>5467</v>
      </c>
      <c r="J2290" s="2" t="str">
        <f>HYPERLINK("https://www.facebook.com/100000852610656")</f>
        <v>https://www.facebook.com/100000852610656</v>
      </c>
      <c r="K2290">
        <v>825</v>
      </c>
      <c r="L2290" t="s">
        <v>6063</v>
      </c>
      <c r="N2290" t="s">
        <v>13</v>
      </c>
      <c r="O2290" t="s">
        <v>5427</v>
      </c>
      <c r="P2290" s="2" t="str">
        <f>HYPERLINK("https://www.facebook.com/1717320447")</f>
        <v>https://www.facebook.com/1717320447</v>
      </c>
      <c r="Q2290">
        <v>0</v>
      </c>
      <c r="R2290" t="s">
        <v>6067</v>
      </c>
      <c r="S2290" t="s">
        <v>6073</v>
      </c>
    </row>
    <row r="2291" spans="1:19" ht="14.25" customHeight="1" x14ac:dyDescent="0.3">
      <c r="A2291" t="s">
        <v>1</v>
      </c>
      <c r="B2291" t="s">
        <v>488</v>
      </c>
      <c r="C2291" t="s">
        <v>95</v>
      </c>
      <c r="D2291" t="s">
        <v>10</v>
      </c>
      <c r="E2291" t="s">
        <v>491</v>
      </c>
      <c r="F2291" t="s">
        <v>6059</v>
      </c>
      <c r="G2291" s="2" t="str">
        <f>HYPERLINK("https://www.facebook.com/762053551/posts/10156366210158552?comment_id=10156368138923552")</f>
        <v>https://www.facebook.com/762053551/posts/10156366210158552?comment_id=10156368138923552</v>
      </c>
      <c r="H2291" t="s">
        <v>6061</v>
      </c>
      <c r="I2291" t="s">
        <v>492</v>
      </c>
      <c r="J2291" s="2" t="str">
        <f>HYPERLINK("https://www.facebook.com/1466087364")</f>
        <v>https://www.facebook.com/1466087364</v>
      </c>
      <c r="K2291">
        <v>1371</v>
      </c>
      <c r="L2291" t="s">
        <v>6063</v>
      </c>
      <c r="M2291">
        <v>24</v>
      </c>
      <c r="N2291" t="s">
        <v>13</v>
      </c>
      <c r="O2291" t="s">
        <v>14</v>
      </c>
      <c r="P2291" s="2" t="str">
        <f>HYPERLINK("https://www.facebook.com/762053551")</f>
        <v>https://www.facebook.com/762053551</v>
      </c>
      <c r="Q2291">
        <v>102347</v>
      </c>
      <c r="R2291" t="s">
        <v>6067</v>
      </c>
      <c r="S2291" t="s">
        <v>6101</v>
      </c>
    </row>
    <row r="2292" spans="1:19" ht="14.25" customHeight="1" x14ac:dyDescent="0.3">
      <c r="A2292" t="s">
        <v>629</v>
      </c>
      <c r="B2292" t="s">
        <v>1224</v>
      </c>
      <c r="C2292" t="s">
        <v>95</v>
      </c>
      <c r="D2292" t="s">
        <v>10</v>
      </c>
      <c r="E2292" t="s">
        <v>1225</v>
      </c>
      <c r="F2292" t="s">
        <v>6059</v>
      </c>
      <c r="G2292" s="2" t="str">
        <f>HYPERLINK("https://www.facebook.com/762053551/posts/10156366210158552?comment_id=10156366247223552")</f>
        <v>https://www.facebook.com/762053551/posts/10156366210158552?comment_id=10156366247223552</v>
      </c>
      <c r="H2292" t="s">
        <v>6061</v>
      </c>
      <c r="I2292" t="s">
        <v>1226</v>
      </c>
      <c r="J2292" s="2" t="str">
        <f>HYPERLINK("https://www.facebook.com/100000443163061")</f>
        <v>https://www.facebook.com/100000443163061</v>
      </c>
      <c r="K2292">
        <v>283</v>
      </c>
      <c r="L2292" t="s">
        <v>6063</v>
      </c>
      <c r="N2292" t="s">
        <v>13</v>
      </c>
      <c r="O2292" t="s">
        <v>14</v>
      </c>
      <c r="P2292" s="2" t="str">
        <f>HYPERLINK("https://www.facebook.com/762053551")</f>
        <v>https://www.facebook.com/762053551</v>
      </c>
      <c r="Q2292">
        <v>102347</v>
      </c>
      <c r="R2292" t="s">
        <v>6067</v>
      </c>
      <c r="S2292" t="s">
        <v>6101</v>
      </c>
    </row>
    <row r="2293" spans="1:19" ht="14.25" customHeight="1" x14ac:dyDescent="0.3">
      <c r="A2293" t="s">
        <v>5409</v>
      </c>
      <c r="B2293" t="s">
        <v>3999</v>
      </c>
      <c r="C2293" t="s">
        <v>3538</v>
      </c>
      <c r="D2293" t="s">
        <v>5241</v>
      </c>
      <c r="E2293" t="s">
        <v>5595</v>
      </c>
      <c r="F2293" t="s">
        <v>6058</v>
      </c>
      <c r="G2293" s="2" t="str">
        <f>HYPERLINK("https://www.facebook.com/100008015348370/posts/2088936954716796")</f>
        <v>https://www.facebook.com/100008015348370/posts/2088936954716796</v>
      </c>
      <c r="H2293" t="s">
        <v>6061</v>
      </c>
      <c r="I2293" t="s">
        <v>917</v>
      </c>
      <c r="J2293" s="2" t="str">
        <f>HYPERLINK("https://www.facebook.com/100008015348370")</f>
        <v>https://www.facebook.com/100008015348370</v>
      </c>
      <c r="K2293">
        <v>269</v>
      </c>
      <c r="L2293" t="s">
        <v>6063</v>
      </c>
      <c r="N2293" t="s">
        <v>13</v>
      </c>
      <c r="O2293" t="s">
        <v>917</v>
      </c>
      <c r="P2293" s="2" t="str">
        <f>HYPERLINK("https://www.facebook.com/100008015348370")</f>
        <v>https://www.facebook.com/100008015348370</v>
      </c>
      <c r="Q2293">
        <v>269</v>
      </c>
      <c r="R2293" t="s">
        <v>6067</v>
      </c>
      <c r="S2293" t="s">
        <v>6073</v>
      </c>
    </row>
    <row r="2294" spans="1:19" ht="14.25" customHeight="1" x14ac:dyDescent="0.3">
      <c r="A2294" t="s">
        <v>2225</v>
      </c>
      <c r="B2294" t="s">
        <v>1830</v>
      </c>
      <c r="C2294" t="s">
        <v>95</v>
      </c>
      <c r="D2294" t="s">
        <v>2196</v>
      </c>
      <c r="E2294" t="s">
        <v>3433</v>
      </c>
      <c r="F2294" t="s">
        <v>6059</v>
      </c>
      <c r="G2294" s="2" t="str">
        <f>HYPERLINK("https://www.facebook.com/100001415260849/posts/1744734525583706?comment_id=1745674752156350")</f>
        <v>https://www.facebook.com/100001415260849/posts/1744734525583706?comment_id=1745674752156350</v>
      </c>
      <c r="H2294" t="s">
        <v>6061</v>
      </c>
      <c r="I2294" t="s">
        <v>3434</v>
      </c>
      <c r="J2294" s="2" t="str">
        <f>HYPERLINK("https://www.facebook.com/100000731655133")</f>
        <v>https://www.facebook.com/100000731655133</v>
      </c>
      <c r="K2294">
        <v>163</v>
      </c>
      <c r="L2294" t="s">
        <v>6063</v>
      </c>
      <c r="N2294" t="s">
        <v>13</v>
      </c>
      <c r="O2294" t="s">
        <v>2199</v>
      </c>
      <c r="P2294" s="2" t="str">
        <f>HYPERLINK("https://www.facebook.com/100001415260849")</f>
        <v>https://www.facebook.com/100001415260849</v>
      </c>
      <c r="Q2294">
        <v>0</v>
      </c>
      <c r="R2294" t="s">
        <v>6067</v>
      </c>
      <c r="S2294" t="s">
        <v>6073</v>
      </c>
    </row>
    <row r="2295" spans="1:19" ht="14.25" customHeight="1" x14ac:dyDescent="0.3">
      <c r="A2295" t="s">
        <v>629</v>
      </c>
      <c r="B2295" t="s">
        <v>32</v>
      </c>
      <c r="C2295" t="s">
        <v>95</v>
      </c>
      <c r="D2295" t="s">
        <v>10</v>
      </c>
      <c r="E2295" t="s">
        <v>1281</v>
      </c>
      <c r="F2295" t="s">
        <v>6059</v>
      </c>
      <c r="G2295" s="2" t="str">
        <f>HYPERLINK("https://www.facebook.com/762053551/posts/10156366210158552?comment_id=10156366219753552")</f>
        <v>https://www.facebook.com/762053551/posts/10156366210158552?comment_id=10156366219753552</v>
      </c>
      <c r="H2295" t="s">
        <v>6061</v>
      </c>
      <c r="I2295" t="s">
        <v>1282</v>
      </c>
      <c r="J2295" s="2" t="str">
        <f>HYPERLINK("https://www.facebook.com/100004343773090")</f>
        <v>https://www.facebook.com/100004343773090</v>
      </c>
      <c r="K2295">
        <v>890</v>
      </c>
      <c r="L2295" t="s">
        <v>6063</v>
      </c>
      <c r="N2295" t="s">
        <v>13</v>
      </c>
      <c r="O2295" t="s">
        <v>14</v>
      </c>
      <c r="P2295" s="2" t="str">
        <f>HYPERLINK("https://www.facebook.com/762053551")</f>
        <v>https://www.facebook.com/762053551</v>
      </c>
      <c r="Q2295">
        <v>102347</v>
      </c>
      <c r="R2295" t="s">
        <v>6067</v>
      </c>
      <c r="S2295" t="s">
        <v>6073</v>
      </c>
    </row>
    <row r="2296" spans="1:19" ht="14.25" customHeight="1" x14ac:dyDescent="0.3">
      <c r="A2296" t="s">
        <v>4439</v>
      </c>
      <c r="B2296" t="s">
        <v>808</v>
      </c>
      <c r="C2296" t="s">
        <v>3538</v>
      </c>
      <c r="D2296" t="s">
        <v>4524</v>
      </c>
      <c r="E2296" t="s">
        <v>4525</v>
      </c>
      <c r="F2296" t="s">
        <v>6059</v>
      </c>
      <c r="G2296" s="2" t="str">
        <f>HYPERLINK("https://www.facebook.com/100000520070222/posts/2015812031779446?comment_id=2016183438408972")</f>
        <v>https://www.facebook.com/100000520070222/posts/2015812031779446?comment_id=2016183438408972</v>
      </c>
      <c r="H2296" t="s">
        <v>6061</v>
      </c>
      <c r="I2296" t="s">
        <v>4526</v>
      </c>
      <c r="J2296" s="2" t="str">
        <f>HYPERLINK("https://www.facebook.com/1509365227")</f>
        <v>https://www.facebook.com/1509365227</v>
      </c>
      <c r="K2296">
        <v>0</v>
      </c>
      <c r="L2296" t="s">
        <v>6063</v>
      </c>
      <c r="N2296" t="s">
        <v>13</v>
      </c>
      <c r="O2296" t="s">
        <v>4527</v>
      </c>
      <c r="P2296" s="2" t="str">
        <f>HYPERLINK("https://www.facebook.com/100000520070222")</f>
        <v>https://www.facebook.com/100000520070222</v>
      </c>
      <c r="Q2296">
        <v>0</v>
      </c>
      <c r="R2296" t="s">
        <v>6067</v>
      </c>
      <c r="S2296" t="s">
        <v>6089</v>
      </c>
    </row>
    <row r="2297" spans="1:19" ht="14.25" customHeight="1" x14ac:dyDescent="0.3">
      <c r="A2297" t="s">
        <v>3527</v>
      </c>
      <c r="B2297" t="s">
        <v>4097</v>
      </c>
      <c r="C2297" t="s">
        <v>95</v>
      </c>
      <c r="D2297" t="s">
        <v>4100</v>
      </c>
      <c r="E2297" t="s">
        <v>4101</v>
      </c>
      <c r="F2297" t="s">
        <v>6059</v>
      </c>
      <c r="G2297" s="2" t="str">
        <f>HYPERLINK("https://www.facebook.com/1485910831719488/posts/1941871169456783?comment_id=1941873076123259")</f>
        <v>https://www.facebook.com/1485910831719488/posts/1941871169456783?comment_id=1941873076123259</v>
      </c>
      <c r="H2297" t="s">
        <v>6061</v>
      </c>
      <c r="I2297" t="s">
        <v>4102</v>
      </c>
      <c r="J2297" s="2" t="str">
        <f>HYPERLINK("https://www.facebook.com/100000755458120")</f>
        <v>https://www.facebook.com/100000755458120</v>
      </c>
      <c r="K2297">
        <v>220</v>
      </c>
      <c r="L2297" t="s">
        <v>6063</v>
      </c>
      <c r="N2297" t="s">
        <v>13</v>
      </c>
      <c r="O2297" t="s">
        <v>4103</v>
      </c>
      <c r="P2297" s="2" t="str">
        <f>HYPERLINK("https://www.facebook.com/1485910831719488")</f>
        <v>https://www.facebook.com/1485910831719488</v>
      </c>
      <c r="R2297" t="s">
        <v>6067</v>
      </c>
      <c r="S2297" t="s">
        <v>6073</v>
      </c>
    </row>
    <row r="2298" spans="1:19" ht="14.25" customHeight="1" x14ac:dyDescent="0.3">
      <c r="A2298" t="s">
        <v>4995</v>
      </c>
      <c r="B2298" t="s">
        <v>279</v>
      </c>
      <c r="C2298" t="s">
        <v>3538</v>
      </c>
      <c r="D2298" t="s">
        <v>5271</v>
      </c>
      <c r="E2298" t="s">
        <v>5272</v>
      </c>
      <c r="F2298" t="s">
        <v>6057</v>
      </c>
      <c r="G2298" s="2" t="str">
        <f>HYPERLINK("https://www.facebook.com/100008039161154/posts/2058710491073570")</f>
        <v>https://www.facebook.com/100008039161154/posts/2058710491073570</v>
      </c>
      <c r="H2298" t="s">
        <v>6061</v>
      </c>
      <c r="I2298" t="s">
        <v>2587</v>
      </c>
      <c r="J2298" s="2" t="str">
        <f>HYPERLINK("https://www.facebook.com/100008039161154")</f>
        <v>https://www.facebook.com/100008039161154</v>
      </c>
      <c r="K2298">
        <v>156</v>
      </c>
      <c r="L2298" t="s">
        <v>6064</v>
      </c>
      <c r="N2298" t="s">
        <v>13</v>
      </c>
      <c r="O2298" t="s">
        <v>2587</v>
      </c>
      <c r="P2298" s="2" t="str">
        <f>HYPERLINK("https://www.facebook.com/100008039161154")</f>
        <v>https://www.facebook.com/100008039161154</v>
      </c>
      <c r="Q2298">
        <v>156</v>
      </c>
      <c r="R2298" t="s">
        <v>6067</v>
      </c>
      <c r="S2298" t="s">
        <v>6073</v>
      </c>
    </row>
    <row r="2299" spans="1:19" ht="14.25" customHeight="1" x14ac:dyDescent="0.3">
      <c r="A2299" t="s">
        <v>5409</v>
      </c>
      <c r="B2299" t="s">
        <v>383</v>
      </c>
      <c r="C2299" t="s">
        <v>3538</v>
      </c>
      <c r="D2299" t="s">
        <v>5795</v>
      </c>
      <c r="E2299" t="s">
        <v>5867</v>
      </c>
      <c r="F2299" t="s">
        <v>6057</v>
      </c>
      <c r="G2299" s="2" t="str">
        <f>HYPERLINK("https://www.facebook.com/100000471862424/posts/2479785835380454")</f>
        <v>https://www.facebook.com/100000471862424/posts/2479785835380454</v>
      </c>
      <c r="H2299" t="s">
        <v>6061</v>
      </c>
      <c r="I2299" t="s">
        <v>5798</v>
      </c>
      <c r="J2299" s="2" t="str">
        <f>HYPERLINK("https://www.facebook.com/100000471862424")</f>
        <v>https://www.facebook.com/100000471862424</v>
      </c>
      <c r="K2299">
        <v>1510</v>
      </c>
      <c r="L2299" t="s">
        <v>6063</v>
      </c>
      <c r="N2299" t="s">
        <v>13</v>
      </c>
      <c r="O2299" t="s">
        <v>5798</v>
      </c>
      <c r="P2299" s="2" t="str">
        <f>HYPERLINK("https://www.facebook.com/100000471862424")</f>
        <v>https://www.facebook.com/100000471862424</v>
      </c>
      <c r="Q2299">
        <v>1510</v>
      </c>
      <c r="R2299" t="s">
        <v>6067</v>
      </c>
      <c r="S2299" t="s">
        <v>6073</v>
      </c>
    </row>
    <row r="2300" spans="1:19" ht="14.25" customHeight="1" x14ac:dyDescent="0.3">
      <c r="A2300" t="s">
        <v>5409</v>
      </c>
      <c r="B2300" t="s">
        <v>5123</v>
      </c>
      <c r="C2300" t="s">
        <v>3538</v>
      </c>
      <c r="D2300" t="s">
        <v>5583</v>
      </c>
      <c r="E2300" t="s">
        <v>5584</v>
      </c>
      <c r="F2300" t="s">
        <v>6056</v>
      </c>
      <c r="G2300" s="2" t="str">
        <f>HYPERLINK("https://www.facebook.com/100004023925703/posts/1247171662093619")</f>
        <v>https://www.facebook.com/100004023925703/posts/1247171662093619</v>
      </c>
      <c r="H2300" t="s">
        <v>6061</v>
      </c>
      <c r="I2300" t="s">
        <v>5585</v>
      </c>
      <c r="J2300" s="2" t="str">
        <f>HYPERLINK("https://www.facebook.com/100004023925703")</f>
        <v>https://www.facebook.com/100004023925703</v>
      </c>
      <c r="K2300">
        <v>67</v>
      </c>
      <c r="L2300" t="s">
        <v>6063</v>
      </c>
      <c r="N2300" t="s">
        <v>13</v>
      </c>
      <c r="O2300" t="s">
        <v>5585</v>
      </c>
      <c r="P2300" s="2" t="str">
        <f>HYPERLINK("https://www.facebook.com/100004023925703")</f>
        <v>https://www.facebook.com/100004023925703</v>
      </c>
      <c r="Q2300">
        <v>67</v>
      </c>
      <c r="R2300" t="s">
        <v>6067</v>
      </c>
      <c r="S2300" t="s">
        <v>6073</v>
      </c>
    </row>
    <row r="2301" spans="1:19" ht="14.25" customHeight="1" x14ac:dyDescent="0.3">
      <c r="A2301" t="s">
        <v>4995</v>
      </c>
      <c r="B2301" t="s">
        <v>1810</v>
      </c>
      <c r="C2301" t="s">
        <v>3538</v>
      </c>
      <c r="D2301" t="s">
        <v>5152</v>
      </c>
      <c r="E2301" t="s">
        <v>5153</v>
      </c>
      <c r="F2301" t="s">
        <v>6056</v>
      </c>
      <c r="G2301" s="2" t="str">
        <f>HYPERLINK("https://www.facebook.com/100009472622939/posts/2058091147849953")</f>
        <v>https://www.facebook.com/100009472622939/posts/2058091147849953</v>
      </c>
      <c r="H2301" t="s">
        <v>6061</v>
      </c>
      <c r="I2301" t="s">
        <v>2923</v>
      </c>
      <c r="J2301" s="2" t="str">
        <f>HYPERLINK("https://www.facebook.com/100009472622939")</f>
        <v>https://www.facebook.com/100009472622939</v>
      </c>
      <c r="K2301">
        <v>8531</v>
      </c>
      <c r="L2301" t="s">
        <v>6063</v>
      </c>
      <c r="N2301" t="s">
        <v>13</v>
      </c>
      <c r="O2301" t="s">
        <v>2923</v>
      </c>
      <c r="P2301" s="2" t="str">
        <f>HYPERLINK("https://www.facebook.com/100009472622939")</f>
        <v>https://www.facebook.com/100009472622939</v>
      </c>
      <c r="Q2301">
        <v>8531</v>
      </c>
      <c r="R2301" t="s">
        <v>6067</v>
      </c>
      <c r="S2301" t="s">
        <v>6073</v>
      </c>
    </row>
    <row r="2302" spans="1:19" ht="14.25" customHeight="1" x14ac:dyDescent="0.3">
      <c r="A2302" t="s">
        <v>5409</v>
      </c>
      <c r="B2302" t="s">
        <v>1557</v>
      </c>
      <c r="C2302" t="s">
        <v>3538</v>
      </c>
      <c r="D2302" t="s">
        <v>3757</v>
      </c>
      <c r="E2302" t="s">
        <v>5844</v>
      </c>
      <c r="F2302" t="s">
        <v>6059</v>
      </c>
      <c r="G2302" s="2" t="str">
        <f>HYPERLINK("https://www.facebook.com/1676376791/posts/10209685538090004?comment_id=10209686181186081")</f>
        <v>https://www.facebook.com/1676376791/posts/10209685538090004?comment_id=10209686181186081</v>
      </c>
      <c r="H2302" t="s">
        <v>6061</v>
      </c>
      <c r="I2302" t="s">
        <v>3759</v>
      </c>
      <c r="J2302" s="2" t="str">
        <f>HYPERLINK("https://www.facebook.com/1419471070")</f>
        <v>https://www.facebook.com/1419471070</v>
      </c>
      <c r="K2302">
        <v>383</v>
      </c>
      <c r="L2302" t="s">
        <v>6063</v>
      </c>
      <c r="N2302" t="s">
        <v>13</v>
      </c>
      <c r="O2302" t="s">
        <v>3760</v>
      </c>
      <c r="P2302" s="2" t="str">
        <f>HYPERLINK("https://www.facebook.com/1676376791")</f>
        <v>https://www.facebook.com/1676376791</v>
      </c>
      <c r="Q2302">
        <v>4013</v>
      </c>
      <c r="R2302" t="s">
        <v>6067</v>
      </c>
      <c r="S2302" t="s">
        <v>6073</v>
      </c>
    </row>
    <row r="2303" spans="1:19" ht="14.25" customHeight="1" x14ac:dyDescent="0.3">
      <c r="A2303" t="s">
        <v>629</v>
      </c>
      <c r="B2303" t="s">
        <v>1391</v>
      </c>
      <c r="C2303" t="s">
        <v>95</v>
      </c>
      <c r="D2303" t="s">
        <v>1310</v>
      </c>
      <c r="E2303" t="s">
        <v>1392</v>
      </c>
      <c r="F2303" t="s">
        <v>6059</v>
      </c>
      <c r="G2303" s="2" t="str">
        <f>HYPERLINK("https://www.facebook.com/100002596202440/posts/1614339498662575?comment_id=1614889501940908")</f>
        <v>https://www.facebook.com/100002596202440/posts/1614339498662575?comment_id=1614889501940908</v>
      </c>
      <c r="H2303" t="s">
        <v>6061</v>
      </c>
      <c r="I2303" t="s">
        <v>1317</v>
      </c>
      <c r="J2303" s="2" t="str">
        <f>HYPERLINK("https://www.facebook.com/100001473607753")</f>
        <v>https://www.facebook.com/100001473607753</v>
      </c>
      <c r="K2303">
        <v>399</v>
      </c>
      <c r="L2303" t="s">
        <v>6064</v>
      </c>
      <c r="N2303" t="s">
        <v>13</v>
      </c>
      <c r="O2303" t="s">
        <v>1312</v>
      </c>
      <c r="P2303" s="2" t="str">
        <f>HYPERLINK("https://www.facebook.com/100002596202440")</f>
        <v>https://www.facebook.com/100002596202440</v>
      </c>
      <c r="Q2303">
        <v>531</v>
      </c>
      <c r="R2303" t="s">
        <v>6067</v>
      </c>
      <c r="S2303" t="s">
        <v>6073</v>
      </c>
    </row>
    <row r="2304" spans="1:19" ht="14.25" customHeight="1" x14ac:dyDescent="0.3">
      <c r="A2304" t="s">
        <v>629</v>
      </c>
      <c r="B2304" t="s">
        <v>1315</v>
      </c>
      <c r="C2304" t="s">
        <v>95</v>
      </c>
      <c r="D2304" t="s">
        <v>1310</v>
      </c>
      <c r="E2304" t="s">
        <v>1316</v>
      </c>
      <c r="F2304" t="s">
        <v>6059</v>
      </c>
      <c r="G2304" s="2" t="str">
        <f>HYPERLINK("https://www.facebook.com/100002596202440/posts/1614339498662575?comment_id=1614963861933472")</f>
        <v>https://www.facebook.com/100002596202440/posts/1614339498662575?comment_id=1614963861933472</v>
      </c>
      <c r="H2304" t="s">
        <v>6061</v>
      </c>
      <c r="I2304" t="s">
        <v>1317</v>
      </c>
      <c r="J2304" s="2" t="str">
        <f>HYPERLINK("https://www.facebook.com/100001473607753")</f>
        <v>https://www.facebook.com/100001473607753</v>
      </c>
      <c r="K2304">
        <v>399</v>
      </c>
      <c r="L2304" t="s">
        <v>6064</v>
      </c>
      <c r="N2304" t="s">
        <v>13</v>
      </c>
      <c r="O2304" t="s">
        <v>1312</v>
      </c>
      <c r="P2304" s="2" t="str">
        <f>HYPERLINK("https://www.facebook.com/100002596202440")</f>
        <v>https://www.facebook.com/100002596202440</v>
      </c>
      <c r="Q2304">
        <v>531</v>
      </c>
      <c r="R2304" t="s">
        <v>6067</v>
      </c>
      <c r="S2304" t="s">
        <v>6073</v>
      </c>
    </row>
    <row r="2305" spans="1:19" ht="14.25" customHeight="1" x14ac:dyDescent="0.3">
      <c r="A2305" t="s">
        <v>4439</v>
      </c>
      <c r="B2305" t="s">
        <v>1963</v>
      </c>
      <c r="C2305" t="s">
        <v>3538</v>
      </c>
      <c r="D2305" t="s">
        <v>4801</v>
      </c>
      <c r="E2305" t="s">
        <v>4863</v>
      </c>
      <c r="F2305" t="s">
        <v>6059</v>
      </c>
      <c r="G2305" s="2" t="str">
        <f>HYPERLINK("https://www.facebook.com/100000817437246/posts/1646973195339912?comment_id=1647281521975746")</f>
        <v>https://www.facebook.com/100000817437246/posts/1646973195339912?comment_id=1647281521975746</v>
      </c>
      <c r="H2305" t="s">
        <v>6061</v>
      </c>
      <c r="I2305" t="s">
        <v>4864</v>
      </c>
      <c r="J2305" s="2" t="str">
        <f>HYPERLINK("https://www.facebook.com/1308723615")</f>
        <v>https://www.facebook.com/1308723615</v>
      </c>
      <c r="K2305">
        <v>232</v>
      </c>
      <c r="L2305" t="s">
        <v>6064</v>
      </c>
      <c r="M2305">
        <v>34</v>
      </c>
      <c r="N2305" t="s">
        <v>13</v>
      </c>
      <c r="O2305" t="s">
        <v>4804</v>
      </c>
      <c r="P2305" s="2" t="str">
        <f>HYPERLINK("https://www.facebook.com/100000817437246")</f>
        <v>https://www.facebook.com/100000817437246</v>
      </c>
      <c r="Q2305">
        <v>1821</v>
      </c>
      <c r="R2305" t="s">
        <v>6067</v>
      </c>
      <c r="S2305" t="s">
        <v>6073</v>
      </c>
    </row>
    <row r="2306" spans="1:19" ht="14.25" customHeight="1" x14ac:dyDescent="0.3">
      <c r="A2306" t="s">
        <v>4439</v>
      </c>
      <c r="B2306" t="s">
        <v>472</v>
      </c>
      <c r="C2306" t="s">
        <v>3538</v>
      </c>
      <c r="D2306" t="s">
        <v>4865</v>
      </c>
      <c r="E2306" t="s">
        <v>4866</v>
      </c>
      <c r="F2306" t="s">
        <v>6056</v>
      </c>
      <c r="G2306" s="2" t="str">
        <f>HYPERLINK("https://www.facebook.com/100002025264986/posts/1690520951025397")</f>
        <v>https://www.facebook.com/100002025264986/posts/1690520951025397</v>
      </c>
      <c r="H2306" t="s">
        <v>6061</v>
      </c>
      <c r="I2306" t="s">
        <v>4867</v>
      </c>
      <c r="J2306" s="2" t="str">
        <f>HYPERLINK("https://www.facebook.com/100002025264986")</f>
        <v>https://www.facebook.com/100002025264986</v>
      </c>
      <c r="K2306">
        <v>199</v>
      </c>
      <c r="L2306" t="s">
        <v>6063</v>
      </c>
      <c r="N2306" t="s">
        <v>13</v>
      </c>
      <c r="O2306" t="s">
        <v>4867</v>
      </c>
      <c r="P2306" s="2" t="str">
        <f>HYPERLINK("https://www.facebook.com/100002025264986")</f>
        <v>https://www.facebook.com/100002025264986</v>
      </c>
      <c r="Q2306">
        <v>199</v>
      </c>
      <c r="R2306" t="s">
        <v>6067</v>
      </c>
      <c r="S2306" t="s">
        <v>6073</v>
      </c>
    </row>
    <row r="2307" spans="1:19" ht="14.25" customHeight="1" x14ac:dyDescent="0.3">
      <c r="A2307" t="s">
        <v>5409</v>
      </c>
      <c r="B2307" t="s">
        <v>1966</v>
      </c>
      <c r="C2307" t="s">
        <v>3538</v>
      </c>
      <c r="D2307" t="s">
        <v>5919</v>
      </c>
      <c r="E2307" t="s">
        <v>5920</v>
      </c>
      <c r="F2307" t="s">
        <v>6057</v>
      </c>
      <c r="G2307" s="2" t="str">
        <f>HYPERLINK("https://www.facebook.com/100000733766541/posts/1939444196090020")</f>
        <v>https://www.facebook.com/100000733766541/posts/1939444196090020</v>
      </c>
      <c r="H2307" t="s">
        <v>6061</v>
      </c>
      <c r="I2307" t="s">
        <v>5921</v>
      </c>
      <c r="J2307" s="2" t="str">
        <f>HYPERLINK("https://www.facebook.com/100000733766541")</f>
        <v>https://www.facebook.com/100000733766541</v>
      </c>
      <c r="K2307">
        <v>1848</v>
      </c>
      <c r="L2307" t="s">
        <v>6063</v>
      </c>
      <c r="N2307" t="s">
        <v>13</v>
      </c>
      <c r="O2307" t="s">
        <v>5921</v>
      </c>
      <c r="P2307" s="2" t="str">
        <f>HYPERLINK("https://www.facebook.com/100000733766541")</f>
        <v>https://www.facebook.com/100000733766541</v>
      </c>
      <c r="Q2307">
        <v>1848</v>
      </c>
      <c r="R2307" t="s">
        <v>6067</v>
      </c>
      <c r="S2307" t="s">
        <v>6073</v>
      </c>
    </row>
    <row r="2308" spans="1:19" ht="14.25" customHeight="1" x14ac:dyDescent="0.3">
      <c r="A2308" t="s">
        <v>629</v>
      </c>
      <c r="B2308" t="s">
        <v>689</v>
      </c>
      <c r="C2308" t="s">
        <v>95</v>
      </c>
      <c r="D2308" t="s">
        <v>690</v>
      </c>
      <c r="E2308" t="s">
        <v>691</v>
      </c>
      <c r="F2308" t="s">
        <v>6058</v>
      </c>
      <c r="G2308" s="2" t="str">
        <f>HYPERLINK("https://www.facebook.com/1098521714/posts/10211296166615449")</f>
        <v>https://www.facebook.com/1098521714/posts/10211296166615449</v>
      </c>
      <c r="H2308" t="s">
        <v>6061</v>
      </c>
      <c r="I2308" t="s">
        <v>692</v>
      </c>
      <c r="J2308" s="2" t="str">
        <f>HYPERLINK("https://www.facebook.com/1098521714")</f>
        <v>https://www.facebook.com/1098521714</v>
      </c>
      <c r="K2308">
        <v>87</v>
      </c>
      <c r="L2308" t="s">
        <v>6063</v>
      </c>
      <c r="N2308" t="s">
        <v>13</v>
      </c>
      <c r="O2308" t="s">
        <v>692</v>
      </c>
      <c r="P2308" s="2" t="str">
        <f>HYPERLINK("https://www.facebook.com/1098521714")</f>
        <v>https://www.facebook.com/1098521714</v>
      </c>
      <c r="Q2308">
        <v>87</v>
      </c>
      <c r="R2308" t="s">
        <v>6067</v>
      </c>
      <c r="S2308" t="s">
        <v>6073</v>
      </c>
    </row>
    <row r="2309" spans="1:19" ht="14.25" customHeight="1" x14ac:dyDescent="0.3">
      <c r="A2309" t="s">
        <v>4995</v>
      </c>
      <c r="B2309" t="s">
        <v>107</v>
      </c>
      <c r="C2309" t="s">
        <v>3538</v>
      </c>
      <c r="D2309" t="s">
        <v>4614</v>
      </c>
      <c r="E2309" t="s">
        <v>5223</v>
      </c>
      <c r="F2309" t="s">
        <v>6058</v>
      </c>
      <c r="G2309" s="2" t="str">
        <f>HYPERLINK("https://www.facebook.com/100017312850995/posts/210452872875140")</f>
        <v>https://www.facebook.com/100017312850995/posts/210452872875140</v>
      </c>
      <c r="H2309" t="s">
        <v>6061</v>
      </c>
      <c r="I2309" t="s">
        <v>5224</v>
      </c>
      <c r="J2309" s="2" t="str">
        <f>HYPERLINK("https://www.facebook.com/100017312850995")</f>
        <v>https://www.facebook.com/100017312850995</v>
      </c>
      <c r="K2309">
        <v>61</v>
      </c>
      <c r="L2309" t="s">
        <v>6063</v>
      </c>
      <c r="N2309" t="s">
        <v>13</v>
      </c>
      <c r="O2309" t="s">
        <v>5224</v>
      </c>
      <c r="P2309" s="2" t="str">
        <f>HYPERLINK("https://www.facebook.com/100017312850995")</f>
        <v>https://www.facebook.com/100017312850995</v>
      </c>
      <c r="Q2309">
        <v>61</v>
      </c>
      <c r="R2309" t="s">
        <v>6067</v>
      </c>
    </row>
    <row r="2310" spans="1:19" ht="14.25" customHeight="1" x14ac:dyDescent="0.3">
      <c r="A2310" t="s">
        <v>3527</v>
      </c>
      <c r="B2310" t="s">
        <v>787</v>
      </c>
      <c r="C2310" t="s">
        <v>95</v>
      </c>
      <c r="D2310" t="s">
        <v>3726</v>
      </c>
      <c r="E2310" t="s">
        <v>3727</v>
      </c>
      <c r="F2310" t="s">
        <v>6059</v>
      </c>
      <c r="G2310" s="2" t="str">
        <f>HYPERLINK("https://www.facebook.com/222720457764567/posts/1729298163773448?comment_id=1729393097097288")</f>
        <v>https://www.facebook.com/222720457764567/posts/1729298163773448?comment_id=1729393097097288</v>
      </c>
      <c r="H2310" t="s">
        <v>6061</v>
      </c>
      <c r="I2310" t="s">
        <v>3728</v>
      </c>
      <c r="J2310" s="2" t="str">
        <f t="shared" ref="J2310:J2324" si="64">HYPERLINK("https://www.facebook.com/100015815701320")</f>
        <v>https://www.facebook.com/100015815701320</v>
      </c>
      <c r="K2310">
        <v>48</v>
      </c>
      <c r="L2310" t="s">
        <v>6063</v>
      </c>
      <c r="N2310" t="s">
        <v>13</v>
      </c>
      <c r="O2310" t="s">
        <v>3729</v>
      </c>
      <c r="P2310" s="2" t="str">
        <f>HYPERLINK("https://www.facebook.com/222720457764567")</f>
        <v>https://www.facebook.com/222720457764567</v>
      </c>
      <c r="Q2310">
        <v>101564</v>
      </c>
      <c r="R2310" t="s">
        <v>6067</v>
      </c>
      <c r="S2310" t="s">
        <v>6073</v>
      </c>
    </row>
    <row r="2311" spans="1:19" ht="14.25" customHeight="1" x14ac:dyDescent="0.3">
      <c r="A2311" t="s">
        <v>3527</v>
      </c>
      <c r="B2311" t="s">
        <v>801</v>
      </c>
      <c r="C2311" t="s">
        <v>95</v>
      </c>
      <c r="D2311" t="s">
        <v>3747</v>
      </c>
      <c r="E2311" t="s">
        <v>3727</v>
      </c>
      <c r="F2311" t="s">
        <v>6059</v>
      </c>
      <c r="G2311" s="2" t="str">
        <f>HYPERLINK("https://www.facebook.com/112821225446278/posts/1760434524018265?comment_id=1760492844012433")</f>
        <v>https://www.facebook.com/112821225446278/posts/1760434524018265?comment_id=1760492844012433</v>
      </c>
      <c r="H2311" t="s">
        <v>6061</v>
      </c>
      <c r="I2311" t="s">
        <v>3728</v>
      </c>
      <c r="J2311" s="2" t="str">
        <f t="shared" si="64"/>
        <v>https://www.facebook.com/100015815701320</v>
      </c>
      <c r="K2311">
        <v>48</v>
      </c>
      <c r="L2311" t="s">
        <v>6063</v>
      </c>
      <c r="N2311" t="s">
        <v>13</v>
      </c>
      <c r="O2311" t="s">
        <v>3748</v>
      </c>
      <c r="P2311" s="2" t="str">
        <f>HYPERLINK("https://www.facebook.com/112821225446278")</f>
        <v>https://www.facebook.com/112821225446278</v>
      </c>
      <c r="Q2311">
        <v>226948</v>
      </c>
      <c r="R2311" t="s">
        <v>6067</v>
      </c>
    </row>
    <row r="2312" spans="1:19" ht="14.25" customHeight="1" x14ac:dyDescent="0.3">
      <c r="A2312" t="s">
        <v>3527</v>
      </c>
      <c r="B2312" t="s">
        <v>3222</v>
      </c>
      <c r="C2312" t="s">
        <v>95</v>
      </c>
      <c r="D2312" t="s">
        <v>4152</v>
      </c>
      <c r="E2312" t="s">
        <v>4153</v>
      </c>
      <c r="F2312" t="s">
        <v>6059</v>
      </c>
      <c r="G2312" s="2" t="str">
        <f>HYPERLINK("https://www.facebook.com/164271473587410/posts/2092563204091551?comment_id=2095804213767450")</f>
        <v>https://www.facebook.com/164271473587410/posts/2092563204091551?comment_id=2095804213767450</v>
      </c>
      <c r="H2312" t="s">
        <v>6061</v>
      </c>
      <c r="I2312" t="s">
        <v>3728</v>
      </c>
      <c r="J2312" s="2" t="str">
        <f t="shared" si="64"/>
        <v>https://www.facebook.com/100015815701320</v>
      </c>
      <c r="K2312">
        <v>48</v>
      </c>
      <c r="L2312" t="s">
        <v>6063</v>
      </c>
      <c r="N2312" t="s">
        <v>13</v>
      </c>
      <c r="O2312" t="s">
        <v>4154</v>
      </c>
      <c r="P2312" s="2" t="str">
        <f>HYPERLINK("https://www.facebook.com/164271473587410")</f>
        <v>https://www.facebook.com/164271473587410</v>
      </c>
      <c r="Q2312">
        <v>438074</v>
      </c>
      <c r="R2312" t="s">
        <v>6067</v>
      </c>
      <c r="S2312" t="s">
        <v>6073</v>
      </c>
    </row>
    <row r="2313" spans="1:19" ht="14.25" customHeight="1" x14ac:dyDescent="0.3">
      <c r="A2313" t="s">
        <v>3527</v>
      </c>
      <c r="B2313" t="s">
        <v>3222</v>
      </c>
      <c r="C2313" t="s">
        <v>95</v>
      </c>
      <c r="D2313" t="s">
        <v>4155</v>
      </c>
      <c r="E2313" t="s">
        <v>4153</v>
      </c>
      <c r="F2313" t="s">
        <v>6059</v>
      </c>
      <c r="G2313" s="2" t="str">
        <f>HYPERLINK("https://www.facebook.com/164271473587410/posts/2095798893767982?comment_id=2095804013767470")</f>
        <v>https://www.facebook.com/164271473587410/posts/2095798893767982?comment_id=2095804013767470</v>
      </c>
      <c r="H2313" t="s">
        <v>6061</v>
      </c>
      <c r="I2313" t="s">
        <v>3728</v>
      </c>
      <c r="J2313" s="2" t="str">
        <f t="shared" si="64"/>
        <v>https://www.facebook.com/100015815701320</v>
      </c>
      <c r="K2313">
        <v>48</v>
      </c>
      <c r="L2313" t="s">
        <v>6063</v>
      </c>
      <c r="N2313" t="s">
        <v>13</v>
      </c>
      <c r="O2313" t="s">
        <v>4154</v>
      </c>
      <c r="P2313" s="2" t="str">
        <f>HYPERLINK("https://www.facebook.com/164271473587410")</f>
        <v>https://www.facebook.com/164271473587410</v>
      </c>
      <c r="Q2313">
        <v>438074</v>
      </c>
      <c r="R2313" t="s">
        <v>6067</v>
      </c>
      <c r="S2313" t="s">
        <v>6073</v>
      </c>
    </row>
    <row r="2314" spans="1:19" ht="14.25" customHeight="1" x14ac:dyDescent="0.3">
      <c r="A2314" t="s">
        <v>3527</v>
      </c>
      <c r="B2314" t="s">
        <v>843</v>
      </c>
      <c r="C2314" t="s">
        <v>3538</v>
      </c>
      <c r="D2314" t="s">
        <v>3844</v>
      </c>
      <c r="E2314" t="s">
        <v>3845</v>
      </c>
      <c r="F2314" t="s">
        <v>6059</v>
      </c>
      <c r="G2314" s="2" t="str">
        <f>HYPERLINK("https://www.facebook.com/836874632997128/posts/2121078181243427?comment_id=342988252774787")</f>
        <v>https://www.facebook.com/836874632997128/posts/2121078181243427?comment_id=342988252774787</v>
      </c>
      <c r="H2314" t="s">
        <v>6061</v>
      </c>
      <c r="I2314" t="s">
        <v>3728</v>
      </c>
      <c r="J2314" s="2" t="str">
        <f t="shared" si="64"/>
        <v>https://www.facebook.com/100015815701320</v>
      </c>
      <c r="K2314">
        <v>48</v>
      </c>
      <c r="L2314" t="s">
        <v>6063</v>
      </c>
      <c r="N2314" t="s">
        <v>13</v>
      </c>
      <c r="O2314" t="s">
        <v>3846</v>
      </c>
      <c r="P2314" s="2" t="str">
        <f>HYPERLINK("https://www.facebook.com/836874632997128")</f>
        <v>https://www.facebook.com/836874632997128</v>
      </c>
      <c r="Q2314">
        <v>24921</v>
      </c>
      <c r="R2314" t="s">
        <v>6067</v>
      </c>
      <c r="S2314" t="s">
        <v>6073</v>
      </c>
    </row>
    <row r="2315" spans="1:19" ht="14.25" customHeight="1" x14ac:dyDescent="0.3">
      <c r="A2315" t="s">
        <v>3527</v>
      </c>
      <c r="B2315" t="s">
        <v>3006</v>
      </c>
      <c r="C2315" t="s">
        <v>95</v>
      </c>
      <c r="D2315" t="s">
        <v>3874</v>
      </c>
      <c r="E2315" t="s">
        <v>3875</v>
      </c>
      <c r="F2315" t="s">
        <v>6059</v>
      </c>
      <c r="G2315" s="2" t="str">
        <f>HYPERLINK("https://www.facebook.com/530555453701888/posts/1959605860796833?comment_id=1967612889996130")</f>
        <v>https://www.facebook.com/530555453701888/posts/1959605860796833?comment_id=1967612889996130</v>
      </c>
      <c r="H2315" t="s">
        <v>6061</v>
      </c>
      <c r="I2315" t="s">
        <v>3728</v>
      </c>
      <c r="J2315" s="2" t="str">
        <f t="shared" si="64"/>
        <v>https://www.facebook.com/100015815701320</v>
      </c>
      <c r="K2315">
        <v>48</v>
      </c>
      <c r="L2315" t="s">
        <v>6063</v>
      </c>
      <c r="N2315" t="s">
        <v>13</v>
      </c>
      <c r="O2315" t="s">
        <v>3876</v>
      </c>
      <c r="P2315" s="2" t="str">
        <f>HYPERLINK("https://www.facebook.com/530555453701888")</f>
        <v>https://www.facebook.com/530555453701888</v>
      </c>
      <c r="Q2315">
        <v>7941</v>
      </c>
      <c r="R2315" t="s">
        <v>6067</v>
      </c>
      <c r="S2315" t="s">
        <v>6073</v>
      </c>
    </row>
    <row r="2316" spans="1:19" ht="14.25" customHeight="1" x14ac:dyDescent="0.3">
      <c r="A2316" t="s">
        <v>3527</v>
      </c>
      <c r="B2316" t="s">
        <v>3006</v>
      </c>
      <c r="C2316" t="s">
        <v>95</v>
      </c>
      <c r="D2316" t="s">
        <v>3877</v>
      </c>
      <c r="E2316" t="s">
        <v>3875</v>
      </c>
      <c r="F2316" t="s">
        <v>6059</v>
      </c>
      <c r="G2316" s="2" t="str">
        <f>HYPERLINK("https://www.facebook.com/530555453701888/posts/1966568813433871?comment_id=1967612723329480")</f>
        <v>https://www.facebook.com/530555453701888/posts/1966568813433871?comment_id=1967612723329480</v>
      </c>
      <c r="H2316" t="s">
        <v>6061</v>
      </c>
      <c r="I2316" t="s">
        <v>3728</v>
      </c>
      <c r="J2316" s="2" t="str">
        <f t="shared" si="64"/>
        <v>https://www.facebook.com/100015815701320</v>
      </c>
      <c r="K2316">
        <v>48</v>
      </c>
      <c r="L2316" t="s">
        <v>6063</v>
      </c>
      <c r="N2316" t="s">
        <v>13</v>
      </c>
      <c r="O2316" t="s">
        <v>3876</v>
      </c>
      <c r="P2316" s="2" t="str">
        <f>HYPERLINK("https://www.facebook.com/530555453701888")</f>
        <v>https://www.facebook.com/530555453701888</v>
      </c>
      <c r="Q2316">
        <v>7941</v>
      </c>
      <c r="R2316" t="s">
        <v>6067</v>
      </c>
      <c r="S2316" t="s">
        <v>6073</v>
      </c>
    </row>
    <row r="2317" spans="1:19" ht="14.25" customHeight="1" x14ac:dyDescent="0.3">
      <c r="A2317" t="s">
        <v>3527</v>
      </c>
      <c r="B2317" t="s">
        <v>3740</v>
      </c>
      <c r="C2317" t="s">
        <v>95</v>
      </c>
      <c r="D2317" t="s">
        <v>3741</v>
      </c>
      <c r="E2317" t="s">
        <v>3742</v>
      </c>
      <c r="F2317" t="s">
        <v>6059</v>
      </c>
      <c r="G2317" s="2" t="str">
        <f>HYPERLINK("https://www.facebook.com/1040376619327386/posts/1864725266892513?comment_id=1864935083538198")</f>
        <v>https://www.facebook.com/1040376619327386/posts/1864725266892513?comment_id=1864935083538198</v>
      </c>
      <c r="H2317" t="s">
        <v>6061</v>
      </c>
      <c r="I2317" t="s">
        <v>3728</v>
      </c>
      <c r="J2317" s="2" t="str">
        <f t="shared" si="64"/>
        <v>https://www.facebook.com/100015815701320</v>
      </c>
      <c r="K2317">
        <v>48</v>
      </c>
      <c r="L2317" t="s">
        <v>6063</v>
      </c>
      <c r="N2317" t="s">
        <v>13</v>
      </c>
      <c r="O2317" t="s">
        <v>3743</v>
      </c>
      <c r="P2317" s="2" t="str">
        <f>HYPERLINK("https://www.facebook.com/1040376619327386")</f>
        <v>https://www.facebook.com/1040376619327386</v>
      </c>
      <c r="Q2317">
        <v>58231</v>
      </c>
      <c r="R2317" t="s">
        <v>6067</v>
      </c>
      <c r="S2317" t="s">
        <v>6073</v>
      </c>
    </row>
    <row r="2318" spans="1:19" ht="14.25" customHeight="1" x14ac:dyDescent="0.3">
      <c r="A2318" t="s">
        <v>3527</v>
      </c>
      <c r="B2318" t="s">
        <v>2928</v>
      </c>
      <c r="C2318" t="s">
        <v>95</v>
      </c>
      <c r="D2318" t="s">
        <v>3767</v>
      </c>
      <c r="E2318" t="s">
        <v>3768</v>
      </c>
      <c r="F2318" t="s">
        <v>6059</v>
      </c>
      <c r="G2318" s="2" t="str">
        <f>HYPERLINK("https://www.facebook.com/1040376619327386/posts/1864722300226143?comment_id=1864921160206257")</f>
        <v>https://www.facebook.com/1040376619327386/posts/1864722300226143?comment_id=1864921160206257</v>
      </c>
      <c r="H2318" t="s">
        <v>6061</v>
      </c>
      <c r="I2318" t="s">
        <v>3728</v>
      </c>
      <c r="J2318" s="2" t="str">
        <f t="shared" si="64"/>
        <v>https://www.facebook.com/100015815701320</v>
      </c>
      <c r="K2318">
        <v>48</v>
      </c>
      <c r="L2318" t="s">
        <v>6063</v>
      </c>
      <c r="N2318" t="s">
        <v>13</v>
      </c>
      <c r="O2318" t="s">
        <v>3743</v>
      </c>
      <c r="P2318" s="2" t="str">
        <f>HYPERLINK("https://www.facebook.com/1040376619327386")</f>
        <v>https://www.facebook.com/1040376619327386</v>
      </c>
      <c r="Q2318">
        <v>58231</v>
      </c>
      <c r="R2318" t="s">
        <v>6067</v>
      </c>
      <c r="S2318" t="s">
        <v>6073</v>
      </c>
    </row>
    <row r="2319" spans="1:19" ht="14.25" customHeight="1" x14ac:dyDescent="0.3">
      <c r="A2319" t="s">
        <v>3527</v>
      </c>
      <c r="B2319" t="s">
        <v>2928</v>
      </c>
      <c r="C2319" t="s">
        <v>95</v>
      </c>
      <c r="D2319" t="s">
        <v>3769</v>
      </c>
      <c r="E2319" t="s">
        <v>3768</v>
      </c>
      <c r="F2319" t="s">
        <v>6059</v>
      </c>
      <c r="G2319" s="2" t="str">
        <f>HYPERLINK("https://www.facebook.com/148049508572201/posts/1853186004725201?comment_id=1858685570841911")</f>
        <v>https://www.facebook.com/148049508572201/posts/1853186004725201?comment_id=1858685570841911</v>
      </c>
      <c r="H2319" t="s">
        <v>6061</v>
      </c>
      <c r="I2319" t="s">
        <v>3728</v>
      </c>
      <c r="J2319" s="2" t="str">
        <f t="shared" si="64"/>
        <v>https://www.facebook.com/100015815701320</v>
      </c>
      <c r="K2319">
        <v>48</v>
      </c>
      <c r="L2319" t="s">
        <v>6063</v>
      </c>
      <c r="N2319" t="s">
        <v>13</v>
      </c>
      <c r="O2319" t="s">
        <v>3770</v>
      </c>
      <c r="P2319" s="2" t="str">
        <f>HYPERLINK("https://www.facebook.com/148049508572201")</f>
        <v>https://www.facebook.com/148049508572201</v>
      </c>
      <c r="Q2319">
        <v>227192</v>
      </c>
      <c r="R2319" t="s">
        <v>6067</v>
      </c>
      <c r="S2319" t="s">
        <v>6073</v>
      </c>
    </row>
    <row r="2320" spans="1:19" ht="14.25" customHeight="1" x14ac:dyDescent="0.3">
      <c r="A2320" t="s">
        <v>3527</v>
      </c>
      <c r="B2320" t="s">
        <v>2933</v>
      </c>
      <c r="C2320" t="s">
        <v>95</v>
      </c>
      <c r="D2320" t="s">
        <v>3773</v>
      </c>
      <c r="E2320" t="s">
        <v>3768</v>
      </c>
      <c r="F2320" t="s">
        <v>6059</v>
      </c>
      <c r="G2320" s="2" t="str">
        <f>HYPERLINK("https://www.facebook.com/148049508572201/posts/1854344724609329?comment_id=1858685304175271")</f>
        <v>https://www.facebook.com/148049508572201/posts/1854344724609329?comment_id=1858685304175271</v>
      </c>
      <c r="H2320" t="s">
        <v>6061</v>
      </c>
      <c r="I2320" t="s">
        <v>3728</v>
      </c>
      <c r="J2320" s="2" t="str">
        <f t="shared" si="64"/>
        <v>https://www.facebook.com/100015815701320</v>
      </c>
      <c r="K2320">
        <v>48</v>
      </c>
      <c r="L2320" t="s">
        <v>6063</v>
      </c>
      <c r="N2320" t="s">
        <v>13</v>
      </c>
      <c r="O2320" t="s">
        <v>3770</v>
      </c>
      <c r="P2320" s="2" t="str">
        <f>HYPERLINK("https://www.facebook.com/148049508572201")</f>
        <v>https://www.facebook.com/148049508572201</v>
      </c>
      <c r="Q2320">
        <v>227192</v>
      </c>
      <c r="R2320" t="s">
        <v>6067</v>
      </c>
      <c r="S2320" t="s">
        <v>6073</v>
      </c>
    </row>
    <row r="2321" spans="1:19" ht="14.25" customHeight="1" x14ac:dyDescent="0.3">
      <c r="A2321" t="s">
        <v>3527</v>
      </c>
      <c r="B2321" t="s">
        <v>2933</v>
      </c>
      <c r="C2321" t="s">
        <v>95</v>
      </c>
      <c r="D2321" t="s">
        <v>3774</v>
      </c>
      <c r="E2321" t="s">
        <v>3768</v>
      </c>
      <c r="F2321" t="s">
        <v>6059</v>
      </c>
      <c r="G2321" s="2" t="str">
        <f>HYPERLINK("https://www.facebook.com/148049508572201/posts/1858320754211726?comment_id=1858684744175327")</f>
        <v>https://www.facebook.com/148049508572201/posts/1858320754211726?comment_id=1858684744175327</v>
      </c>
      <c r="H2321" t="s">
        <v>6061</v>
      </c>
      <c r="I2321" t="s">
        <v>3728</v>
      </c>
      <c r="J2321" s="2" t="str">
        <f t="shared" si="64"/>
        <v>https://www.facebook.com/100015815701320</v>
      </c>
      <c r="K2321">
        <v>48</v>
      </c>
      <c r="L2321" t="s">
        <v>6063</v>
      </c>
      <c r="N2321" t="s">
        <v>13</v>
      </c>
      <c r="O2321" t="s">
        <v>3770</v>
      </c>
      <c r="P2321" s="2" t="str">
        <f>HYPERLINK("https://www.facebook.com/148049508572201")</f>
        <v>https://www.facebook.com/148049508572201</v>
      </c>
      <c r="Q2321">
        <v>227192</v>
      </c>
      <c r="R2321" t="s">
        <v>6067</v>
      </c>
      <c r="S2321" t="s">
        <v>6073</v>
      </c>
    </row>
    <row r="2322" spans="1:19" ht="14.25" customHeight="1" x14ac:dyDescent="0.3">
      <c r="A2322" t="s">
        <v>3527</v>
      </c>
      <c r="B2322" t="s">
        <v>3775</v>
      </c>
      <c r="C2322" t="s">
        <v>95</v>
      </c>
      <c r="D2322" t="s">
        <v>3776</v>
      </c>
      <c r="E2322" t="s">
        <v>3768</v>
      </c>
      <c r="F2322" t="s">
        <v>6059</v>
      </c>
      <c r="G2322" s="2" t="str">
        <f>HYPERLINK("https://www.facebook.com/148049508572201/posts/1855213731189095?comment_id=1858684437508691")</f>
        <v>https://www.facebook.com/148049508572201/posts/1855213731189095?comment_id=1858684437508691</v>
      </c>
      <c r="H2322" t="s">
        <v>6061</v>
      </c>
      <c r="I2322" t="s">
        <v>3728</v>
      </c>
      <c r="J2322" s="2" t="str">
        <f t="shared" si="64"/>
        <v>https://www.facebook.com/100015815701320</v>
      </c>
      <c r="K2322">
        <v>48</v>
      </c>
      <c r="L2322" t="s">
        <v>6063</v>
      </c>
      <c r="N2322" t="s">
        <v>13</v>
      </c>
      <c r="O2322" t="s">
        <v>3770</v>
      </c>
      <c r="P2322" s="2" t="str">
        <f>HYPERLINK("https://www.facebook.com/148049508572201")</f>
        <v>https://www.facebook.com/148049508572201</v>
      </c>
      <c r="Q2322">
        <v>227192</v>
      </c>
      <c r="R2322" t="s">
        <v>6067</v>
      </c>
      <c r="S2322" t="s">
        <v>6073</v>
      </c>
    </row>
    <row r="2323" spans="1:19" ht="14.25" customHeight="1" x14ac:dyDescent="0.3">
      <c r="A2323" t="s">
        <v>3527</v>
      </c>
      <c r="B2323" t="s">
        <v>4149</v>
      </c>
      <c r="C2323" t="s">
        <v>95</v>
      </c>
      <c r="D2323" t="s">
        <v>4150</v>
      </c>
      <c r="E2323" t="s">
        <v>4151</v>
      </c>
      <c r="F2323" t="s">
        <v>6059</v>
      </c>
      <c r="G2323" s="2" t="str">
        <f>HYPERLINK("https://www.facebook.com/594022430618124/posts/1841401412546880?comment_id=1841513469202341")</f>
        <v>https://www.facebook.com/594022430618124/posts/1841401412546880?comment_id=1841513469202341</v>
      </c>
      <c r="H2323" t="s">
        <v>6061</v>
      </c>
      <c r="I2323" t="s">
        <v>3728</v>
      </c>
      <c r="J2323" s="2" t="str">
        <f t="shared" si="64"/>
        <v>https://www.facebook.com/100015815701320</v>
      </c>
      <c r="K2323">
        <v>48</v>
      </c>
      <c r="L2323" t="s">
        <v>6063</v>
      </c>
      <c r="N2323" t="s">
        <v>13</v>
      </c>
      <c r="O2323" t="s">
        <v>4126</v>
      </c>
      <c r="P2323" s="2" t="str">
        <f>HYPERLINK("https://www.facebook.com/594022430618124")</f>
        <v>https://www.facebook.com/594022430618124</v>
      </c>
      <c r="Q2323">
        <v>629625</v>
      </c>
      <c r="R2323" t="s">
        <v>6067</v>
      </c>
      <c r="S2323" t="s">
        <v>6073</v>
      </c>
    </row>
    <row r="2324" spans="1:19" ht="14.25" customHeight="1" x14ac:dyDescent="0.3">
      <c r="A2324" t="s">
        <v>3527</v>
      </c>
      <c r="B2324" t="s">
        <v>1188</v>
      </c>
      <c r="C2324" t="s">
        <v>95</v>
      </c>
      <c r="D2324" t="s">
        <v>4124</v>
      </c>
      <c r="E2324" t="s">
        <v>4125</v>
      </c>
      <c r="F2324" t="s">
        <v>6059</v>
      </c>
      <c r="G2324" s="2" t="str">
        <f>HYPERLINK("https://www.facebook.com/594022430618124/posts/1841491992537822?comment_id=1841547755865579")</f>
        <v>https://www.facebook.com/594022430618124/posts/1841491992537822?comment_id=1841547755865579</v>
      </c>
      <c r="H2324" t="s">
        <v>6061</v>
      </c>
      <c r="I2324" t="s">
        <v>3728</v>
      </c>
      <c r="J2324" s="2" t="str">
        <f t="shared" si="64"/>
        <v>https://www.facebook.com/100015815701320</v>
      </c>
      <c r="K2324">
        <v>48</v>
      </c>
      <c r="L2324" t="s">
        <v>6063</v>
      </c>
      <c r="N2324" t="s">
        <v>13</v>
      </c>
      <c r="O2324" t="s">
        <v>4126</v>
      </c>
      <c r="P2324" s="2" t="str">
        <f>HYPERLINK("https://www.facebook.com/594022430618124")</f>
        <v>https://www.facebook.com/594022430618124</v>
      </c>
      <c r="Q2324">
        <v>629625</v>
      </c>
      <c r="R2324" t="s">
        <v>6067</v>
      </c>
      <c r="S2324" t="s">
        <v>6073</v>
      </c>
    </row>
    <row r="2325" spans="1:19" ht="14.25" customHeight="1" x14ac:dyDescent="0.3">
      <c r="A2325" t="s">
        <v>3527</v>
      </c>
      <c r="B2325" t="s">
        <v>3426</v>
      </c>
      <c r="C2325" t="s">
        <v>3538</v>
      </c>
      <c r="D2325" t="s">
        <v>4313</v>
      </c>
      <c r="E2325" t="s">
        <v>4314</v>
      </c>
      <c r="F2325" t="s">
        <v>6059</v>
      </c>
      <c r="G2325" s="2" t="str">
        <f>HYPERLINK("https://www.facebook.com/100015988325813/posts/251269498749326?comment_id=251504435392499")</f>
        <v>https://www.facebook.com/100015988325813/posts/251269498749326?comment_id=251504435392499</v>
      </c>
      <c r="H2325" t="s">
        <v>6061</v>
      </c>
      <c r="I2325" t="s">
        <v>4315</v>
      </c>
      <c r="J2325" s="2" t="str">
        <f>HYPERLINK("https://www.facebook.com/100017280309906")</f>
        <v>https://www.facebook.com/100017280309906</v>
      </c>
      <c r="K2325">
        <v>534</v>
      </c>
      <c r="L2325" t="s">
        <v>6064</v>
      </c>
      <c r="N2325" t="s">
        <v>13</v>
      </c>
      <c r="O2325" t="s">
        <v>4316</v>
      </c>
      <c r="P2325" s="2" t="str">
        <f>HYPERLINK("https://www.facebook.com/100015988325813")</f>
        <v>https://www.facebook.com/100015988325813</v>
      </c>
      <c r="Q2325">
        <v>11</v>
      </c>
      <c r="R2325" t="s">
        <v>6067</v>
      </c>
    </row>
    <row r="2326" spans="1:19" ht="14.25" customHeight="1" x14ac:dyDescent="0.3">
      <c r="A2326" t="s">
        <v>2225</v>
      </c>
      <c r="B2326" t="s">
        <v>767</v>
      </c>
      <c r="C2326" t="s">
        <v>95</v>
      </c>
      <c r="D2326" t="s">
        <v>853</v>
      </c>
      <c r="E2326" t="s">
        <v>2885</v>
      </c>
      <c r="F2326" t="s">
        <v>6059</v>
      </c>
      <c r="G2326" s="2" t="str">
        <f>HYPERLINK("https://www.facebook.com/100008934274771/posts/1810262525948206?comment_id=1810265115947947")</f>
        <v>https://www.facebook.com/100008934274771/posts/1810262525948206?comment_id=1810265115947947</v>
      </c>
      <c r="H2326" t="s">
        <v>6061</v>
      </c>
      <c r="I2326" t="s">
        <v>2886</v>
      </c>
      <c r="J2326" s="2" t="str">
        <f>HYPERLINK("https://www.facebook.com/100023908853230")</f>
        <v>https://www.facebook.com/100023908853230</v>
      </c>
      <c r="K2326">
        <v>3383</v>
      </c>
      <c r="L2326" t="s">
        <v>6063</v>
      </c>
      <c r="N2326" t="s">
        <v>13</v>
      </c>
      <c r="O2326" t="s">
        <v>856</v>
      </c>
      <c r="P2326" s="2" t="str">
        <f>HYPERLINK("https://www.facebook.com/100008934274771")</f>
        <v>https://www.facebook.com/100008934274771</v>
      </c>
      <c r="Q2326">
        <v>10395</v>
      </c>
      <c r="R2326" t="s">
        <v>6067</v>
      </c>
      <c r="S2326" t="s">
        <v>6073</v>
      </c>
    </row>
    <row r="2327" spans="1:19" ht="14.25" customHeight="1" x14ac:dyDescent="0.3">
      <c r="A2327" t="s">
        <v>3527</v>
      </c>
      <c r="B2327" t="s">
        <v>4239</v>
      </c>
      <c r="C2327" t="s">
        <v>3538</v>
      </c>
      <c r="D2327" t="s">
        <v>690</v>
      </c>
      <c r="E2327" t="s">
        <v>691</v>
      </c>
      <c r="F2327" t="s">
        <v>6058</v>
      </c>
      <c r="G2327" s="2" t="str">
        <f>HYPERLINK("https://www.facebook.com/100001322175419/posts/1610565795664144")</f>
        <v>https://www.facebook.com/100001322175419/posts/1610565795664144</v>
      </c>
      <c r="H2327" t="s">
        <v>6061</v>
      </c>
      <c r="I2327" t="s">
        <v>4240</v>
      </c>
      <c r="J2327" s="2" t="str">
        <f>HYPERLINK("https://www.facebook.com/100001322175419")</f>
        <v>https://www.facebook.com/100001322175419</v>
      </c>
      <c r="K2327">
        <v>4989</v>
      </c>
      <c r="L2327" t="s">
        <v>6064</v>
      </c>
      <c r="N2327" t="s">
        <v>13</v>
      </c>
      <c r="O2327" t="s">
        <v>4240</v>
      </c>
      <c r="P2327" s="2" t="str">
        <f>HYPERLINK("https://www.facebook.com/100001322175419")</f>
        <v>https://www.facebook.com/100001322175419</v>
      </c>
      <c r="Q2327">
        <v>4989</v>
      </c>
      <c r="R2327" t="s">
        <v>6067</v>
      </c>
      <c r="S2327" t="s">
        <v>6073</v>
      </c>
    </row>
    <row r="2328" spans="1:19" ht="14.25" customHeight="1" x14ac:dyDescent="0.3">
      <c r="A2328" t="s">
        <v>3527</v>
      </c>
      <c r="B2328" t="s">
        <v>2356</v>
      </c>
      <c r="C2328" t="s">
        <v>95</v>
      </c>
      <c r="D2328" t="s">
        <v>3635</v>
      </c>
      <c r="E2328" t="s">
        <v>3636</v>
      </c>
      <c r="F2328" t="s">
        <v>6056</v>
      </c>
      <c r="G2328" s="2" t="str">
        <f>HYPERLINK("https://www.facebook.com/100002151223316/posts/1635330386548653")</f>
        <v>https://www.facebook.com/100002151223316/posts/1635330386548653</v>
      </c>
      <c r="H2328" t="s">
        <v>6061</v>
      </c>
      <c r="I2328" t="s">
        <v>3637</v>
      </c>
      <c r="J2328" s="2" t="str">
        <f>HYPERLINK("https://www.facebook.com/100002151223316")</f>
        <v>https://www.facebook.com/100002151223316</v>
      </c>
      <c r="K2328">
        <v>38</v>
      </c>
      <c r="L2328" t="s">
        <v>6063</v>
      </c>
      <c r="N2328" t="s">
        <v>13</v>
      </c>
      <c r="O2328" t="s">
        <v>3637</v>
      </c>
      <c r="P2328" s="2" t="str">
        <f>HYPERLINK("https://www.facebook.com/100002151223316")</f>
        <v>https://www.facebook.com/100002151223316</v>
      </c>
      <c r="Q2328">
        <v>38</v>
      </c>
      <c r="R2328" t="s">
        <v>6067</v>
      </c>
      <c r="S2328" t="s">
        <v>6072</v>
      </c>
    </row>
    <row r="2329" spans="1:19" ht="14.25" customHeight="1" x14ac:dyDescent="0.3">
      <c r="A2329" t="s">
        <v>629</v>
      </c>
      <c r="B2329" t="s">
        <v>1266</v>
      </c>
      <c r="C2329" t="s">
        <v>95</v>
      </c>
      <c r="D2329" t="s">
        <v>1204</v>
      </c>
      <c r="E2329" t="s">
        <v>1267</v>
      </c>
      <c r="F2329" t="s">
        <v>6056</v>
      </c>
      <c r="G2329" s="2" t="str">
        <f>HYPERLINK("https://www.facebook.com/798689163500913/posts/1679364955433325")</f>
        <v>https://www.facebook.com/798689163500913/posts/1679364955433325</v>
      </c>
      <c r="H2329" t="s">
        <v>6061</v>
      </c>
      <c r="I2329" t="s">
        <v>976</v>
      </c>
      <c r="J2329" s="2" t="str">
        <f>HYPERLINK("https://www.facebook.com/798689163500913")</f>
        <v>https://www.facebook.com/798689163500913</v>
      </c>
      <c r="K2329">
        <v>175</v>
      </c>
      <c r="L2329" t="s">
        <v>6065</v>
      </c>
      <c r="N2329" t="s">
        <v>13</v>
      </c>
      <c r="O2329" t="s">
        <v>976</v>
      </c>
      <c r="P2329" s="2" t="str">
        <f>HYPERLINK("https://www.facebook.com/798689163500913")</f>
        <v>https://www.facebook.com/798689163500913</v>
      </c>
      <c r="Q2329">
        <v>175</v>
      </c>
      <c r="R2329" t="s">
        <v>6067</v>
      </c>
    </row>
    <row r="2330" spans="1:19" ht="14.25" customHeight="1" x14ac:dyDescent="0.3">
      <c r="A2330" t="s">
        <v>629</v>
      </c>
      <c r="B2330" t="s">
        <v>1238</v>
      </c>
      <c r="C2330" t="s">
        <v>95</v>
      </c>
      <c r="D2330" t="s">
        <v>649</v>
      </c>
      <c r="E2330" t="s">
        <v>650</v>
      </c>
      <c r="F2330" t="s">
        <v>6056</v>
      </c>
      <c r="G2330" s="2" t="str">
        <f>HYPERLINK("https://www.facebook.com/798689163500913/posts/1679369355432885")</f>
        <v>https://www.facebook.com/798689163500913/posts/1679369355432885</v>
      </c>
      <c r="H2330" t="s">
        <v>6061</v>
      </c>
      <c r="I2330" t="s">
        <v>976</v>
      </c>
      <c r="J2330" s="2" t="str">
        <f>HYPERLINK("https://www.facebook.com/798689163500913")</f>
        <v>https://www.facebook.com/798689163500913</v>
      </c>
      <c r="K2330">
        <v>175</v>
      </c>
      <c r="L2330" t="s">
        <v>6065</v>
      </c>
      <c r="N2330" t="s">
        <v>13</v>
      </c>
      <c r="O2330" t="s">
        <v>976</v>
      </c>
      <c r="P2330" s="2" t="str">
        <f>HYPERLINK("https://www.facebook.com/798689163500913")</f>
        <v>https://www.facebook.com/798689163500913</v>
      </c>
      <c r="Q2330">
        <v>175</v>
      </c>
      <c r="R2330" t="s">
        <v>6067</v>
      </c>
    </row>
    <row r="2331" spans="1:19" ht="14.25" customHeight="1" x14ac:dyDescent="0.3">
      <c r="A2331" t="s">
        <v>629</v>
      </c>
      <c r="B2331" t="s">
        <v>975</v>
      </c>
      <c r="C2331" t="s">
        <v>95</v>
      </c>
      <c r="D2331" t="s">
        <v>652</v>
      </c>
      <c r="E2331" t="s">
        <v>653</v>
      </c>
      <c r="F2331" t="s">
        <v>6056</v>
      </c>
      <c r="G2331" s="2" t="str">
        <f>HYPERLINK("https://www.facebook.com/798689163500913/posts/1679499435419877")</f>
        <v>https://www.facebook.com/798689163500913/posts/1679499435419877</v>
      </c>
      <c r="H2331" t="s">
        <v>6061</v>
      </c>
      <c r="I2331" t="s">
        <v>976</v>
      </c>
      <c r="J2331" s="2" t="str">
        <f>HYPERLINK("https://www.facebook.com/798689163500913")</f>
        <v>https://www.facebook.com/798689163500913</v>
      </c>
      <c r="K2331">
        <v>175</v>
      </c>
      <c r="L2331" t="s">
        <v>6065</v>
      </c>
      <c r="N2331" t="s">
        <v>13</v>
      </c>
      <c r="O2331" t="s">
        <v>976</v>
      </c>
      <c r="P2331" s="2" t="str">
        <f>HYPERLINK("https://www.facebook.com/798689163500913")</f>
        <v>https://www.facebook.com/798689163500913</v>
      </c>
      <c r="Q2331">
        <v>175</v>
      </c>
      <c r="R2331" t="s">
        <v>6067</v>
      </c>
    </row>
    <row r="2332" spans="1:19" ht="14.25" customHeight="1" x14ac:dyDescent="0.3">
      <c r="A2332" t="s">
        <v>629</v>
      </c>
      <c r="B2332" t="s">
        <v>547</v>
      </c>
      <c r="C2332" t="s">
        <v>95</v>
      </c>
      <c r="D2332" t="s">
        <v>932</v>
      </c>
      <c r="E2332" t="s">
        <v>2106</v>
      </c>
      <c r="F2332" t="s">
        <v>6059</v>
      </c>
      <c r="G2332" s="2" t="str">
        <f>HYPERLINK("https://www.facebook.com/100000671522755/posts/1878154095550290?comment_id=1878950342137332")</f>
        <v>https://www.facebook.com/100000671522755/posts/1878154095550290?comment_id=1878950342137332</v>
      </c>
      <c r="H2332" t="s">
        <v>6061</v>
      </c>
      <c r="I2332" t="s">
        <v>2107</v>
      </c>
      <c r="J2332" s="2" t="str">
        <f>HYPERLINK("https://www.facebook.com/100001492699085")</f>
        <v>https://www.facebook.com/100001492699085</v>
      </c>
      <c r="K2332">
        <v>1413</v>
      </c>
      <c r="L2332" t="s">
        <v>6064</v>
      </c>
      <c r="N2332" t="s">
        <v>13</v>
      </c>
      <c r="O2332" t="s">
        <v>935</v>
      </c>
      <c r="P2332" s="2" t="str">
        <f>HYPERLINK("https://www.facebook.com/100000671522755")</f>
        <v>https://www.facebook.com/100000671522755</v>
      </c>
      <c r="Q2332">
        <v>4995</v>
      </c>
      <c r="R2332" t="s">
        <v>6067</v>
      </c>
      <c r="S2332" t="s">
        <v>6073</v>
      </c>
    </row>
    <row r="2333" spans="1:19" ht="14.25" customHeight="1" x14ac:dyDescent="0.3">
      <c r="A2333" t="s">
        <v>5409</v>
      </c>
      <c r="B2333" t="s">
        <v>4924</v>
      </c>
      <c r="C2333" t="s">
        <v>3538</v>
      </c>
      <c r="D2333" t="s">
        <v>5994</v>
      </c>
      <c r="E2333" t="s">
        <v>5995</v>
      </c>
      <c r="F2333" t="s">
        <v>6059</v>
      </c>
      <c r="G2333" s="2" t="str">
        <f>HYPERLINK("https://www.facebook.com/100000471862424/posts/2478243872201317?comment_id=2479253845433653")</f>
        <v>https://www.facebook.com/100000471862424/posts/2478243872201317?comment_id=2479253845433653</v>
      </c>
      <c r="H2333" t="s">
        <v>6061</v>
      </c>
      <c r="I2333" t="s">
        <v>5996</v>
      </c>
      <c r="J2333" s="2" t="str">
        <f>HYPERLINK("https://www.facebook.com/100007748355583")</f>
        <v>https://www.facebook.com/100007748355583</v>
      </c>
      <c r="K2333">
        <v>72</v>
      </c>
      <c r="L2333" t="s">
        <v>6063</v>
      </c>
      <c r="N2333" t="s">
        <v>13</v>
      </c>
      <c r="O2333" t="s">
        <v>5798</v>
      </c>
      <c r="P2333" s="2" t="str">
        <f>HYPERLINK("https://www.facebook.com/100000471862424")</f>
        <v>https://www.facebook.com/100000471862424</v>
      </c>
      <c r="Q2333">
        <v>1510</v>
      </c>
      <c r="R2333" t="s">
        <v>6067</v>
      </c>
      <c r="S2333" t="s">
        <v>6103</v>
      </c>
    </row>
    <row r="2334" spans="1:19" ht="14.25" customHeight="1" x14ac:dyDescent="0.3">
      <c r="A2334" t="s">
        <v>5409</v>
      </c>
      <c r="B2334" t="s">
        <v>2605</v>
      </c>
      <c r="C2334" t="s">
        <v>3538</v>
      </c>
      <c r="D2334" t="s">
        <v>5311</v>
      </c>
      <c r="E2334" t="s">
        <v>5471</v>
      </c>
      <c r="F2334" t="s">
        <v>6059</v>
      </c>
      <c r="G2334" s="2" t="str">
        <f>HYPERLINK("https://www.facebook.com/1529329267308888/posts/2058800057695137?comment_id=2058888914352918")</f>
        <v>https://www.facebook.com/1529329267308888/posts/2058800057695137?comment_id=2058888914352918</v>
      </c>
      <c r="H2334" t="s">
        <v>6061</v>
      </c>
      <c r="I2334" t="s">
        <v>5472</v>
      </c>
      <c r="J2334" s="2" t="str">
        <f>HYPERLINK("https://www.facebook.com/100000583190715")</f>
        <v>https://www.facebook.com/100000583190715</v>
      </c>
      <c r="K2334">
        <v>0</v>
      </c>
      <c r="L2334" t="s">
        <v>6064</v>
      </c>
      <c r="N2334" t="s">
        <v>13</v>
      </c>
      <c r="O2334" t="s">
        <v>4471</v>
      </c>
      <c r="P2334" s="2" t="str">
        <f>HYPERLINK("https://www.facebook.com/1529329267308888")</f>
        <v>https://www.facebook.com/1529329267308888</v>
      </c>
      <c r="R2334" t="s">
        <v>6067</v>
      </c>
    </row>
    <row r="2335" spans="1:19" ht="14.25" customHeight="1" x14ac:dyDescent="0.3">
      <c r="A2335" t="s">
        <v>4995</v>
      </c>
      <c r="B2335" t="s">
        <v>4357</v>
      </c>
      <c r="C2335" t="s">
        <v>3538</v>
      </c>
      <c r="D2335" t="s">
        <v>5078</v>
      </c>
      <c r="E2335" t="s">
        <v>5372</v>
      </c>
      <c r="F2335" t="s">
        <v>6059</v>
      </c>
      <c r="G2335" s="2" t="str">
        <f>HYPERLINK("https://www.facebook.com/100001929668660/posts/1891490270925277?comment_id=1891844824223155")</f>
        <v>https://www.facebook.com/100001929668660/posts/1891490270925277?comment_id=1891844824223155</v>
      </c>
      <c r="H2335" t="s">
        <v>6061</v>
      </c>
      <c r="I2335" t="s">
        <v>5373</v>
      </c>
      <c r="J2335" s="2" t="str">
        <f>HYPERLINK("https://www.facebook.com/100001518704528")</f>
        <v>https://www.facebook.com/100001518704528</v>
      </c>
      <c r="K2335">
        <v>1021</v>
      </c>
      <c r="L2335" t="s">
        <v>6063</v>
      </c>
      <c r="N2335" t="s">
        <v>13</v>
      </c>
      <c r="O2335" t="s">
        <v>5081</v>
      </c>
      <c r="P2335" s="2" t="str">
        <f>HYPERLINK("https://www.facebook.com/100001929668660")</f>
        <v>https://www.facebook.com/100001929668660</v>
      </c>
      <c r="Q2335">
        <v>2652</v>
      </c>
      <c r="R2335" t="s">
        <v>6067</v>
      </c>
      <c r="S2335" t="s">
        <v>6073</v>
      </c>
    </row>
    <row r="2336" spans="1:19" ht="14.25" customHeight="1" x14ac:dyDescent="0.3">
      <c r="A2336" t="s">
        <v>2225</v>
      </c>
      <c r="B2336" t="s">
        <v>3340</v>
      </c>
      <c r="C2336" t="s">
        <v>95</v>
      </c>
      <c r="D2336" t="s">
        <v>1099</v>
      </c>
      <c r="E2336" t="s">
        <v>3341</v>
      </c>
      <c r="F2336" t="s">
        <v>6059</v>
      </c>
      <c r="G2336" s="2" t="str">
        <f>HYPERLINK("https://www.facebook.com/100002489064006/posts/1666923993400553?comment_id=1667328780026741")</f>
        <v>https://www.facebook.com/100002489064006/posts/1666923993400553?comment_id=1667328780026741</v>
      </c>
      <c r="H2336" t="s">
        <v>6061</v>
      </c>
      <c r="I2336" t="s">
        <v>3342</v>
      </c>
      <c r="J2336" s="2" t="str">
        <f>HYPERLINK("https://www.facebook.com/100002291135415")</f>
        <v>https://www.facebook.com/100002291135415</v>
      </c>
      <c r="K2336">
        <v>420</v>
      </c>
      <c r="L2336" t="s">
        <v>6063</v>
      </c>
      <c r="N2336" t="s">
        <v>13</v>
      </c>
      <c r="O2336" t="s">
        <v>1101</v>
      </c>
      <c r="P2336" s="2" t="str">
        <f>HYPERLINK("https://www.facebook.com/100002489064006")</f>
        <v>https://www.facebook.com/100002489064006</v>
      </c>
      <c r="Q2336">
        <v>2089</v>
      </c>
      <c r="R2336" t="s">
        <v>6067</v>
      </c>
      <c r="S2336" t="s">
        <v>6073</v>
      </c>
    </row>
    <row r="2337" spans="1:19" ht="14.25" customHeight="1" x14ac:dyDescent="0.3">
      <c r="A2337" t="s">
        <v>2225</v>
      </c>
      <c r="B2337" t="s">
        <v>921</v>
      </c>
      <c r="C2337" t="s">
        <v>95</v>
      </c>
      <c r="D2337" t="s">
        <v>2602</v>
      </c>
      <c r="E2337" t="s">
        <v>3040</v>
      </c>
      <c r="F2337" t="s">
        <v>6059</v>
      </c>
      <c r="G2337" s="2" t="str">
        <f>HYPERLINK("https://www.facebook.com/100000893960392/posts/1854701537902960?comment_id=1854723864567394")</f>
        <v>https://www.facebook.com/100000893960392/posts/1854701537902960?comment_id=1854723864567394</v>
      </c>
      <c r="H2337" t="s">
        <v>6061</v>
      </c>
      <c r="I2337" t="s">
        <v>2604</v>
      </c>
      <c r="J2337" s="2" t="str">
        <f>HYPERLINK("https://www.facebook.com/100000893960392")</f>
        <v>https://www.facebook.com/100000893960392</v>
      </c>
      <c r="K2337">
        <v>2281</v>
      </c>
      <c r="L2337" t="s">
        <v>6063</v>
      </c>
      <c r="M2337">
        <v>47</v>
      </c>
      <c r="N2337" t="s">
        <v>13</v>
      </c>
      <c r="O2337" t="s">
        <v>2604</v>
      </c>
      <c r="P2337" s="2" t="str">
        <f>HYPERLINK("https://www.facebook.com/100000893960392")</f>
        <v>https://www.facebook.com/100000893960392</v>
      </c>
      <c r="Q2337">
        <v>2281</v>
      </c>
      <c r="R2337" t="s">
        <v>6067</v>
      </c>
      <c r="S2337" t="s">
        <v>6073</v>
      </c>
    </row>
    <row r="2338" spans="1:19" ht="14.25" customHeight="1" x14ac:dyDescent="0.3">
      <c r="A2338" t="s">
        <v>2225</v>
      </c>
      <c r="B2338" t="s">
        <v>723</v>
      </c>
      <c r="C2338" t="s">
        <v>95</v>
      </c>
      <c r="D2338" t="s">
        <v>853</v>
      </c>
      <c r="E2338" t="s">
        <v>2447</v>
      </c>
      <c r="F2338" t="s">
        <v>6059</v>
      </c>
      <c r="G2338" s="2" t="str">
        <f>HYPERLINK("https://www.facebook.com/100008934274771/posts/1810262525948206?comment_id=1810294515945007")</f>
        <v>https://www.facebook.com/100008934274771/posts/1810262525948206?comment_id=1810294515945007</v>
      </c>
      <c r="H2338" t="s">
        <v>6061</v>
      </c>
      <c r="I2338" t="s">
        <v>2308</v>
      </c>
      <c r="J2338" s="2" t="str">
        <f>HYPERLINK("https://www.facebook.com/100001953214806")</f>
        <v>https://www.facebook.com/100001953214806</v>
      </c>
      <c r="K2338">
        <v>489</v>
      </c>
      <c r="L2338" t="s">
        <v>6063</v>
      </c>
      <c r="N2338" t="s">
        <v>13</v>
      </c>
      <c r="O2338" t="s">
        <v>856</v>
      </c>
      <c r="P2338" s="2" t="str">
        <f>HYPERLINK("https://www.facebook.com/100008934274771")</f>
        <v>https://www.facebook.com/100008934274771</v>
      </c>
      <c r="Q2338">
        <v>10395</v>
      </c>
      <c r="R2338" t="s">
        <v>6067</v>
      </c>
      <c r="S2338" t="s">
        <v>6073</v>
      </c>
    </row>
    <row r="2339" spans="1:19" ht="14.25" customHeight="1" x14ac:dyDescent="0.3">
      <c r="A2339" t="s">
        <v>2225</v>
      </c>
      <c r="B2339" t="s">
        <v>2376</v>
      </c>
      <c r="C2339" t="s">
        <v>95</v>
      </c>
      <c r="D2339" t="s">
        <v>802</v>
      </c>
      <c r="E2339" t="s">
        <v>803</v>
      </c>
      <c r="F2339" t="s">
        <v>6058</v>
      </c>
      <c r="G2339" s="2" t="str">
        <f>HYPERLINK("https://www.facebook.com/100012237043659/posts/458635847887646")</f>
        <v>https://www.facebook.com/100012237043659/posts/458635847887646</v>
      </c>
      <c r="H2339" t="s">
        <v>6061</v>
      </c>
      <c r="I2339" t="s">
        <v>2378</v>
      </c>
      <c r="J2339" s="2" t="str">
        <f>HYPERLINK("https://www.facebook.com/100012237043659")</f>
        <v>https://www.facebook.com/100012237043659</v>
      </c>
      <c r="K2339">
        <v>1612</v>
      </c>
      <c r="L2339" t="s">
        <v>6063</v>
      </c>
      <c r="N2339" t="s">
        <v>13</v>
      </c>
      <c r="O2339" t="s">
        <v>2378</v>
      </c>
      <c r="P2339" s="2" t="str">
        <f>HYPERLINK("https://www.facebook.com/100012237043659")</f>
        <v>https://www.facebook.com/100012237043659</v>
      </c>
      <c r="Q2339">
        <v>1612</v>
      </c>
      <c r="R2339" t="s">
        <v>6067</v>
      </c>
      <c r="S2339" t="s">
        <v>6073</v>
      </c>
    </row>
    <row r="2340" spans="1:19" ht="14.25" customHeight="1" x14ac:dyDescent="0.3">
      <c r="A2340" t="s">
        <v>1</v>
      </c>
      <c r="B2340" t="s">
        <v>444</v>
      </c>
      <c r="C2340" t="s">
        <v>95</v>
      </c>
      <c r="D2340" t="s">
        <v>10</v>
      </c>
      <c r="E2340" t="s">
        <v>445</v>
      </c>
      <c r="F2340" t="s">
        <v>6059</v>
      </c>
      <c r="G2340" s="2" t="str">
        <f>HYPERLINK("https://www.facebook.com/762053551/posts/10156366210158552?comment_id=10156368174223552")</f>
        <v>https://www.facebook.com/762053551/posts/10156366210158552?comment_id=10156368174223552</v>
      </c>
      <c r="H2340" t="s">
        <v>6061</v>
      </c>
      <c r="I2340" t="s">
        <v>446</v>
      </c>
      <c r="J2340" s="2" t="str">
        <f>HYPERLINK("https://www.facebook.com/100008028497670")</f>
        <v>https://www.facebook.com/100008028497670</v>
      </c>
      <c r="K2340">
        <v>61</v>
      </c>
      <c r="L2340" t="s">
        <v>6063</v>
      </c>
      <c r="N2340" t="s">
        <v>13</v>
      </c>
      <c r="O2340" t="s">
        <v>14</v>
      </c>
      <c r="P2340" s="2" t="str">
        <f>HYPERLINK("https://www.facebook.com/762053551")</f>
        <v>https://www.facebook.com/762053551</v>
      </c>
      <c r="Q2340">
        <v>102347</v>
      </c>
      <c r="R2340" t="s">
        <v>6067</v>
      </c>
      <c r="S2340" t="s">
        <v>6073</v>
      </c>
    </row>
    <row r="2341" spans="1:19" ht="14.25" customHeight="1" x14ac:dyDescent="0.3">
      <c r="A2341" t="s">
        <v>2225</v>
      </c>
      <c r="B2341" t="s">
        <v>2967</v>
      </c>
      <c r="C2341" t="s">
        <v>95</v>
      </c>
      <c r="D2341" t="s">
        <v>2086</v>
      </c>
      <c r="E2341" t="s">
        <v>2968</v>
      </c>
      <c r="F2341" t="s">
        <v>6059</v>
      </c>
      <c r="G2341" s="2" t="str">
        <f>HYPERLINK("https://www.facebook.com/100001463526763/posts/1766213380104096?comment_id=1766573906734710")</f>
        <v>https://www.facebook.com/100001463526763/posts/1766213380104096?comment_id=1766573906734710</v>
      </c>
      <c r="H2341" t="s">
        <v>6061</v>
      </c>
      <c r="I2341" t="s">
        <v>2969</v>
      </c>
      <c r="J2341" s="2" t="str">
        <f>HYPERLINK("https://www.facebook.com/100001396110731")</f>
        <v>https://www.facebook.com/100001396110731</v>
      </c>
      <c r="K2341">
        <v>1206</v>
      </c>
      <c r="L2341" t="s">
        <v>6063</v>
      </c>
      <c r="N2341" t="s">
        <v>13</v>
      </c>
      <c r="O2341" t="s">
        <v>2089</v>
      </c>
      <c r="P2341" s="2" t="str">
        <f>HYPERLINK("https://www.facebook.com/100001463526763")</f>
        <v>https://www.facebook.com/100001463526763</v>
      </c>
      <c r="Q2341">
        <v>73186</v>
      </c>
      <c r="R2341" t="s">
        <v>6067</v>
      </c>
      <c r="S2341" t="s">
        <v>6073</v>
      </c>
    </row>
    <row r="2342" spans="1:19" ht="14.25" customHeight="1" x14ac:dyDescent="0.3">
      <c r="A2342" t="s">
        <v>3527</v>
      </c>
      <c r="B2342" t="s">
        <v>907</v>
      </c>
      <c r="C2342" t="s">
        <v>95</v>
      </c>
      <c r="D2342" t="s">
        <v>690</v>
      </c>
      <c r="E2342" t="s">
        <v>3904</v>
      </c>
      <c r="F2342" t="s">
        <v>6059</v>
      </c>
      <c r="G2342" s="2" t="str">
        <f>HYPERLINK("https://www.facebook.com/278105015535592/posts/1935377959808281?comment_id=1935723703107040")</f>
        <v>https://www.facebook.com/278105015535592/posts/1935377959808281?comment_id=1935723703107040</v>
      </c>
      <c r="H2342" t="s">
        <v>6061</v>
      </c>
      <c r="I2342" t="s">
        <v>3905</v>
      </c>
      <c r="J2342" s="2" t="str">
        <f>HYPERLINK("https://www.facebook.com/100009382343792")</f>
        <v>https://www.facebook.com/100009382343792</v>
      </c>
      <c r="K2342">
        <v>0</v>
      </c>
      <c r="L2342" t="s">
        <v>6064</v>
      </c>
      <c r="N2342" t="s">
        <v>13</v>
      </c>
      <c r="O2342" t="s">
        <v>996</v>
      </c>
      <c r="P2342" s="2" t="str">
        <f>HYPERLINK("https://www.facebook.com/278105015535592")</f>
        <v>https://www.facebook.com/278105015535592</v>
      </c>
      <c r="Q2342">
        <v>4845</v>
      </c>
      <c r="R2342" t="s">
        <v>6067</v>
      </c>
      <c r="S2342" t="s">
        <v>6073</v>
      </c>
    </row>
    <row r="2343" spans="1:19" ht="14.25" customHeight="1" x14ac:dyDescent="0.3">
      <c r="A2343" t="s">
        <v>5409</v>
      </c>
      <c r="B2343" t="s">
        <v>2949</v>
      </c>
      <c r="C2343" t="s">
        <v>3538</v>
      </c>
      <c r="D2343" t="s">
        <v>4468</v>
      </c>
      <c r="E2343" t="s">
        <v>5525</v>
      </c>
      <c r="F2343" t="s">
        <v>6059</v>
      </c>
      <c r="G2343" s="2" t="str">
        <f>HYPERLINK("https://www.facebook.com/1529329267308888/posts/2058827921025684?comment_id=2058830887692054")</f>
        <v>https://www.facebook.com/1529329267308888/posts/2058827921025684?comment_id=2058830887692054</v>
      </c>
      <c r="H2343" t="s">
        <v>6061</v>
      </c>
      <c r="I2343" t="s">
        <v>5512</v>
      </c>
      <c r="J2343" s="2" t="str">
        <f>HYPERLINK("https://www.facebook.com/100008012778948")</f>
        <v>https://www.facebook.com/100008012778948</v>
      </c>
      <c r="K2343">
        <v>206</v>
      </c>
      <c r="L2343" t="s">
        <v>6064</v>
      </c>
      <c r="N2343" t="s">
        <v>13</v>
      </c>
      <c r="O2343" t="s">
        <v>4471</v>
      </c>
      <c r="P2343" s="2" t="str">
        <f>HYPERLINK("https://www.facebook.com/1529329267308888")</f>
        <v>https://www.facebook.com/1529329267308888</v>
      </c>
      <c r="R2343" t="s">
        <v>6067</v>
      </c>
      <c r="S2343" t="s">
        <v>6073</v>
      </c>
    </row>
    <row r="2344" spans="1:19" ht="14.25" customHeight="1" x14ac:dyDescent="0.3">
      <c r="A2344" t="s">
        <v>629</v>
      </c>
      <c r="B2344" t="s">
        <v>638</v>
      </c>
      <c r="C2344" t="s">
        <v>95</v>
      </c>
      <c r="D2344" t="s">
        <v>640</v>
      </c>
      <c r="E2344" t="s">
        <v>641</v>
      </c>
      <c r="F2344" t="s">
        <v>6056</v>
      </c>
      <c r="G2344" s="2" t="str">
        <f>HYPERLINK("https://www.facebook.com/100001227493820/posts/1910069802377251")</f>
        <v>https://www.facebook.com/100001227493820/posts/1910069802377251</v>
      </c>
      <c r="H2344" t="s">
        <v>6061</v>
      </c>
      <c r="I2344" t="s">
        <v>642</v>
      </c>
      <c r="J2344" s="2" t="str">
        <f>HYPERLINK("https://www.facebook.com/100001227493820")</f>
        <v>https://www.facebook.com/100001227493820</v>
      </c>
      <c r="K2344">
        <v>0</v>
      </c>
      <c r="L2344" t="s">
        <v>6063</v>
      </c>
      <c r="N2344" t="s">
        <v>13</v>
      </c>
      <c r="O2344" t="s">
        <v>642</v>
      </c>
      <c r="P2344" s="2" t="str">
        <f>HYPERLINK("https://www.facebook.com/100001227493820")</f>
        <v>https://www.facebook.com/100001227493820</v>
      </c>
      <c r="Q2344">
        <v>0</v>
      </c>
      <c r="R2344" t="s">
        <v>6067</v>
      </c>
      <c r="S2344" t="s">
        <v>6073</v>
      </c>
    </row>
    <row r="2345" spans="1:19" ht="14.25" customHeight="1" x14ac:dyDescent="0.3">
      <c r="A2345" t="s">
        <v>629</v>
      </c>
      <c r="B2345" t="s">
        <v>540</v>
      </c>
      <c r="C2345" t="s">
        <v>95</v>
      </c>
      <c r="D2345" t="s">
        <v>802</v>
      </c>
      <c r="E2345" t="s">
        <v>803</v>
      </c>
      <c r="F2345" t="s">
        <v>6058</v>
      </c>
      <c r="G2345" s="2" t="str">
        <f>HYPERLINK("https://www.facebook.com/100014934725384/posts/353476935160128")</f>
        <v>https://www.facebook.com/100014934725384/posts/353476935160128</v>
      </c>
      <c r="H2345" t="s">
        <v>6061</v>
      </c>
      <c r="I2345" t="s">
        <v>2105</v>
      </c>
      <c r="J2345" s="2" t="str">
        <f>HYPERLINK("https://www.facebook.com/100014934725384")</f>
        <v>https://www.facebook.com/100014934725384</v>
      </c>
      <c r="K2345">
        <v>16</v>
      </c>
      <c r="L2345" t="s">
        <v>6064</v>
      </c>
      <c r="N2345" t="s">
        <v>13</v>
      </c>
      <c r="O2345" t="s">
        <v>2105</v>
      </c>
      <c r="P2345" s="2" t="str">
        <f>HYPERLINK("https://www.facebook.com/100014934725384")</f>
        <v>https://www.facebook.com/100014934725384</v>
      </c>
      <c r="Q2345">
        <v>16</v>
      </c>
      <c r="R2345" t="s">
        <v>6067</v>
      </c>
      <c r="S2345" t="s">
        <v>6073</v>
      </c>
    </row>
    <row r="2346" spans="1:19" ht="14.25" customHeight="1" x14ac:dyDescent="0.3">
      <c r="A2346" t="s">
        <v>629</v>
      </c>
      <c r="B2346" t="s">
        <v>1089</v>
      </c>
      <c r="C2346" t="s">
        <v>95</v>
      </c>
      <c r="D2346" t="s">
        <v>1047</v>
      </c>
      <c r="E2346" t="s">
        <v>1093</v>
      </c>
      <c r="F2346" t="s">
        <v>6059</v>
      </c>
      <c r="G2346" s="2" t="str">
        <f>HYPERLINK("https://www.facebook.com/630658839/posts/10157038230093840?comment_id=10157038366748840")</f>
        <v>https://www.facebook.com/630658839/posts/10157038230093840?comment_id=10157038366748840</v>
      </c>
      <c r="H2346" t="s">
        <v>6061</v>
      </c>
      <c r="I2346" t="s">
        <v>1082</v>
      </c>
      <c r="J2346" s="2" t="str">
        <f>HYPERLINK("https://www.facebook.com/100000821585601")</f>
        <v>https://www.facebook.com/100000821585601</v>
      </c>
      <c r="K2346">
        <v>899</v>
      </c>
      <c r="L2346" t="s">
        <v>6064</v>
      </c>
      <c r="N2346" t="s">
        <v>13</v>
      </c>
      <c r="O2346" t="s">
        <v>1050</v>
      </c>
      <c r="P2346" s="2" t="str">
        <f>HYPERLINK("https://www.facebook.com/630658839")</f>
        <v>https://www.facebook.com/630658839</v>
      </c>
      <c r="Q2346">
        <v>6200</v>
      </c>
      <c r="R2346" t="s">
        <v>6067</v>
      </c>
      <c r="S2346" t="s">
        <v>6073</v>
      </c>
    </row>
    <row r="2347" spans="1:19" ht="14.25" customHeight="1" x14ac:dyDescent="0.3">
      <c r="A2347" t="s">
        <v>629</v>
      </c>
      <c r="B2347" t="s">
        <v>1080</v>
      </c>
      <c r="C2347" t="s">
        <v>95</v>
      </c>
      <c r="D2347" t="s">
        <v>1047</v>
      </c>
      <c r="E2347" t="s">
        <v>1081</v>
      </c>
      <c r="F2347" t="s">
        <v>6059</v>
      </c>
      <c r="G2347" s="2" t="str">
        <f>HYPERLINK("https://www.facebook.com/630658839/posts/10157038230093840?comment_id=10157038374043840")</f>
        <v>https://www.facebook.com/630658839/posts/10157038230093840?comment_id=10157038374043840</v>
      </c>
      <c r="H2347" t="s">
        <v>6061</v>
      </c>
      <c r="I2347" t="s">
        <v>1082</v>
      </c>
      <c r="J2347" s="2" t="str">
        <f>HYPERLINK("https://www.facebook.com/100000821585601")</f>
        <v>https://www.facebook.com/100000821585601</v>
      </c>
      <c r="K2347">
        <v>899</v>
      </c>
      <c r="L2347" t="s">
        <v>6064</v>
      </c>
      <c r="N2347" t="s">
        <v>13</v>
      </c>
      <c r="O2347" t="s">
        <v>1050</v>
      </c>
      <c r="P2347" s="2" t="str">
        <f>HYPERLINK("https://www.facebook.com/630658839")</f>
        <v>https://www.facebook.com/630658839</v>
      </c>
      <c r="Q2347">
        <v>6200</v>
      </c>
      <c r="R2347" t="s">
        <v>6067</v>
      </c>
      <c r="S2347" t="s">
        <v>6073</v>
      </c>
    </row>
    <row r="2348" spans="1:19" ht="14.25" customHeight="1" x14ac:dyDescent="0.3">
      <c r="A2348" t="s">
        <v>629</v>
      </c>
      <c r="B2348" t="s">
        <v>1095</v>
      </c>
      <c r="C2348" t="s">
        <v>95</v>
      </c>
      <c r="D2348" t="s">
        <v>1047</v>
      </c>
      <c r="E2348" t="s">
        <v>1096</v>
      </c>
      <c r="F2348" t="s">
        <v>6059</v>
      </c>
      <c r="G2348" s="2" t="str">
        <f>HYPERLINK("https://www.facebook.com/630658839/posts/10157038230093840?comment_id=10157038365678840")</f>
        <v>https://www.facebook.com/630658839/posts/10157038230093840?comment_id=10157038365678840</v>
      </c>
      <c r="H2348" t="s">
        <v>6061</v>
      </c>
      <c r="I2348" t="s">
        <v>1082</v>
      </c>
      <c r="J2348" s="2" t="str">
        <f>HYPERLINK("https://www.facebook.com/100000821585601")</f>
        <v>https://www.facebook.com/100000821585601</v>
      </c>
      <c r="K2348">
        <v>899</v>
      </c>
      <c r="L2348" t="s">
        <v>6064</v>
      </c>
      <c r="N2348" t="s">
        <v>13</v>
      </c>
      <c r="O2348" t="s">
        <v>1050</v>
      </c>
      <c r="P2348" s="2" t="str">
        <f>HYPERLINK("https://www.facebook.com/630658839")</f>
        <v>https://www.facebook.com/630658839</v>
      </c>
      <c r="Q2348">
        <v>6200</v>
      </c>
      <c r="R2348" t="s">
        <v>6067</v>
      </c>
      <c r="S2348" t="s">
        <v>6073</v>
      </c>
    </row>
    <row r="2349" spans="1:19" ht="14.25" customHeight="1" x14ac:dyDescent="0.3">
      <c r="A2349" t="s">
        <v>3527</v>
      </c>
      <c r="B2349" t="s">
        <v>3612</v>
      </c>
      <c r="C2349" t="s">
        <v>95</v>
      </c>
      <c r="D2349" t="s">
        <v>3613</v>
      </c>
      <c r="E2349" t="s">
        <v>3614</v>
      </c>
      <c r="F2349" t="s">
        <v>6057</v>
      </c>
      <c r="G2349" s="2" t="str">
        <f>HYPERLINK("https://www.facebook.com/100021811803455/posts/240050196732039")</f>
        <v>https://www.facebook.com/100021811803455/posts/240050196732039</v>
      </c>
      <c r="H2349" t="s">
        <v>6061</v>
      </c>
      <c r="I2349" t="s">
        <v>3615</v>
      </c>
      <c r="J2349" s="2" t="str">
        <f>HYPERLINK("https://www.facebook.com/100021811803455")</f>
        <v>https://www.facebook.com/100021811803455</v>
      </c>
      <c r="K2349">
        <v>2398</v>
      </c>
      <c r="L2349" t="s">
        <v>6064</v>
      </c>
      <c r="N2349" t="s">
        <v>13</v>
      </c>
      <c r="O2349" t="s">
        <v>3615</v>
      </c>
      <c r="P2349" s="2" t="str">
        <f>HYPERLINK("https://www.facebook.com/100021811803455")</f>
        <v>https://www.facebook.com/100021811803455</v>
      </c>
      <c r="Q2349">
        <v>2398</v>
      </c>
      <c r="R2349" t="s">
        <v>6067</v>
      </c>
      <c r="S2349" t="s">
        <v>6073</v>
      </c>
    </row>
    <row r="2350" spans="1:19" ht="14.25" customHeight="1" x14ac:dyDescent="0.3">
      <c r="A2350" t="s">
        <v>4995</v>
      </c>
      <c r="B2350" t="s">
        <v>5361</v>
      </c>
      <c r="C2350" t="s">
        <v>3538</v>
      </c>
      <c r="D2350" t="s">
        <v>5333</v>
      </c>
      <c r="E2350" t="s">
        <v>5362</v>
      </c>
      <c r="F2350" t="s">
        <v>6056</v>
      </c>
      <c r="G2350" s="2" t="str">
        <f>HYPERLINK("https://www.facebook.com/100009578475197/posts/1951863175142946")</f>
        <v>https://www.facebook.com/100009578475197/posts/1951863175142946</v>
      </c>
      <c r="H2350" t="s">
        <v>6061</v>
      </c>
      <c r="I2350" t="s">
        <v>3317</v>
      </c>
      <c r="J2350" s="2" t="str">
        <f>HYPERLINK("https://www.facebook.com/100009578475197")</f>
        <v>https://www.facebook.com/100009578475197</v>
      </c>
      <c r="K2350">
        <v>254</v>
      </c>
      <c r="L2350" t="s">
        <v>6064</v>
      </c>
      <c r="N2350" t="s">
        <v>13</v>
      </c>
      <c r="O2350" t="s">
        <v>3317</v>
      </c>
      <c r="P2350" s="2" t="str">
        <f>HYPERLINK("https://www.facebook.com/100009578475197")</f>
        <v>https://www.facebook.com/100009578475197</v>
      </c>
      <c r="Q2350">
        <v>254</v>
      </c>
      <c r="R2350" t="s">
        <v>6067</v>
      </c>
      <c r="S2350" t="s">
        <v>6073</v>
      </c>
    </row>
    <row r="2351" spans="1:19" ht="14.25" customHeight="1" x14ac:dyDescent="0.3">
      <c r="A2351" t="s">
        <v>4995</v>
      </c>
      <c r="B2351" t="s">
        <v>1995</v>
      </c>
      <c r="C2351" t="s">
        <v>3538</v>
      </c>
      <c r="D2351" t="s">
        <v>5339</v>
      </c>
      <c r="E2351" t="s">
        <v>5340</v>
      </c>
      <c r="F2351" t="s">
        <v>6059</v>
      </c>
      <c r="G2351" s="2" t="str">
        <f>HYPERLINK("https://www.facebook.com/100010362825638/posts/572253049796784?comment_id=573443216344434")</f>
        <v>https://www.facebook.com/100010362825638/posts/572253049796784?comment_id=573443216344434</v>
      </c>
      <c r="H2351" t="s">
        <v>6061</v>
      </c>
      <c r="I2351" t="s">
        <v>5341</v>
      </c>
      <c r="J2351" s="2" t="str">
        <f>HYPERLINK("https://www.facebook.com/100001665936020")</f>
        <v>https://www.facebook.com/100001665936020</v>
      </c>
      <c r="K2351">
        <v>0</v>
      </c>
      <c r="L2351" t="s">
        <v>6063</v>
      </c>
      <c r="N2351" t="s">
        <v>13</v>
      </c>
      <c r="O2351" t="s">
        <v>5342</v>
      </c>
      <c r="P2351" s="2" t="str">
        <f>HYPERLINK("https://www.facebook.com/100010362825638")</f>
        <v>https://www.facebook.com/100010362825638</v>
      </c>
      <c r="Q2351">
        <v>2724</v>
      </c>
      <c r="R2351" t="s">
        <v>6067</v>
      </c>
      <c r="S2351" t="s">
        <v>6073</v>
      </c>
    </row>
    <row r="2352" spans="1:19" ht="14.25" customHeight="1" x14ac:dyDescent="0.3">
      <c r="A2352" t="s">
        <v>2225</v>
      </c>
      <c r="B2352" t="s">
        <v>2488</v>
      </c>
      <c r="C2352" t="s">
        <v>95</v>
      </c>
      <c r="D2352" t="s">
        <v>802</v>
      </c>
      <c r="E2352" t="s">
        <v>803</v>
      </c>
      <c r="F2352" t="s">
        <v>6058</v>
      </c>
      <c r="G2352" s="2" t="str">
        <f>HYPERLINK("https://www.facebook.com/100007397433783/posts/2033325283590700")</f>
        <v>https://www.facebook.com/100007397433783/posts/2033325283590700</v>
      </c>
      <c r="H2352" t="s">
        <v>6061</v>
      </c>
      <c r="I2352" t="s">
        <v>2489</v>
      </c>
      <c r="J2352" s="2" t="str">
        <f>HYPERLINK("https://www.facebook.com/100007397433783")</f>
        <v>https://www.facebook.com/100007397433783</v>
      </c>
      <c r="K2352">
        <v>1045</v>
      </c>
      <c r="L2352" t="s">
        <v>6063</v>
      </c>
      <c r="N2352" t="s">
        <v>13</v>
      </c>
      <c r="O2352" t="s">
        <v>2489</v>
      </c>
      <c r="P2352" s="2" t="str">
        <f>HYPERLINK("https://www.facebook.com/100007397433783")</f>
        <v>https://www.facebook.com/100007397433783</v>
      </c>
      <c r="Q2352">
        <v>1045</v>
      </c>
      <c r="R2352" t="s">
        <v>6067</v>
      </c>
      <c r="S2352" t="s">
        <v>6073</v>
      </c>
    </row>
    <row r="2353" spans="1:19" ht="14.25" customHeight="1" x14ac:dyDescent="0.3">
      <c r="A2353" t="s">
        <v>2225</v>
      </c>
      <c r="B2353" t="s">
        <v>365</v>
      </c>
      <c r="C2353" t="s">
        <v>95</v>
      </c>
      <c r="D2353" t="s">
        <v>932</v>
      </c>
      <c r="E2353" t="s">
        <v>3409</v>
      </c>
      <c r="F2353" t="s">
        <v>6056</v>
      </c>
      <c r="G2353" s="2" t="str">
        <f>HYPERLINK("https://www.facebook.com/100000671522755/posts/1878154095550290")</f>
        <v>https://www.facebook.com/100000671522755/posts/1878154095550290</v>
      </c>
      <c r="H2353" t="s">
        <v>6061</v>
      </c>
      <c r="I2353" t="s">
        <v>935</v>
      </c>
      <c r="J2353" s="2" t="str">
        <f>HYPERLINK("https://www.facebook.com/100000671522755")</f>
        <v>https://www.facebook.com/100000671522755</v>
      </c>
      <c r="K2353">
        <v>4995</v>
      </c>
      <c r="L2353" t="s">
        <v>6064</v>
      </c>
      <c r="M2353">
        <v>37</v>
      </c>
      <c r="N2353" t="s">
        <v>13</v>
      </c>
      <c r="O2353" t="s">
        <v>935</v>
      </c>
      <c r="P2353" s="2" t="str">
        <f>HYPERLINK("https://www.facebook.com/100000671522755")</f>
        <v>https://www.facebook.com/100000671522755</v>
      </c>
      <c r="Q2353">
        <v>4995</v>
      </c>
      <c r="R2353" t="s">
        <v>6067</v>
      </c>
      <c r="S2353" t="s">
        <v>6073</v>
      </c>
    </row>
    <row r="2354" spans="1:19" ht="14.25" customHeight="1" x14ac:dyDescent="0.3">
      <c r="A2354" t="s">
        <v>629</v>
      </c>
      <c r="B2354" t="s">
        <v>1046</v>
      </c>
      <c r="C2354" t="s">
        <v>95</v>
      </c>
      <c r="D2354" t="s">
        <v>1047</v>
      </c>
      <c r="E2354" t="s">
        <v>1048</v>
      </c>
      <c r="F2354" t="s">
        <v>6059</v>
      </c>
      <c r="G2354" s="2" t="str">
        <f>HYPERLINK("https://www.facebook.com/630658839/posts/10157038230093840?comment_id=10157038404773840")</f>
        <v>https://www.facebook.com/630658839/posts/10157038230093840?comment_id=10157038404773840</v>
      </c>
      <c r="H2354" t="s">
        <v>6061</v>
      </c>
      <c r="I2354" t="s">
        <v>1049</v>
      </c>
      <c r="J2354" s="2" t="str">
        <f>HYPERLINK("https://www.facebook.com/100001823726373")</f>
        <v>https://www.facebook.com/100001823726373</v>
      </c>
      <c r="K2354">
        <v>1163</v>
      </c>
      <c r="L2354" t="s">
        <v>6064</v>
      </c>
      <c r="N2354" t="s">
        <v>13</v>
      </c>
      <c r="O2354" t="s">
        <v>1050</v>
      </c>
      <c r="P2354" s="2" t="str">
        <f>HYPERLINK("https://www.facebook.com/630658839")</f>
        <v>https://www.facebook.com/630658839</v>
      </c>
      <c r="Q2354">
        <v>6200</v>
      </c>
      <c r="R2354" t="s">
        <v>6067</v>
      </c>
      <c r="S2354" t="s">
        <v>6073</v>
      </c>
    </row>
    <row r="2355" spans="1:19" ht="14.25" customHeight="1" x14ac:dyDescent="0.3">
      <c r="A2355" t="s">
        <v>1</v>
      </c>
      <c r="B2355" t="s">
        <v>561</v>
      </c>
      <c r="C2355" t="s">
        <v>95</v>
      </c>
      <c r="D2355" t="s">
        <v>10</v>
      </c>
      <c r="E2355" t="s">
        <v>562</v>
      </c>
      <c r="F2355" t="s">
        <v>6059</v>
      </c>
      <c r="G2355" s="2" t="str">
        <f>HYPERLINK("https://www.facebook.com/1070092426/posts/10213398046920195?comment_id=10213399534677388")</f>
        <v>https://www.facebook.com/1070092426/posts/10213398046920195?comment_id=10213399534677388</v>
      </c>
      <c r="H2355" t="s">
        <v>6061</v>
      </c>
      <c r="I2355" t="s">
        <v>558</v>
      </c>
      <c r="J2355" s="2" t="str">
        <f>HYPERLINK("https://www.facebook.com/100001261485820")</f>
        <v>https://www.facebook.com/100001261485820</v>
      </c>
      <c r="K2355">
        <v>0</v>
      </c>
      <c r="L2355" t="s">
        <v>6063</v>
      </c>
      <c r="N2355" t="s">
        <v>13</v>
      </c>
      <c r="O2355" t="s">
        <v>314</v>
      </c>
      <c r="P2355" s="2" t="str">
        <f>HYPERLINK("https://www.facebook.com/1070092426")</f>
        <v>https://www.facebook.com/1070092426</v>
      </c>
      <c r="Q2355">
        <v>5892</v>
      </c>
      <c r="R2355" t="s">
        <v>6067</v>
      </c>
      <c r="S2355" t="s">
        <v>6073</v>
      </c>
    </row>
    <row r="2356" spans="1:19" ht="14.25" customHeight="1" x14ac:dyDescent="0.3">
      <c r="A2356" t="s">
        <v>4439</v>
      </c>
      <c r="B2356" t="s">
        <v>1062</v>
      </c>
      <c r="C2356" t="s">
        <v>3538</v>
      </c>
      <c r="D2356" t="s">
        <v>4614</v>
      </c>
      <c r="E2356" t="s">
        <v>4615</v>
      </c>
      <c r="F2356" t="s">
        <v>6058</v>
      </c>
      <c r="G2356" s="2" t="str">
        <f>HYPERLINK("https://www.facebook.com/100017384528666/posts/212870859302397")</f>
        <v>https://www.facebook.com/100017384528666/posts/212870859302397</v>
      </c>
      <c r="H2356" t="s">
        <v>6061</v>
      </c>
      <c r="I2356" t="s">
        <v>4616</v>
      </c>
      <c r="J2356" s="2" t="str">
        <f>HYPERLINK("https://www.facebook.com/100017384528666")</f>
        <v>https://www.facebook.com/100017384528666</v>
      </c>
      <c r="K2356">
        <v>151</v>
      </c>
      <c r="L2356" t="s">
        <v>6064</v>
      </c>
      <c r="N2356" t="s">
        <v>13</v>
      </c>
      <c r="O2356" t="s">
        <v>4616</v>
      </c>
      <c r="P2356" s="2" t="str">
        <f>HYPERLINK("https://www.facebook.com/100017384528666")</f>
        <v>https://www.facebook.com/100017384528666</v>
      </c>
      <c r="Q2356">
        <v>151</v>
      </c>
      <c r="R2356" t="s">
        <v>6067</v>
      </c>
      <c r="S2356" t="s">
        <v>6110</v>
      </c>
    </row>
    <row r="2357" spans="1:19" ht="14.25" customHeight="1" x14ac:dyDescent="0.3">
      <c r="A2357" t="s">
        <v>4995</v>
      </c>
      <c r="B2357" t="s">
        <v>5077</v>
      </c>
      <c r="C2357" t="s">
        <v>3538</v>
      </c>
      <c r="D2357" t="s">
        <v>5078</v>
      </c>
      <c r="E2357" t="s">
        <v>5079</v>
      </c>
      <c r="F2357" t="s">
        <v>6059</v>
      </c>
      <c r="G2357" s="2" t="str">
        <f>HYPERLINK("https://www.facebook.com/100001929668660/posts/1891490270925277?comment_id=1892568860817418")</f>
        <v>https://www.facebook.com/100001929668660/posts/1891490270925277?comment_id=1892568860817418</v>
      </c>
      <c r="H2357" t="s">
        <v>6061</v>
      </c>
      <c r="I2357" t="s">
        <v>5080</v>
      </c>
      <c r="J2357" s="2" t="str">
        <f>HYPERLINK("https://www.facebook.com/100007209038605")</f>
        <v>https://www.facebook.com/100007209038605</v>
      </c>
      <c r="K2357">
        <v>645</v>
      </c>
      <c r="L2357" t="s">
        <v>6064</v>
      </c>
      <c r="N2357" t="s">
        <v>13</v>
      </c>
      <c r="O2357" t="s">
        <v>5081</v>
      </c>
      <c r="P2357" s="2" t="str">
        <f>HYPERLINK("https://www.facebook.com/100001929668660")</f>
        <v>https://www.facebook.com/100001929668660</v>
      </c>
      <c r="Q2357">
        <v>2652</v>
      </c>
      <c r="R2357" t="s">
        <v>6067</v>
      </c>
      <c r="S2357" t="s">
        <v>6072</v>
      </c>
    </row>
    <row r="2358" spans="1:19" ht="14.25" customHeight="1" x14ac:dyDescent="0.3">
      <c r="A2358" t="s">
        <v>629</v>
      </c>
      <c r="B2358" t="s">
        <v>1203</v>
      </c>
      <c r="C2358" t="s">
        <v>95</v>
      </c>
      <c r="D2358" t="s">
        <v>1204</v>
      </c>
      <c r="E2358" t="s">
        <v>1205</v>
      </c>
      <c r="F2358" t="s">
        <v>6058</v>
      </c>
      <c r="G2358" s="2" t="str">
        <f>HYPERLINK("https://www.facebook.com/100003184240347/posts/1625188467597279")</f>
        <v>https://www.facebook.com/100003184240347/posts/1625188467597279</v>
      </c>
      <c r="H2358" t="s">
        <v>6061</v>
      </c>
      <c r="I2358" t="s">
        <v>655</v>
      </c>
      <c r="J2358" s="2" t="str">
        <f t="shared" ref="J2358:J2364" si="65">HYPERLINK("https://www.facebook.com/100003184240347")</f>
        <v>https://www.facebook.com/100003184240347</v>
      </c>
      <c r="K2358">
        <v>0</v>
      </c>
      <c r="L2358" t="s">
        <v>6063</v>
      </c>
      <c r="N2358" t="s">
        <v>13</v>
      </c>
      <c r="O2358" t="s">
        <v>655</v>
      </c>
      <c r="P2358" s="2" t="str">
        <f t="shared" ref="P2358:P2364" si="66">HYPERLINK("https://www.facebook.com/100003184240347")</f>
        <v>https://www.facebook.com/100003184240347</v>
      </c>
      <c r="Q2358">
        <v>0</v>
      </c>
      <c r="R2358" t="s">
        <v>6067</v>
      </c>
      <c r="S2358" t="s">
        <v>6073</v>
      </c>
    </row>
    <row r="2359" spans="1:19" ht="14.25" customHeight="1" x14ac:dyDescent="0.3">
      <c r="A2359" t="s">
        <v>629</v>
      </c>
      <c r="B2359" t="s">
        <v>1365</v>
      </c>
      <c r="C2359" t="s">
        <v>95</v>
      </c>
      <c r="D2359" t="s">
        <v>1366</v>
      </c>
      <c r="E2359" t="s">
        <v>1367</v>
      </c>
      <c r="F2359" t="s">
        <v>6056</v>
      </c>
      <c r="G2359" s="2" t="str">
        <f>HYPERLINK("https://www.facebook.com/100003184240347/posts/1625124807603645")</f>
        <v>https://www.facebook.com/100003184240347/posts/1625124807603645</v>
      </c>
      <c r="H2359" t="s">
        <v>6061</v>
      </c>
      <c r="I2359" t="s">
        <v>655</v>
      </c>
      <c r="J2359" s="2" t="str">
        <f t="shared" si="65"/>
        <v>https://www.facebook.com/100003184240347</v>
      </c>
      <c r="K2359">
        <v>0</v>
      </c>
      <c r="L2359" t="s">
        <v>6063</v>
      </c>
      <c r="N2359" t="s">
        <v>13</v>
      </c>
      <c r="O2359" t="s">
        <v>655</v>
      </c>
      <c r="P2359" s="2" t="str">
        <f t="shared" si="66"/>
        <v>https://www.facebook.com/100003184240347</v>
      </c>
      <c r="Q2359">
        <v>0</v>
      </c>
      <c r="R2359" t="s">
        <v>6067</v>
      </c>
      <c r="S2359" t="s">
        <v>6073</v>
      </c>
    </row>
    <row r="2360" spans="1:19" ht="14.25" customHeight="1" x14ac:dyDescent="0.3">
      <c r="A2360" t="s">
        <v>629</v>
      </c>
      <c r="B2360" t="s">
        <v>654</v>
      </c>
      <c r="C2360" t="s">
        <v>95</v>
      </c>
      <c r="D2360" t="s">
        <v>649</v>
      </c>
      <c r="E2360" t="s">
        <v>650</v>
      </c>
      <c r="F2360" t="s">
        <v>6056</v>
      </c>
      <c r="G2360" s="2" t="str">
        <f>HYPERLINK("https://www.facebook.com/100003184240347/posts/1625578950891564")</f>
        <v>https://www.facebook.com/100003184240347/posts/1625578950891564</v>
      </c>
      <c r="H2360" t="s">
        <v>6061</v>
      </c>
      <c r="I2360" t="s">
        <v>655</v>
      </c>
      <c r="J2360" s="2" t="str">
        <f t="shared" si="65"/>
        <v>https://www.facebook.com/100003184240347</v>
      </c>
      <c r="K2360">
        <v>0</v>
      </c>
      <c r="L2360" t="s">
        <v>6063</v>
      </c>
      <c r="N2360" t="s">
        <v>13</v>
      </c>
      <c r="O2360" t="s">
        <v>655</v>
      </c>
      <c r="P2360" s="2" t="str">
        <f t="shared" si="66"/>
        <v>https://www.facebook.com/100003184240347</v>
      </c>
      <c r="Q2360">
        <v>0</v>
      </c>
      <c r="R2360" t="s">
        <v>6067</v>
      </c>
      <c r="S2360" t="s">
        <v>6073</v>
      </c>
    </row>
    <row r="2361" spans="1:19" ht="14.25" customHeight="1" x14ac:dyDescent="0.3">
      <c r="A2361" t="s">
        <v>629</v>
      </c>
      <c r="B2361" t="s">
        <v>909</v>
      </c>
      <c r="C2361" t="s">
        <v>95</v>
      </c>
      <c r="D2361" t="s">
        <v>649</v>
      </c>
      <c r="E2361" t="s">
        <v>650</v>
      </c>
      <c r="F2361" t="s">
        <v>6058</v>
      </c>
      <c r="G2361" s="2" t="str">
        <f>HYPERLINK("https://www.facebook.com/100003184240347/posts/1625363204246472")</f>
        <v>https://www.facebook.com/100003184240347/posts/1625363204246472</v>
      </c>
      <c r="H2361" t="s">
        <v>6061</v>
      </c>
      <c r="I2361" t="s">
        <v>655</v>
      </c>
      <c r="J2361" s="2" t="str">
        <f t="shared" si="65"/>
        <v>https://www.facebook.com/100003184240347</v>
      </c>
      <c r="K2361">
        <v>0</v>
      </c>
      <c r="L2361" t="s">
        <v>6063</v>
      </c>
      <c r="N2361" t="s">
        <v>13</v>
      </c>
      <c r="O2361" t="s">
        <v>655</v>
      </c>
      <c r="P2361" s="2" t="str">
        <f t="shared" si="66"/>
        <v>https://www.facebook.com/100003184240347</v>
      </c>
      <c r="Q2361">
        <v>0</v>
      </c>
      <c r="R2361" t="s">
        <v>6067</v>
      </c>
      <c r="S2361" t="s">
        <v>6073</v>
      </c>
    </row>
    <row r="2362" spans="1:19" ht="14.25" customHeight="1" x14ac:dyDescent="0.3">
      <c r="A2362" t="s">
        <v>629</v>
      </c>
      <c r="B2362" t="s">
        <v>1203</v>
      </c>
      <c r="C2362" t="s">
        <v>95</v>
      </c>
      <c r="D2362" t="s">
        <v>649</v>
      </c>
      <c r="E2362" t="s">
        <v>650</v>
      </c>
      <c r="F2362" t="s">
        <v>6058</v>
      </c>
      <c r="G2362" s="2" t="str">
        <f>HYPERLINK("https://www.facebook.com/100003184240347/posts/1625187857597340")</f>
        <v>https://www.facebook.com/100003184240347/posts/1625187857597340</v>
      </c>
      <c r="H2362" t="s">
        <v>6061</v>
      </c>
      <c r="I2362" t="s">
        <v>655</v>
      </c>
      <c r="J2362" s="2" t="str">
        <f t="shared" si="65"/>
        <v>https://www.facebook.com/100003184240347</v>
      </c>
      <c r="K2362">
        <v>0</v>
      </c>
      <c r="L2362" t="s">
        <v>6063</v>
      </c>
      <c r="N2362" t="s">
        <v>13</v>
      </c>
      <c r="O2362" t="s">
        <v>655</v>
      </c>
      <c r="P2362" s="2" t="str">
        <f t="shared" si="66"/>
        <v>https://www.facebook.com/100003184240347</v>
      </c>
      <c r="Q2362">
        <v>0</v>
      </c>
      <c r="R2362" t="s">
        <v>6067</v>
      </c>
      <c r="S2362" t="s">
        <v>6073</v>
      </c>
    </row>
    <row r="2363" spans="1:19" ht="14.25" customHeight="1" x14ac:dyDescent="0.3">
      <c r="A2363" t="s">
        <v>629</v>
      </c>
      <c r="B2363" t="s">
        <v>909</v>
      </c>
      <c r="C2363" t="s">
        <v>95</v>
      </c>
      <c r="D2363" t="s">
        <v>652</v>
      </c>
      <c r="E2363" t="s">
        <v>653</v>
      </c>
      <c r="F2363" t="s">
        <v>6058</v>
      </c>
      <c r="G2363" s="2" t="str">
        <f>HYPERLINK("https://www.facebook.com/100003184240347/posts/1625363354246457")</f>
        <v>https://www.facebook.com/100003184240347/posts/1625363354246457</v>
      </c>
      <c r="H2363" t="s">
        <v>6061</v>
      </c>
      <c r="I2363" t="s">
        <v>655</v>
      </c>
      <c r="J2363" s="2" t="str">
        <f t="shared" si="65"/>
        <v>https://www.facebook.com/100003184240347</v>
      </c>
      <c r="K2363">
        <v>0</v>
      </c>
      <c r="L2363" t="s">
        <v>6063</v>
      </c>
      <c r="N2363" t="s">
        <v>13</v>
      </c>
      <c r="O2363" t="s">
        <v>655</v>
      </c>
      <c r="P2363" s="2" t="str">
        <f t="shared" si="66"/>
        <v>https://www.facebook.com/100003184240347</v>
      </c>
      <c r="Q2363">
        <v>0</v>
      </c>
      <c r="R2363" t="s">
        <v>6067</v>
      </c>
      <c r="S2363" t="s">
        <v>6073</v>
      </c>
    </row>
    <row r="2364" spans="1:19" ht="14.25" customHeight="1" x14ac:dyDescent="0.3">
      <c r="A2364" t="s">
        <v>629</v>
      </c>
      <c r="B2364" t="s">
        <v>963</v>
      </c>
      <c r="C2364" t="s">
        <v>95</v>
      </c>
      <c r="D2364" t="s">
        <v>652</v>
      </c>
      <c r="E2364" t="s">
        <v>653</v>
      </c>
      <c r="F2364" t="s">
        <v>6058</v>
      </c>
      <c r="G2364" s="2" t="str">
        <f>HYPERLINK("https://www.facebook.com/100003184240347/posts/1625318464250946")</f>
        <v>https://www.facebook.com/100003184240347/posts/1625318464250946</v>
      </c>
      <c r="H2364" t="s">
        <v>6061</v>
      </c>
      <c r="I2364" t="s">
        <v>655</v>
      </c>
      <c r="J2364" s="2" t="str">
        <f t="shared" si="65"/>
        <v>https://www.facebook.com/100003184240347</v>
      </c>
      <c r="K2364">
        <v>0</v>
      </c>
      <c r="L2364" t="s">
        <v>6063</v>
      </c>
      <c r="N2364" t="s">
        <v>13</v>
      </c>
      <c r="O2364" t="s">
        <v>655</v>
      </c>
      <c r="P2364" s="2" t="str">
        <f t="shared" si="66"/>
        <v>https://www.facebook.com/100003184240347</v>
      </c>
      <c r="Q2364">
        <v>0</v>
      </c>
      <c r="R2364" t="s">
        <v>6067</v>
      </c>
      <c r="S2364" t="s">
        <v>6073</v>
      </c>
    </row>
    <row r="2365" spans="1:19" ht="14.25" customHeight="1" x14ac:dyDescent="0.3">
      <c r="A2365" t="s">
        <v>629</v>
      </c>
      <c r="B2365" t="s">
        <v>801</v>
      </c>
      <c r="C2365" t="s">
        <v>95</v>
      </c>
      <c r="D2365" t="s">
        <v>802</v>
      </c>
      <c r="E2365" t="s">
        <v>803</v>
      </c>
      <c r="F2365" t="s">
        <v>6058</v>
      </c>
      <c r="G2365" s="2" t="str">
        <f>HYPERLINK("https://www.facebook.com/100001899129461/posts/1862874060452547")</f>
        <v>https://www.facebook.com/100001899129461/posts/1862874060452547</v>
      </c>
      <c r="H2365" t="s">
        <v>6061</v>
      </c>
      <c r="I2365" t="s">
        <v>804</v>
      </c>
      <c r="J2365" s="2" t="str">
        <f>HYPERLINK("https://www.facebook.com/100001899129461")</f>
        <v>https://www.facebook.com/100001899129461</v>
      </c>
      <c r="K2365">
        <v>261</v>
      </c>
      <c r="L2365" t="s">
        <v>6063</v>
      </c>
      <c r="N2365" t="s">
        <v>13</v>
      </c>
      <c r="O2365" t="s">
        <v>804</v>
      </c>
      <c r="P2365" s="2" t="str">
        <f>HYPERLINK("https://www.facebook.com/100001899129461")</f>
        <v>https://www.facebook.com/100001899129461</v>
      </c>
      <c r="Q2365">
        <v>261</v>
      </c>
      <c r="R2365" t="s">
        <v>6067</v>
      </c>
      <c r="S2365" t="s">
        <v>6073</v>
      </c>
    </row>
    <row r="2366" spans="1:19" ht="14.25" customHeight="1" x14ac:dyDescent="0.3">
      <c r="A2366" t="s">
        <v>4995</v>
      </c>
      <c r="B2366" t="s">
        <v>862</v>
      </c>
      <c r="C2366" t="s">
        <v>3538</v>
      </c>
      <c r="D2366" t="s">
        <v>5078</v>
      </c>
      <c r="E2366" t="s">
        <v>5086</v>
      </c>
      <c r="F2366" t="s">
        <v>6059</v>
      </c>
      <c r="G2366" s="2" t="str">
        <f>HYPERLINK("https://www.facebook.com/100001929668660/posts/1891490270925277?comment_id=1892524160821888")</f>
        <v>https://www.facebook.com/100001929668660/posts/1891490270925277?comment_id=1892524160821888</v>
      </c>
      <c r="H2366" t="s">
        <v>6061</v>
      </c>
      <c r="I2366" t="s">
        <v>5087</v>
      </c>
      <c r="J2366" s="2" t="str">
        <f>HYPERLINK("https://www.facebook.com/100000937983972")</f>
        <v>https://www.facebook.com/100000937983972</v>
      </c>
      <c r="K2366">
        <v>8774</v>
      </c>
      <c r="L2366" t="s">
        <v>6064</v>
      </c>
      <c r="N2366" t="s">
        <v>13</v>
      </c>
      <c r="O2366" t="s">
        <v>5081</v>
      </c>
      <c r="P2366" s="2" t="str">
        <f>HYPERLINK("https://www.facebook.com/100001929668660")</f>
        <v>https://www.facebook.com/100001929668660</v>
      </c>
      <c r="Q2366">
        <v>2652</v>
      </c>
      <c r="R2366" t="s">
        <v>6067</v>
      </c>
      <c r="S2366" t="s">
        <v>6073</v>
      </c>
    </row>
    <row r="2367" spans="1:19" ht="14.25" customHeight="1" x14ac:dyDescent="0.3">
      <c r="A2367" t="s">
        <v>629</v>
      </c>
      <c r="B2367" t="s">
        <v>648</v>
      </c>
      <c r="C2367" t="s">
        <v>95</v>
      </c>
      <c r="D2367" t="s">
        <v>649</v>
      </c>
      <c r="E2367" t="s">
        <v>650</v>
      </c>
      <c r="F2367" t="s">
        <v>6058</v>
      </c>
      <c r="G2367" s="2" t="str">
        <f>HYPERLINK("https://www.facebook.com/100007601050838/posts/2005170466412969")</f>
        <v>https://www.facebook.com/100007601050838/posts/2005170466412969</v>
      </c>
      <c r="H2367" t="s">
        <v>6061</v>
      </c>
      <c r="I2367" t="s">
        <v>651</v>
      </c>
      <c r="J2367" s="2" t="str">
        <f>HYPERLINK("https://www.facebook.com/100007601050838")</f>
        <v>https://www.facebook.com/100007601050838</v>
      </c>
      <c r="K2367">
        <v>632</v>
      </c>
      <c r="L2367" t="s">
        <v>6064</v>
      </c>
      <c r="N2367" t="s">
        <v>13</v>
      </c>
      <c r="O2367" t="s">
        <v>651</v>
      </c>
      <c r="P2367" s="2" t="str">
        <f>HYPERLINK("https://www.facebook.com/100007601050838")</f>
        <v>https://www.facebook.com/100007601050838</v>
      </c>
      <c r="Q2367">
        <v>632</v>
      </c>
      <c r="R2367" t="s">
        <v>6067</v>
      </c>
      <c r="S2367" t="s">
        <v>6073</v>
      </c>
    </row>
    <row r="2368" spans="1:19" ht="14.25" customHeight="1" x14ac:dyDescent="0.3">
      <c r="A2368" t="s">
        <v>629</v>
      </c>
      <c r="B2368" t="s">
        <v>648</v>
      </c>
      <c r="C2368" t="s">
        <v>95</v>
      </c>
      <c r="D2368" t="s">
        <v>649</v>
      </c>
      <c r="E2368" t="s">
        <v>650</v>
      </c>
      <c r="F2368" t="s">
        <v>6058</v>
      </c>
      <c r="G2368" s="2" t="str">
        <f>HYPERLINK("https://www.facebook.com/100007601050838/posts/2005170463079636")</f>
        <v>https://www.facebook.com/100007601050838/posts/2005170463079636</v>
      </c>
      <c r="H2368" t="s">
        <v>6061</v>
      </c>
      <c r="I2368" t="s">
        <v>651</v>
      </c>
      <c r="J2368" s="2" t="str">
        <f>HYPERLINK("https://www.facebook.com/100007601050838")</f>
        <v>https://www.facebook.com/100007601050838</v>
      </c>
      <c r="K2368">
        <v>632</v>
      </c>
      <c r="L2368" t="s">
        <v>6064</v>
      </c>
      <c r="N2368" t="s">
        <v>13</v>
      </c>
      <c r="O2368" t="s">
        <v>651</v>
      </c>
      <c r="P2368" s="2" t="str">
        <f>HYPERLINK("https://www.facebook.com/100007601050838")</f>
        <v>https://www.facebook.com/100007601050838</v>
      </c>
      <c r="Q2368">
        <v>632</v>
      </c>
      <c r="R2368" t="s">
        <v>6067</v>
      </c>
      <c r="S2368" t="s">
        <v>6073</v>
      </c>
    </row>
    <row r="2369" spans="1:19" ht="14.25" customHeight="1" x14ac:dyDescent="0.3">
      <c r="A2369" t="s">
        <v>629</v>
      </c>
      <c r="B2369" t="s">
        <v>648</v>
      </c>
      <c r="C2369" t="s">
        <v>95</v>
      </c>
      <c r="D2369" t="s">
        <v>652</v>
      </c>
      <c r="E2369" t="s">
        <v>653</v>
      </c>
      <c r="F2369" t="s">
        <v>6058</v>
      </c>
      <c r="G2369" s="2" t="str">
        <f>HYPERLINK("https://www.facebook.com/100007601050838/posts/2005170423079640")</f>
        <v>https://www.facebook.com/100007601050838/posts/2005170423079640</v>
      </c>
      <c r="H2369" t="s">
        <v>6061</v>
      </c>
      <c r="I2369" t="s">
        <v>651</v>
      </c>
      <c r="J2369" s="2" t="str">
        <f>HYPERLINK("https://www.facebook.com/100007601050838")</f>
        <v>https://www.facebook.com/100007601050838</v>
      </c>
      <c r="K2369">
        <v>632</v>
      </c>
      <c r="L2369" t="s">
        <v>6064</v>
      </c>
      <c r="N2369" t="s">
        <v>13</v>
      </c>
      <c r="O2369" t="s">
        <v>651</v>
      </c>
      <c r="P2369" s="2" t="str">
        <f>HYPERLINK("https://www.facebook.com/100007601050838")</f>
        <v>https://www.facebook.com/100007601050838</v>
      </c>
      <c r="Q2369">
        <v>632</v>
      </c>
      <c r="R2369" t="s">
        <v>6067</v>
      </c>
      <c r="S2369" t="s">
        <v>6073</v>
      </c>
    </row>
    <row r="2370" spans="1:19" ht="14.25" customHeight="1" x14ac:dyDescent="0.3">
      <c r="A2370" t="s">
        <v>629</v>
      </c>
      <c r="B2370" t="s">
        <v>648</v>
      </c>
      <c r="C2370" t="s">
        <v>95</v>
      </c>
      <c r="D2370" t="s">
        <v>652</v>
      </c>
      <c r="E2370" t="s">
        <v>653</v>
      </c>
      <c r="F2370" t="s">
        <v>6058</v>
      </c>
      <c r="G2370" s="2" t="str">
        <f>HYPERLINK("https://www.facebook.com/100007601050838/posts/2005170419746307")</f>
        <v>https://www.facebook.com/100007601050838/posts/2005170419746307</v>
      </c>
      <c r="H2370" t="s">
        <v>6061</v>
      </c>
      <c r="I2370" t="s">
        <v>651</v>
      </c>
      <c r="J2370" s="2" t="str">
        <f>HYPERLINK("https://www.facebook.com/100007601050838")</f>
        <v>https://www.facebook.com/100007601050838</v>
      </c>
      <c r="K2370">
        <v>632</v>
      </c>
      <c r="L2370" t="s">
        <v>6064</v>
      </c>
      <c r="N2370" t="s">
        <v>13</v>
      </c>
      <c r="O2370" t="s">
        <v>651</v>
      </c>
      <c r="P2370" s="2" t="str">
        <f>HYPERLINK("https://www.facebook.com/100007601050838")</f>
        <v>https://www.facebook.com/100007601050838</v>
      </c>
      <c r="Q2370">
        <v>632</v>
      </c>
      <c r="R2370" t="s">
        <v>6067</v>
      </c>
      <c r="S2370" t="s">
        <v>6073</v>
      </c>
    </row>
    <row r="2371" spans="1:19" ht="14.25" customHeight="1" x14ac:dyDescent="0.3">
      <c r="A2371" t="s">
        <v>2225</v>
      </c>
      <c r="B2371" t="s">
        <v>759</v>
      </c>
      <c r="C2371" t="s">
        <v>95</v>
      </c>
      <c r="D2371" t="s">
        <v>802</v>
      </c>
      <c r="E2371" t="s">
        <v>2740</v>
      </c>
      <c r="F2371" t="s">
        <v>6056</v>
      </c>
      <c r="G2371" s="2" t="str">
        <f>HYPERLINK("https://www.facebook.com/100001092565164/posts/1736272859752449")</f>
        <v>https://www.facebook.com/100001092565164/posts/1736272859752449</v>
      </c>
      <c r="H2371" t="s">
        <v>6061</v>
      </c>
      <c r="I2371" t="s">
        <v>1764</v>
      </c>
      <c r="J2371" s="2" t="str">
        <f>HYPERLINK("https://www.facebook.com/100001092565164")</f>
        <v>https://www.facebook.com/100001092565164</v>
      </c>
      <c r="K2371">
        <v>1397</v>
      </c>
      <c r="L2371" t="s">
        <v>6063</v>
      </c>
      <c r="N2371" t="s">
        <v>13</v>
      </c>
      <c r="O2371" t="s">
        <v>1764</v>
      </c>
      <c r="P2371" s="2" t="str">
        <f>HYPERLINK("https://www.facebook.com/100001092565164")</f>
        <v>https://www.facebook.com/100001092565164</v>
      </c>
      <c r="Q2371">
        <v>1397</v>
      </c>
      <c r="R2371" t="s">
        <v>6067</v>
      </c>
      <c r="S2371" t="s">
        <v>6073</v>
      </c>
    </row>
    <row r="2372" spans="1:19" ht="14.25" customHeight="1" x14ac:dyDescent="0.3">
      <c r="A2372" t="s">
        <v>3527</v>
      </c>
      <c r="B2372" t="s">
        <v>3961</v>
      </c>
      <c r="C2372" t="s">
        <v>95</v>
      </c>
      <c r="D2372" t="s">
        <v>3962</v>
      </c>
      <c r="E2372" t="s">
        <v>3963</v>
      </c>
      <c r="F2372" t="s">
        <v>6058</v>
      </c>
      <c r="G2372" s="2" t="str">
        <f>HYPERLINK("https://www.facebook.com/100001570603662/posts/1764001293662207")</f>
        <v>https://www.facebook.com/100001570603662/posts/1764001293662207</v>
      </c>
      <c r="H2372" t="s">
        <v>6061</v>
      </c>
      <c r="I2372" t="s">
        <v>3964</v>
      </c>
      <c r="J2372" s="2" t="str">
        <f>HYPERLINK("https://www.facebook.com/100001570603662")</f>
        <v>https://www.facebook.com/100001570603662</v>
      </c>
      <c r="K2372">
        <v>85</v>
      </c>
      <c r="L2372" t="s">
        <v>6064</v>
      </c>
      <c r="N2372" t="s">
        <v>13</v>
      </c>
      <c r="O2372" t="s">
        <v>3964</v>
      </c>
      <c r="P2372" s="2" t="str">
        <f>HYPERLINK("https://www.facebook.com/100001570603662")</f>
        <v>https://www.facebook.com/100001570603662</v>
      </c>
      <c r="Q2372">
        <v>85</v>
      </c>
      <c r="R2372" t="s">
        <v>6067</v>
      </c>
      <c r="S2372" t="s">
        <v>6073</v>
      </c>
    </row>
    <row r="2373" spans="1:19" ht="14.25" customHeight="1" x14ac:dyDescent="0.3">
      <c r="A2373" t="s">
        <v>5409</v>
      </c>
      <c r="B2373" t="s">
        <v>1003</v>
      </c>
      <c r="C2373" t="s">
        <v>3538</v>
      </c>
      <c r="D2373" t="s">
        <v>5117</v>
      </c>
      <c r="E2373" t="s">
        <v>5625</v>
      </c>
      <c r="F2373" t="s">
        <v>6056</v>
      </c>
      <c r="G2373" s="2" t="str">
        <f>HYPERLINK("https://www.facebook.com/100008916314935/posts/1781863062120887")</f>
        <v>https://www.facebook.com/100008916314935/posts/1781863062120887</v>
      </c>
      <c r="H2373" t="s">
        <v>6061</v>
      </c>
      <c r="I2373" t="s">
        <v>5120</v>
      </c>
      <c r="J2373" s="2" t="str">
        <f>HYPERLINK("https://www.facebook.com/100008916314935")</f>
        <v>https://www.facebook.com/100008916314935</v>
      </c>
      <c r="K2373">
        <v>82</v>
      </c>
      <c r="L2373" t="s">
        <v>6063</v>
      </c>
      <c r="N2373" t="s">
        <v>13</v>
      </c>
      <c r="O2373" t="s">
        <v>5120</v>
      </c>
      <c r="P2373" s="2" t="str">
        <f>HYPERLINK("https://www.facebook.com/100008916314935")</f>
        <v>https://www.facebook.com/100008916314935</v>
      </c>
      <c r="Q2373">
        <v>82</v>
      </c>
      <c r="R2373" t="s">
        <v>6067</v>
      </c>
      <c r="S2373" t="s">
        <v>6073</v>
      </c>
    </row>
    <row r="2374" spans="1:19" ht="14.25" customHeight="1" x14ac:dyDescent="0.3">
      <c r="A2374" t="s">
        <v>1</v>
      </c>
      <c r="B2374" t="s">
        <v>150</v>
      </c>
      <c r="C2374" t="s">
        <v>27</v>
      </c>
      <c r="D2374" t="s">
        <v>28</v>
      </c>
      <c r="E2374" t="s">
        <v>151</v>
      </c>
      <c r="F2374" t="s">
        <v>6059</v>
      </c>
      <c r="G2374" s="2" t="str">
        <f>HYPERLINK("https://www.facebook.com/100001652702200/posts/1834613723270367?comment_id=1835095373222202")</f>
        <v>https://www.facebook.com/100001652702200/posts/1834613723270367?comment_id=1835095373222202</v>
      </c>
      <c r="H2374" t="s">
        <v>6061</v>
      </c>
      <c r="I2374" t="s">
        <v>30</v>
      </c>
      <c r="J2374" s="2" t="str">
        <f>HYPERLINK("https://www.facebook.com/100001268747140")</f>
        <v>https://www.facebook.com/100001268747140</v>
      </c>
      <c r="K2374">
        <v>434</v>
      </c>
      <c r="L2374" t="s">
        <v>6063</v>
      </c>
      <c r="N2374" t="s">
        <v>13</v>
      </c>
      <c r="O2374" t="s">
        <v>31</v>
      </c>
      <c r="P2374" s="2" t="str">
        <f>HYPERLINK("https://www.facebook.com/100001652702200")</f>
        <v>https://www.facebook.com/100001652702200</v>
      </c>
      <c r="Q2374">
        <v>0</v>
      </c>
      <c r="R2374" t="s">
        <v>6067</v>
      </c>
      <c r="S2374" t="s">
        <v>6073</v>
      </c>
    </row>
    <row r="2375" spans="1:19" ht="14.25" customHeight="1" x14ac:dyDescent="0.3">
      <c r="A2375" t="s">
        <v>3527</v>
      </c>
      <c r="B2375" t="s">
        <v>3604</v>
      </c>
      <c r="C2375" t="s">
        <v>95</v>
      </c>
      <c r="D2375" t="s">
        <v>3605</v>
      </c>
      <c r="E2375" t="s">
        <v>3606</v>
      </c>
      <c r="F2375" t="s">
        <v>6057</v>
      </c>
      <c r="G2375" s="2" t="str">
        <f>HYPERLINK("https://www.facebook.com/100020844459698/posts/167208763983938")</f>
        <v>https://www.facebook.com/100020844459698/posts/167208763983938</v>
      </c>
      <c r="H2375" t="s">
        <v>6061</v>
      </c>
      <c r="I2375" t="s">
        <v>3607</v>
      </c>
      <c r="J2375" s="2" t="str">
        <f>HYPERLINK("https://www.facebook.com/100020844459698")</f>
        <v>https://www.facebook.com/100020844459698</v>
      </c>
      <c r="K2375">
        <v>1640</v>
      </c>
      <c r="L2375" t="s">
        <v>6064</v>
      </c>
      <c r="N2375" t="s">
        <v>13</v>
      </c>
      <c r="O2375" t="s">
        <v>3607</v>
      </c>
      <c r="P2375" s="2" t="str">
        <f>HYPERLINK("https://www.facebook.com/100020844459698")</f>
        <v>https://www.facebook.com/100020844459698</v>
      </c>
      <c r="Q2375">
        <v>1640</v>
      </c>
      <c r="R2375" t="s">
        <v>6067</v>
      </c>
      <c r="S2375" t="s">
        <v>6073</v>
      </c>
    </row>
    <row r="2376" spans="1:19" ht="14.25" customHeight="1" x14ac:dyDescent="0.3">
      <c r="A2376" t="s">
        <v>3527</v>
      </c>
      <c r="B2376" t="s">
        <v>3968</v>
      </c>
      <c r="C2376" t="s">
        <v>95</v>
      </c>
      <c r="D2376" t="s">
        <v>690</v>
      </c>
      <c r="E2376" t="s">
        <v>691</v>
      </c>
      <c r="F2376" t="s">
        <v>6058</v>
      </c>
      <c r="G2376" s="2" t="str">
        <f>HYPERLINK("https://www.facebook.com/100003817100168/posts/1191118434358715")</f>
        <v>https://www.facebook.com/100003817100168/posts/1191118434358715</v>
      </c>
      <c r="H2376" t="s">
        <v>6061</v>
      </c>
      <c r="I2376" t="s">
        <v>3969</v>
      </c>
      <c r="J2376" s="2" t="str">
        <f>HYPERLINK("https://www.facebook.com/100003817100168")</f>
        <v>https://www.facebook.com/100003817100168</v>
      </c>
      <c r="K2376">
        <v>351</v>
      </c>
      <c r="L2376" t="s">
        <v>6064</v>
      </c>
      <c r="N2376" t="s">
        <v>13</v>
      </c>
      <c r="O2376" t="s">
        <v>3969</v>
      </c>
      <c r="P2376" s="2" t="str">
        <f>HYPERLINK("https://www.facebook.com/100003817100168")</f>
        <v>https://www.facebook.com/100003817100168</v>
      </c>
      <c r="Q2376">
        <v>351</v>
      </c>
      <c r="R2376" t="s">
        <v>6067</v>
      </c>
      <c r="S2376" t="s">
        <v>6073</v>
      </c>
    </row>
    <row r="2377" spans="1:19" ht="14.25" customHeight="1" x14ac:dyDescent="0.3">
      <c r="A2377" t="s">
        <v>5409</v>
      </c>
      <c r="B2377" t="s">
        <v>2136</v>
      </c>
      <c r="C2377" t="s">
        <v>3538</v>
      </c>
      <c r="D2377" t="s">
        <v>4675</v>
      </c>
      <c r="E2377" t="s">
        <v>6008</v>
      </c>
      <c r="F2377" t="s">
        <v>6059</v>
      </c>
      <c r="G2377" s="2" t="str">
        <f>HYPERLINK("https://www.facebook.com/1439247584/posts/10217349741762401?comment_id=10217351343882453")</f>
        <v>https://www.facebook.com/1439247584/posts/10217349741762401?comment_id=10217351343882453</v>
      </c>
      <c r="H2377" t="s">
        <v>6061</v>
      </c>
      <c r="I2377" t="s">
        <v>5709</v>
      </c>
      <c r="J2377" s="2" t="str">
        <f>HYPERLINK("https://www.facebook.com/100004136011994")</f>
        <v>https://www.facebook.com/100004136011994</v>
      </c>
      <c r="K2377">
        <v>895</v>
      </c>
      <c r="L2377" t="s">
        <v>6063</v>
      </c>
      <c r="N2377" t="s">
        <v>13</v>
      </c>
      <c r="O2377" t="s">
        <v>4678</v>
      </c>
      <c r="P2377" s="2" t="str">
        <f>HYPERLINK("https://www.facebook.com/1439247584")</f>
        <v>https://www.facebook.com/1439247584</v>
      </c>
      <c r="Q2377">
        <v>54</v>
      </c>
      <c r="R2377" t="s">
        <v>6067</v>
      </c>
      <c r="S2377" t="s">
        <v>6073</v>
      </c>
    </row>
    <row r="2378" spans="1:19" ht="14.25" customHeight="1" x14ac:dyDescent="0.3">
      <c r="A2378" t="s">
        <v>5409</v>
      </c>
      <c r="B2378" t="s">
        <v>5785</v>
      </c>
      <c r="C2378" t="s">
        <v>3538</v>
      </c>
      <c r="D2378" t="s">
        <v>4675</v>
      </c>
      <c r="E2378" t="s">
        <v>5786</v>
      </c>
      <c r="F2378" t="s">
        <v>6059</v>
      </c>
      <c r="G2378" s="2" t="str">
        <f>HYPERLINK("https://www.facebook.com/1439247584/posts/10217349741762401?comment_id=10217355775033229")</f>
        <v>https://www.facebook.com/1439247584/posts/10217349741762401?comment_id=10217355775033229</v>
      </c>
      <c r="H2378" t="s">
        <v>6061</v>
      </c>
      <c r="I2378" t="s">
        <v>5709</v>
      </c>
      <c r="J2378" s="2" t="str">
        <f>HYPERLINK("https://www.facebook.com/100004136011994")</f>
        <v>https://www.facebook.com/100004136011994</v>
      </c>
      <c r="K2378">
        <v>895</v>
      </c>
      <c r="L2378" t="s">
        <v>6063</v>
      </c>
      <c r="N2378" t="s">
        <v>13</v>
      </c>
      <c r="O2378" t="s">
        <v>4678</v>
      </c>
      <c r="P2378" s="2" t="str">
        <f>HYPERLINK("https://www.facebook.com/1439247584")</f>
        <v>https://www.facebook.com/1439247584</v>
      </c>
      <c r="Q2378">
        <v>54</v>
      </c>
      <c r="R2378" t="s">
        <v>6067</v>
      </c>
      <c r="S2378" t="s">
        <v>6073</v>
      </c>
    </row>
    <row r="2379" spans="1:19" ht="14.25" customHeight="1" x14ac:dyDescent="0.3">
      <c r="A2379" t="s">
        <v>3527</v>
      </c>
      <c r="B2379" t="s">
        <v>1246</v>
      </c>
      <c r="C2379" t="s">
        <v>95</v>
      </c>
      <c r="D2379" t="s">
        <v>690</v>
      </c>
      <c r="E2379" t="s">
        <v>4129</v>
      </c>
      <c r="F2379" t="s">
        <v>6059</v>
      </c>
      <c r="G2379" s="2" t="str">
        <f>HYPERLINK("https://www.facebook.com/278105015535592/posts/1935377959808281?comment_id=1935526096460134")</f>
        <v>https://www.facebook.com/278105015535592/posts/1935377959808281?comment_id=1935526096460134</v>
      </c>
      <c r="H2379" t="s">
        <v>6061</v>
      </c>
      <c r="I2379" t="s">
        <v>995</v>
      </c>
      <c r="J2379" s="2" t="str">
        <f>HYPERLINK("https://www.facebook.com/100013084470327")</f>
        <v>https://www.facebook.com/100013084470327</v>
      </c>
      <c r="K2379">
        <v>0</v>
      </c>
      <c r="L2379" t="s">
        <v>6063</v>
      </c>
      <c r="N2379" t="s">
        <v>13</v>
      </c>
      <c r="O2379" t="s">
        <v>996</v>
      </c>
      <c r="P2379" s="2" t="str">
        <f>HYPERLINK("https://www.facebook.com/278105015535592")</f>
        <v>https://www.facebook.com/278105015535592</v>
      </c>
      <c r="Q2379">
        <v>4845</v>
      </c>
      <c r="R2379" t="s">
        <v>6067</v>
      </c>
      <c r="S2379" t="s">
        <v>6073</v>
      </c>
    </row>
    <row r="2380" spans="1:19" ht="14.25" customHeight="1" x14ac:dyDescent="0.3">
      <c r="A2380" t="s">
        <v>3527</v>
      </c>
      <c r="B2380" t="s">
        <v>1238</v>
      </c>
      <c r="C2380" t="s">
        <v>95</v>
      </c>
      <c r="D2380" t="s">
        <v>690</v>
      </c>
      <c r="E2380" t="s">
        <v>4128</v>
      </c>
      <c r="F2380" t="s">
        <v>6059</v>
      </c>
      <c r="G2380" s="2" t="str">
        <f>HYPERLINK("https://www.facebook.com/278105015535592/posts/1935377959808281?comment_id=1935526633126747")</f>
        <v>https://www.facebook.com/278105015535592/posts/1935377959808281?comment_id=1935526633126747</v>
      </c>
      <c r="H2380" t="s">
        <v>6061</v>
      </c>
      <c r="I2380" t="s">
        <v>995</v>
      </c>
      <c r="J2380" s="2" t="str">
        <f>HYPERLINK("https://www.facebook.com/100013084470327")</f>
        <v>https://www.facebook.com/100013084470327</v>
      </c>
      <c r="K2380">
        <v>0</v>
      </c>
      <c r="L2380" t="s">
        <v>6063</v>
      </c>
      <c r="N2380" t="s">
        <v>13</v>
      </c>
      <c r="O2380" t="s">
        <v>996</v>
      </c>
      <c r="P2380" s="2" t="str">
        <f>HYPERLINK("https://www.facebook.com/278105015535592")</f>
        <v>https://www.facebook.com/278105015535592</v>
      </c>
      <c r="Q2380">
        <v>4845</v>
      </c>
      <c r="R2380" t="s">
        <v>6067</v>
      </c>
      <c r="S2380" t="s">
        <v>6073</v>
      </c>
    </row>
    <row r="2381" spans="1:19" ht="14.25" customHeight="1" x14ac:dyDescent="0.3">
      <c r="A2381" t="s">
        <v>629</v>
      </c>
      <c r="B2381" t="s">
        <v>1062</v>
      </c>
      <c r="C2381" t="s">
        <v>95</v>
      </c>
      <c r="D2381" t="s">
        <v>10</v>
      </c>
      <c r="E2381" t="s">
        <v>1063</v>
      </c>
      <c r="F2381" t="s">
        <v>6059</v>
      </c>
      <c r="G2381" s="2" t="str">
        <f>HYPERLINK("https://www.facebook.com/762053551/posts/10156366210158552?comment_id=10156366356528552")</f>
        <v>https://www.facebook.com/762053551/posts/10156366210158552?comment_id=10156366356528552</v>
      </c>
      <c r="H2381" t="s">
        <v>6061</v>
      </c>
      <c r="I2381" t="s">
        <v>1064</v>
      </c>
      <c r="J2381" s="2" t="str">
        <f>HYPERLINK("https://www.facebook.com/100004523140890")</f>
        <v>https://www.facebook.com/100004523140890</v>
      </c>
      <c r="K2381">
        <v>2598</v>
      </c>
      <c r="L2381" t="s">
        <v>6064</v>
      </c>
      <c r="N2381" t="s">
        <v>13</v>
      </c>
      <c r="O2381" t="s">
        <v>14</v>
      </c>
      <c r="P2381" s="2" t="str">
        <f>HYPERLINK("https://www.facebook.com/762053551")</f>
        <v>https://www.facebook.com/762053551</v>
      </c>
      <c r="Q2381">
        <v>102347</v>
      </c>
      <c r="R2381" t="s">
        <v>6067</v>
      </c>
      <c r="S2381" t="s">
        <v>6073</v>
      </c>
    </row>
    <row r="2382" spans="1:19" ht="14.25" customHeight="1" x14ac:dyDescent="0.3">
      <c r="A2382" t="s">
        <v>3527</v>
      </c>
      <c r="B2382" t="s">
        <v>4191</v>
      </c>
      <c r="C2382" t="s">
        <v>95</v>
      </c>
      <c r="D2382" t="s">
        <v>690</v>
      </c>
      <c r="E2382" t="s">
        <v>691</v>
      </c>
      <c r="F2382" t="s">
        <v>6058</v>
      </c>
      <c r="G2382" s="2" t="str">
        <f>HYPERLINK("https://www.facebook.com/1347180792/posts/10216500357125248")</f>
        <v>https://www.facebook.com/1347180792/posts/10216500357125248</v>
      </c>
      <c r="H2382" t="s">
        <v>6061</v>
      </c>
      <c r="I2382" t="s">
        <v>4192</v>
      </c>
      <c r="J2382" s="2" t="str">
        <f>HYPERLINK("https://www.facebook.com/1347180792")</f>
        <v>https://www.facebook.com/1347180792</v>
      </c>
      <c r="K2382">
        <v>724</v>
      </c>
      <c r="L2382" t="s">
        <v>6063</v>
      </c>
      <c r="N2382" t="s">
        <v>13</v>
      </c>
      <c r="O2382" t="s">
        <v>4192</v>
      </c>
      <c r="P2382" s="2" t="str">
        <f>HYPERLINK("https://www.facebook.com/1347180792")</f>
        <v>https://www.facebook.com/1347180792</v>
      </c>
      <c r="Q2382">
        <v>724</v>
      </c>
      <c r="R2382" t="s">
        <v>6067</v>
      </c>
      <c r="S2382" t="s">
        <v>6073</v>
      </c>
    </row>
    <row r="2383" spans="1:19" ht="14.25" customHeight="1" x14ac:dyDescent="0.3">
      <c r="A2383" t="s">
        <v>4995</v>
      </c>
      <c r="B2383" t="s">
        <v>1404</v>
      </c>
      <c r="C2383" t="s">
        <v>3538</v>
      </c>
      <c r="D2383" t="s">
        <v>5241</v>
      </c>
      <c r="E2383" t="s">
        <v>5242</v>
      </c>
      <c r="F2383" t="s">
        <v>6059</v>
      </c>
      <c r="G2383" s="2" t="str">
        <f>HYPERLINK("https://www.facebook.com/100000480086400/posts/2356981097661203?comment_id=2360033697355943")</f>
        <v>https://www.facebook.com/100000480086400/posts/2356981097661203?comment_id=2360033697355943</v>
      </c>
      <c r="H2383" t="s">
        <v>6061</v>
      </c>
      <c r="I2383" t="s">
        <v>5243</v>
      </c>
      <c r="J2383" s="2" t="str">
        <f>HYPERLINK("https://www.facebook.com/100002140471837")</f>
        <v>https://www.facebook.com/100002140471837</v>
      </c>
      <c r="K2383">
        <v>217</v>
      </c>
      <c r="L2383" t="s">
        <v>6063</v>
      </c>
      <c r="N2383" t="s">
        <v>13</v>
      </c>
      <c r="O2383" t="s">
        <v>5244</v>
      </c>
      <c r="P2383" s="2" t="str">
        <f>HYPERLINK("https://www.facebook.com/100000480086400")</f>
        <v>https://www.facebook.com/100000480086400</v>
      </c>
      <c r="Q2383">
        <v>6778</v>
      </c>
      <c r="R2383" t="s">
        <v>6067</v>
      </c>
      <c r="S2383" t="s">
        <v>6073</v>
      </c>
    </row>
    <row r="2384" spans="1:19" ht="14.25" customHeight="1" x14ac:dyDescent="0.3">
      <c r="A2384" t="s">
        <v>5409</v>
      </c>
      <c r="B2384" t="s">
        <v>1181</v>
      </c>
      <c r="C2384" t="s">
        <v>3538</v>
      </c>
      <c r="D2384" t="s">
        <v>5675</v>
      </c>
      <c r="E2384" t="s">
        <v>5676</v>
      </c>
      <c r="F2384" t="s">
        <v>6056</v>
      </c>
      <c r="G2384" s="2" t="str">
        <f>HYPERLINK("https://www.facebook.com/100001468065536/posts/1790779350980983")</f>
        <v>https://www.facebook.com/100001468065536/posts/1790779350980983</v>
      </c>
      <c r="H2384" t="s">
        <v>6061</v>
      </c>
      <c r="I2384" t="s">
        <v>5677</v>
      </c>
      <c r="J2384" s="2" t="str">
        <f>HYPERLINK("https://www.facebook.com/100001468065536")</f>
        <v>https://www.facebook.com/100001468065536</v>
      </c>
      <c r="K2384">
        <v>38</v>
      </c>
      <c r="L2384" t="s">
        <v>6063</v>
      </c>
      <c r="N2384" t="s">
        <v>13</v>
      </c>
      <c r="O2384" t="s">
        <v>5677</v>
      </c>
      <c r="P2384" s="2" t="str">
        <f>HYPERLINK("https://www.facebook.com/100001468065536")</f>
        <v>https://www.facebook.com/100001468065536</v>
      </c>
      <c r="Q2384">
        <v>38</v>
      </c>
      <c r="R2384" t="s">
        <v>6067</v>
      </c>
    </row>
    <row r="2385" spans="1:19" ht="14.25" customHeight="1" x14ac:dyDescent="0.3">
      <c r="A2385" t="s">
        <v>5409</v>
      </c>
      <c r="B2385" t="s">
        <v>3081</v>
      </c>
      <c r="C2385" t="s">
        <v>3538</v>
      </c>
      <c r="D2385" t="s">
        <v>5117</v>
      </c>
      <c r="E2385" t="s">
        <v>5617</v>
      </c>
      <c r="F2385" t="s">
        <v>6059</v>
      </c>
      <c r="G2385" s="2" t="str">
        <f>HYPERLINK("https://www.facebook.com/100008916314935/posts/1781863062120887?comment_id=1781864385454088")</f>
        <v>https://www.facebook.com/100008916314935/posts/1781863062120887?comment_id=1781864385454088</v>
      </c>
      <c r="H2385" t="s">
        <v>6061</v>
      </c>
      <c r="I2385" t="s">
        <v>5618</v>
      </c>
      <c r="J2385" s="2" t="str">
        <f>HYPERLINK("https://www.facebook.com/100004243745696")</f>
        <v>https://www.facebook.com/100004243745696</v>
      </c>
      <c r="K2385">
        <v>0</v>
      </c>
      <c r="L2385" t="s">
        <v>6063</v>
      </c>
      <c r="N2385" t="s">
        <v>13</v>
      </c>
      <c r="O2385" t="s">
        <v>5120</v>
      </c>
      <c r="P2385" s="2" t="str">
        <f>HYPERLINK("https://www.facebook.com/100008916314935")</f>
        <v>https://www.facebook.com/100008916314935</v>
      </c>
      <c r="Q2385">
        <v>82</v>
      </c>
      <c r="R2385" t="s">
        <v>6067</v>
      </c>
      <c r="S2385" t="s">
        <v>6073</v>
      </c>
    </row>
    <row r="2386" spans="1:19" ht="14.25" customHeight="1" x14ac:dyDescent="0.3">
      <c r="A2386" t="s">
        <v>2225</v>
      </c>
      <c r="B2386" t="s">
        <v>1003</v>
      </c>
      <c r="C2386" t="s">
        <v>95</v>
      </c>
      <c r="D2386" t="s">
        <v>464</v>
      </c>
      <c r="E2386" t="s">
        <v>3090</v>
      </c>
      <c r="F2386" t="s">
        <v>6059</v>
      </c>
      <c r="G2386" s="2" t="str">
        <f>HYPERLINK("https://www.facebook.com/1362386453/posts/10216460219362335?comment_id=10216460506689518")</f>
        <v>https://www.facebook.com/1362386453/posts/10216460219362335?comment_id=10216460506689518</v>
      </c>
      <c r="H2386" t="s">
        <v>6061</v>
      </c>
      <c r="I2386" t="s">
        <v>467</v>
      </c>
      <c r="J2386" s="2" t="str">
        <f>HYPERLINK("https://www.facebook.com/1362386453")</f>
        <v>https://www.facebook.com/1362386453</v>
      </c>
      <c r="K2386">
        <v>3896</v>
      </c>
      <c r="L2386" t="s">
        <v>6063</v>
      </c>
      <c r="N2386" t="s">
        <v>13</v>
      </c>
      <c r="O2386" t="s">
        <v>467</v>
      </c>
      <c r="P2386" s="2" t="str">
        <f>HYPERLINK("https://www.facebook.com/1362386453")</f>
        <v>https://www.facebook.com/1362386453</v>
      </c>
      <c r="Q2386">
        <v>3896</v>
      </c>
      <c r="R2386" t="s">
        <v>6067</v>
      </c>
      <c r="S2386" t="s">
        <v>6073</v>
      </c>
    </row>
    <row r="2387" spans="1:19" ht="14.25" customHeight="1" x14ac:dyDescent="0.3">
      <c r="A2387" t="s">
        <v>2225</v>
      </c>
      <c r="B2387" t="s">
        <v>1418</v>
      </c>
      <c r="C2387" t="s">
        <v>95</v>
      </c>
      <c r="D2387" t="s">
        <v>1099</v>
      </c>
      <c r="E2387" t="s">
        <v>3322</v>
      </c>
      <c r="F2387" t="s">
        <v>6059</v>
      </c>
      <c r="G2387" s="2" t="str">
        <f>HYPERLINK("https://www.facebook.com/100002489064006/posts/1666923993400553?comment_id=1667588140000805")</f>
        <v>https://www.facebook.com/100002489064006/posts/1666923993400553?comment_id=1667588140000805</v>
      </c>
      <c r="H2387" t="s">
        <v>6061</v>
      </c>
      <c r="I2387" t="s">
        <v>3323</v>
      </c>
      <c r="J2387" s="2" t="str">
        <f>HYPERLINK("https://www.facebook.com/100001414239762")</f>
        <v>https://www.facebook.com/100001414239762</v>
      </c>
      <c r="K2387">
        <v>9660</v>
      </c>
      <c r="L2387" t="s">
        <v>6064</v>
      </c>
      <c r="N2387" t="s">
        <v>13</v>
      </c>
      <c r="O2387" t="s">
        <v>1101</v>
      </c>
      <c r="P2387" s="2" t="str">
        <f>HYPERLINK("https://www.facebook.com/100002489064006")</f>
        <v>https://www.facebook.com/100002489064006</v>
      </c>
      <c r="Q2387">
        <v>2089</v>
      </c>
      <c r="R2387" t="s">
        <v>6067</v>
      </c>
      <c r="S2387" t="s">
        <v>6073</v>
      </c>
    </row>
    <row r="2388" spans="1:19" ht="14.25" customHeight="1" x14ac:dyDescent="0.3">
      <c r="A2388" t="s">
        <v>629</v>
      </c>
      <c r="B2388" t="s">
        <v>2221</v>
      </c>
      <c r="C2388" t="s">
        <v>95</v>
      </c>
      <c r="D2388" t="s">
        <v>2222</v>
      </c>
      <c r="E2388" t="s">
        <v>2223</v>
      </c>
      <c r="F2388" t="s">
        <v>6057</v>
      </c>
      <c r="G2388" s="2" t="str">
        <f>HYPERLINK("https://www.facebook.com/100003489573102/posts/1506718959454409")</f>
        <v>https://www.facebook.com/100003489573102/posts/1506718959454409</v>
      </c>
      <c r="H2388" t="s">
        <v>6061</v>
      </c>
      <c r="I2388" t="s">
        <v>2224</v>
      </c>
      <c r="J2388" s="2" t="str">
        <f>HYPERLINK("https://www.facebook.com/100003489573102")</f>
        <v>https://www.facebook.com/100003489573102</v>
      </c>
      <c r="K2388">
        <v>1685</v>
      </c>
      <c r="L2388" t="s">
        <v>6064</v>
      </c>
      <c r="N2388" t="s">
        <v>13</v>
      </c>
      <c r="O2388" t="s">
        <v>2224</v>
      </c>
      <c r="P2388" s="2" t="str">
        <f>HYPERLINK("https://www.facebook.com/100003489573102")</f>
        <v>https://www.facebook.com/100003489573102</v>
      </c>
      <c r="Q2388">
        <v>1685</v>
      </c>
      <c r="R2388" t="s">
        <v>6067</v>
      </c>
      <c r="S2388" t="s">
        <v>6073</v>
      </c>
    </row>
    <row r="2389" spans="1:19" ht="14.25" customHeight="1" x14ac:dyDescent="0.3">
      <c r="A2389" t="s">
        <v>629</v>
      </c>
      <c r="B2389" t="s">
        <v>2119</v>
      </c>
      <c r="C2389" t="s">
        <v>95</v>
      </c>
      <c r="D2389" t="s">
        <v>853</v>
      </c>
      <c r="E2389" t="s">
        <v>2120</v>
      </c>
      <c r="F2389" t="s">
        <v>6059</v>
      </c>
      <c r="G2389" s="2" t="str">
        <f>HYPERLINK("https://www.facebook.com/100008934274771/posts/1810262525948206?comment_id=1810347399273052")</f>
        <v>https://www.facebook.com/100008934274771/posts/1810262525948206?comment_id=1810347399273052</v>
      </c>
      <c r="H2389" t="s">
        <v>6061</v>
      </c>
      <c r="I2389" t="s">
        <v>2121</v>
      </c>
      <c r="J2389" s="2" t="str">
        <f>HYPERLINK("https://www.facebook.com/100023324689775")</f>
        <v>https://www.facebook.com/100023324689775</v>
      </c>
      <c r="K2389">
        <v>0</v>
      </c>
      <c r="L2389" t="s">
        <v>6063</v>
      </c>
      <c r="N2389" t="s">
        <v>13</v>
      </c>
      <c r="O2389" t="s">
        <v>856</v>
      </c>
      <c r="P2389" s="2" t="str">
        <f>HYPERLINK("https://www.facebook.com/100008934274771")</f>
        <v>https://www.facebook.com/100008934274771</v>
      </c>
      <c r="Q2389">
        <v>10395</v>
      </c>
      <c r="R2389" t="s">
        <v>6067</v>
      </c>
      <c r="S2389" t="s">
        <v>6103</v>
      </c>
    </row>
    <row r="2390" spans="1:19" ht="14.25" customHeight="1" x14ac:dyDescent="0.3">
      <c r="A2390" t="s">
        <v>4995</v>
      </c>
      <c r="B2390" t="s">
        <v>4034</v>
      </c>
      <c r="C2390" t="s">
        <v>3538</v>
      </c>
      <c r="D2390" t="s">
        <v>5152</v>
      </c>
      <c r="E2390" t="s">
        <v>5153</v>
      </c>
      <c r="F2390" t="s">
        <v>6058</v>
      </c>
      <c r="G2390" s="2" t="str">
        <f>HYPERLINK("https://www.facebook.com/100006641942467/posts/2126468057584572")</f>
        <v>https://www.facebook.com/100006641942467/posts/2126468057584572</v>
      </c>
      <c r="H2390" t="s">
        <v>6061</v>
      </c>
      <c r="I2390" t="s">
        <v>2895</v>
      </c>
      <c r="J2390" s="2" t="str">
        <f>HYPERLINK("https://www.facebook.com/100006641942467")</f>
        <v>https://www.facebook.com/100006641942467</v>
      </c>
      <c r="K2390">
        <v>421</v>
      </c>
      <c r="L2390" t="s">
        <v>6064</v>
      </c>
      <c r="N2390" t="s">
        <v>13</v>
      </c>
      <c r="O2390" t="s">
        <v>2895</v>
      </c>
      <c r="P2390" s="2" t="str">
        <f>HYPERLINK("https://www.facebook.com/100006641942467")</f>
        <v>https://www.facebook.com/100006641942467</v>
      </c>
      <c r="Q2390">
        <v>421</v>
      </c>
      <c r="R2390" t="s">
        <v>6067</v>
      </c>
      <c r="S2390" t="s">
        <v>6073</v>
      </c>
    </row>
    <row r="2391" spans="1:19" ht="14.25" customHeight="1" x14ac:dyDescent="0.3">
      <c r="A2391" t="s">
        <v>4995</v>
      </c>
      <c r="B2391" t="s">
        <v>3149</v>
      </c>
      <c r="C2391" t="s">
        <v>3538</v>
      </c>
      <c r="D2391" t="s">
        <v>5175</v>
      </c>
      <c r="E2391" t="s">
        <v>5176</v>
      </c>
      <c r="F2391" t="s">
        <v>6058</v>
      </c>
      <c r="G2391" s="2" t="str">
        <f>HYPERLINK("https://www.facebook.com/100006641942467/posts/2126442697587108")</f>
        <v>https://www.facebook.com/100006641942467/posts/2126442697587108</v>
      </c>
      <c r="H2391" t="s">
        <v>6061</v>
      </c>
      <c r="I2391" t="s">
        <v>2895</v>
      </c>
      <c r="J2391" s="2" t="str">
        <f>HYPERLINK("https://www.facebook.com/100006641942467")</f>
        <v>https://www.facebook.com/100006641942467</v>
      </c>
      <c r="K2391">
        <v>421</v>
      </c>
      <c r="L2391" t="s">
        <v>6064</v>
      </c>
      <c r="N2391" t="s">
        <v>13</v>
      </c>
      <c r="O2391" t="s">
        <v>2895</v>
      </c>
      <c r="P2391" s="2" t="str">
        <f>HYPERLINK("https://www.facebook.com/100006641942467")</f>
        <v>https://www.facebook.com/100006641942467</v>
      </c>
      <c r="Q2391">
        <v>421</v>
      </c>
      <c r="R2391" t="s">
        <v>6067</v>
      </c>
      <c r="S2391" t="s">
        <v>6073</v>
      </c>
    </row>
    <row r="2392" spans="1:19" ht="14.25" customHeight="1" x14ac:dyDescent="0.3">
      <c r="A2392" t="s">
        <v>5409</v>
      </c>
      <c r="B2392" t="s">
        <v>3816</v>
      </c>
      <c r="C2392" t="s">
        <v>3538</v>
      </c>
      <c r="D2392" t="s">
        <v>4468</v>
      </c>
      <c r="E2392" t="s">
        <v>5532</v>
      </c>
      <c r="F2392" t="s">
        <v>6059</v>
      </c>
      <c r="G2392" s="2" t="str">
        <f>HYPERLINK("https://www.facebook.com/100001269247572/posts/1766589733393318?comment_id=1766753600043598")</f>
        <v>https://www.facebook.com/100001269247572/posts/1766589733393318?comment_id=1766753600043598</v>
      </c>
      <c r="H2392" t="s">
        <v>6061</v>
      </c>
      <c r="I2392" t="s">
        <v>5528</v>
      </c>
      <c r="J2392" s="2" t="str">
        <f>HYPERLINK("https://www.facebook.com/100000987676428")</f>
        <v>https://www.facebook.com/100000987676428</v>
      </c>
      <c r="K2392">
        <v>0</v>
      </c>
      <c r="L2392" t="s">
        <v>6064</v>
      </c>
      <c r="N2392" t="s">
        <v>13</v>
      </c>
      <c r="O2392" t="s">
        <v>5419</v>
      </c>
      <c r="P2392" s="2" t="str">
        <f>HYPERLINK("https://www.facebook.com/100001269247572")</f>
        <v>https://www.facebook.com/100001269247572</v>
      </c>
      <c r="Q2392">
        <v>191</v>
      </c>
      <c r="R2392" t="s">
        <v>6067</v>
      </c>
      <c r="S2392" t="s">
        <v>6073</v>
      </c>
    </row>
    <row r="2393" spans="1:19" ht="14.25" customHeight="1" x14ac:dyDescent="0.3">
      <c r="A2393" t="s">
        <v>5409</v>
      </c>
      <c r="B2393" t="s">
        <v>3826</v>
      </c>
      <c r="C2393" t="s">
        <v>3538</v>
      </c>
      <c r="D2393" t="s">
        <v>4468</v>
      </c>
      <c r="E2393" t="s">
        <v>5539</v>
      </c>
      <c r="F2393" t="s">
        <v>6059</v>
      </c>
      <c r="G2393" s="2" t="str">
        <f>HYPERLINK("https://www.facebook.com/100001269247572/posts/1766589733393318?comment_id=1766746966710928")</f>
        <v>https://www.facebook.com/100001269247572/posts/1766589733393318?comment_id=1766746966710928</v>
      </c>
      <c r="H2393" t="s">
        <v>6061</v>
      </c>
      <c r="I2393" t="s">
        <v>5528</v>
      </c>
      <c r="J2393" s="2" t="str">
        <f>HYPERLINK("https://www.facebook.com/100000987676428")</f>
        <v>https://www.facebook.com/100000987676428</v>
      </c>
      <c r="K2393">
        <v>0</v>
      </c>
      <c r="L2393" t="s">
        <v>6064</v>
      </c>
      <c r="N2393" t="s">
        <v>13</v>
      </c>
      <c r="O2393" t="s">
        <v>5419</v>
      </c>
      <c r="P2393" s="2" t="str">
        <f>HYPERLINK("https://www.facebook.com/100001269247572")</f>
        <v>https://www.facebook.com/100001269247572</v>
      </c>
      <c r="Q2393">
        <v>191</v>
      </c>
      <c r="R2393" t="s">
        <v>6067</v>
      </c>
      <c r="S2393" t="s">
        <v>6073</v>
      </c>
    </row>
    <row r="2394" spans="1:19" ht="14.25" customHeight="1" x14ac:dyDescent="0.3">
      <c r="A2394" t="s">
        <v>5409</v>
      </c>
      <c r="B2394" t="s">
        <v>1380</v>
      </c>
      <c r="C2394" t="s">
        <v>3538</v>
      </c>
      <c r="D2394" t="s">
        <v>5749</v>
      </c>
      <c r="E2394" t="s">
        <v>5750</v>
      </c>
      <c r="F2394" t="s">
        <v>6056</v>
      </c>
      <c r="G2394" s="2" t="str">
        <f>HYPERLINK("https://www.facebook.com/100005606925885/posts/740723182791239")</f>
        <v>https://www.facebook.com/100005606925885/posts/740723182791239</v>
      </c>
      <c r="H2394" t="s">
        <v>6061</v>
      </c>
      <c r="I2394" t="s">
        <v>2641</v>
      </c>
      <c r="J2394" s="2" t="str">
        <f>HYPERLINK("https://www.facebook.com/100005606925885")</f>
        <v>https://www.facebook.com/100005606925885</v>
      </c>
      <c r="K2394">
        <v>268</v>
      </c>
      <c r="L2394" t="s">
        <v>6063</v>
      </c>
      <c r="N2394" t="s">
        <v>13</v>
      </c>
      <c r="O2394" t="s">
        <v>2641</v>
      </c>
      <c r="P2394" s="2" t="str">
        <f>HYPERLINK("https://www.facebook.com/100005606925885")</f>
        <v>https://www.facebook.com/100005606925885</v>
      </c>
      <c r="Q2394">
        <v>268</v>
      </c>
      <c r="R2394" t="s">
        <v>6067</v>
      </c>
      <c r="S2394" t="s">
        <v>6073</v>
      </c>
    </row>
    <row r="2395" spans="1:19" ht="14.25" customHeight="1" x14ac:dyDescent="0.3">
      <c r="A2395" t="s">
        <v>4995</v>
      </c>
      <c r="B2395" t="s">
        <v>1907</v>
      </c>
      <c r="C2395" t="s">
        <v>3538</v>
      </c>
      <c r="D2395" t="s">
        <v>5078</v>
      </c>
      <c r="E2395" t="s">
        <v>5335</v>
      </c>
      <c r="F2395" t="s">
        <v>6059</v>
      </c>
      <c r="G2395" s="2" t="str">
        <f>HYPERLINK("https://www.facebook.com/100001929668660/posts/1891490270925277?comment_id=1891923640881940")</f>
        <v>https://www.facebook.com/100001929668660/posts/1891490270925277?comment_id=1891923640881940</v>
      </c>
      <c r="H2395" t="s">
        <v>6061</v>
      </c>
      <c r="I2395" t="s">
        <v>5336</v>
      </c>
      <c r="J2395" s="2" t="str">
        <f>HYPERLINK("https://www.facebook.com/100001846592383")</f>
        <v>https://www.facebook.com/100001846592383</v>
      </c>
      <c r="K2395">
        <v>308</v>
      </c>
      <c r="L2395" t="s">
        <v>6064</v>
      </c>
      <c r="N2395" t="s">
        <v>13</v>
      </c>
      <c r="O2395" t="s">
        <v>5081</v>
      </c>
      <c r="P2395" s="2" t="str">
        <f>HYPERLINK("https://www.facebook.com/100001929668660")</f>
        <v>https://www.facebook.com/100001929668660</v>
      </c>
      <c r="Q2395">
        <v>2652</v>
      </c>
      <c r="R2395" t="s">
        <v>6067</v>
      </c>
      <c r="S2395" t="s">
        <v>6073</v>
      </c>
    </row>
    <row r="2396" spans="1:19" ht="14.25" customHeight="1" x14ac:dyDescent="0.3">
      <c r="A2396" t="s">
        <v>5409</v>
      </c>
      <c r="B2396" t="s">
        <v>1010</v>
      </c>
      <c r="C2396" t="s">
        <v>3538</v>
      </c>
      <c r="D2396" t="s">
        <v>5632</v>
      </c>
      <c r="E2396" t="s">
        <v>5633</v>
      </c>
      <c r="F2396" t="s">
        <v>6056</v>
      </c>
      <c r="G2396" s="2" t="str">
        <f>HYPERLINK("https://www.facebook.com/100014283198798/posts/354017995084304")</f>
        <v>https://www.facebook.com/100014283198798/posts/354017995084304</v>
      </c>
      <c r="H2396" t="s">
        <v>6061</v>
      </c>
      <c r="I2396" t="s">
        <v>2927</v>
      </c>
      <c r="J2396" s="2" t="str">
        <f>HYPERLINK("https://www.facebook.com/100014283198798")</f>
        <v>https://www.facebook.com/100014283198798</v>
      </c>
      <c r="K2396">
        <v>5668</v>
      </c>
      <c r="L2396" t="s">
        <v>6063</v>
      </c>
      <c r="N2396" t="s">
        <v>13</v>
      </c>
      <c r="O2396" t="s">
        <v>2927</v>
      </c>
      <c r="P2396" s="2" t="str">
        <f>HYPERLINK("https://www.facebook.com/100014283198798")</f>
        <v>https://www.facebook.com/100014283198798</v>
      </c>
      <c r="Q2396">
        <v>5668</v>
      </c>
      <c r="R2396" t="s">
        <v>6067</v>
      </c>
      <c r="S2396" t="s">
        <v>6073</v>
      </c>
    </row>
    <row r="2397" spans="1:19" ht="14.25" customHeight="1" x14ac:dyDescent="0.3">
      <c r="A2397" t="s">
        <v>4995</v>
      </c>
      <c r="B2397" t="s">
        <v>1823</v>
      </c>
      <c r="C2397" t="s">
        <v>3538</v>
      </c>
      <c r="D2397" t="s">
        <v>5175</v>
      </c>
      <c r="E2397" t="s">
        <v>5176</v>
      </c>
      <c r="F2397" t="s">
        <v>6056</v>
      </c>
      <c r="G2397" s="2" t="str">
        <f>HYPERLINK("https://www.facebook.com/100014283198798/posts/354296911723079")</f>
        <v>https://www.facebook.com/100014283198798/posts/354296911723079</v>
      </c>
      <c r="H2397" t="s">
        <v>6061</v>
      </c>
      <c r="I2397" t="s">
        <v>2927</v>
      </c>
      <c r="J2397" s="2" t="str">
        <f>HYPERLINK("https://www.facebook.com/100014283198798")</f>
        <v>https://www.facebook.com/100014283198798</v>
      </c>
      <c r="K2397">
        <v>5668</v>
      </c>
      <c r="L2397" t="s">
        <v>6063</v>
      </c>
      <c r="N2397" t="s">
        <v>13</v>
      </c>
      <c r="O2397" t="s">
        <v>2927</v>
      </c>
      <c r="P2397" s="2" t="str">
        <f>HYPERLINK("https://www.facebook.com/100014283198798")</f>
        <v>https://www.facebook.com/100014283198798</v>
      </c>
      <c r="Q2397">
        <v>5668</v>
      </c>
      <c r="R2397" t="s">
        <v>6067</v>
      </c>
      <c r="S2397" t="s">
        <v>6073</v>
      </c>
    </row>
    <row r="2398" spans="1:19" ht="14.25" customHeight="1" x14ac:dyDescent="0.3">
      <c r="A2398" t="s">
        <v>1</v>
      </c>
      <c r="B2398" t="s">
        <v>290</v>
      </c>
      <c r="C2398" t="s">
        <v>95</v>
      </c>
      <c r="D2398" t="s">
        <v>291</v>
      </c>
      <c r="E2398" t="s">
        <v>292</v>
      </c>
      <c r="F2398" t="s">
        <v>6058</v>
      </c>
      <c r="G2398" s="2" t="str">
        <f>HYPERLINK("https://www.facebook.com/1519868411651994/posts/1802497123389120")</f>
        <v>https://www.facebook.com/1519868411651994/posts/1802497123389120</v>
      </c>
      <c r="H2398" t="s">
        <v>6061</v>
      </c>
      <c r="N2398" t="s">
        <v>13</v>
      </c>
      <c r="O2398" t="s">
        <v>293</v>
      </c>
      <c r="P2398" s="2" t="str">
        <f>HYPERLINK("https://www.facebook.com/1519868411651994")</f>
        <v>https://www.facebook.com/1519868411651994</v>
      </c>
      <c r="R2398" t="s">
        <v>6067</v>
      </c>
    </row>
    <row r="2399" spans="1:19" ht="14.25" customHeight="1" x14ac:dyDescent="0.3">
      <c r="A2399" t="s">
        <v>1</v>
      </c>
      <c r="B2399" t="s">
        <v>294</v>
      </c>
      <c r="C2399" t="s">
        <v>95</v>
      </c>
      <c r="D2399" t="s">
        <v>291</v>
      </c>
      <c r="E2399" t="s">
        <v>292</v>
      </c>
      <c r="F2399" t="s">
        <v>6058</v>
      </c>
      <c r="G2399" s="2" t="str">
        <f>HYPERLINK("https://www.facebook.com/1079489068780366/posts/1861846660544599")</f>
        <v>https://www.facebook.com/1079489068780366/posts/1861846660544599</v>
      </c>
      <c r="H2399" t="s">
        <v>6061</v>
      </c>
      <c r="N2399" t="s">
        <v>13</v>
      </c>
      <c r="O2399" t="s">
        <v>295</v>
      </c>
      <c r="P2399" s="2" t="str">
        <f>HYPERLINK("https://www.facebook.com/1079489068780366")</f>
        <v>https://www.facebook.com/1079489068780366</v>
      </c>
      <c r="R2399" t="s">
        <v>6067</v>
      </c>
    </row>
    <row r="2400" spans="1:19" ht="14.25" customHeight="1" x14ac:dyDescent="0.3">
      <c r="A2400" t="s">
        <v>4439</v>
      </c>
      <c r="B2400" t="s">
        <v>94</v>
      </c>
      <c r="C2400" t="s">
        <v>3538</v>
      </c>
      <c r="D2400" t="s">
        <v>408</v>
      </c>
      <c r="E2400" t="s">
        <v>4679</v>
      </c>
      <c r="F2400" t="s">
        <v>6056</v>
      </c>
      <c r="G2400" s="2" t="str">
        <f>HYPERLINK("https://forum.0day.kiev.ua/index.php?showtopic=536842&amp;st=480#entry6218067")</f>
        <v>https://forum.0day.kiev.ua/index.php?showtopic=536842&amp;st=480#entry6218067</v>
      </c>
      <c r="H2400" t="s">
        <v>6060</v>
      </c>
      <c r="I2400" t="s">
        <v>3714</v>
      </c>
      <c r="J2400" s="2" t="str">
        <f>HYPERLINK("https://forum.0day.kiev.ua/index.php?showuser=40213")</f>
        <v>https://forum.0day.kiev.ua/index.php?showuser=40213</v>
      </c>
      <c r="N2400" t="s">
        <v>3698</v>
      </c>
      <c r="O2400" t="s">
        <v>3699</v>
      </c>
      <c r="P2400" s="2" t="str">
        <f t="shared" ref="P2400:P2428" si="67">HYPERLINK("https://forum.0day.kiev.ua/index.php?showforum=31")</f>
        <v>https://forum.0day.kiev.ua/index.php?showforum=31</v>
      </c>
      <c r="R2400" t="s">
        <v>6066</v>
      </c>
      <c r="S2400" t="s">
        <v>6073</v>
      </c>
    </row>
    <row r="2401" spans="1:19" ht="14.25" customHeight="1" x14ac:dyDescent="0.3">
      <c r="A2401" t="s">
        <v>4995</v>
      </c>
      <c r="B2401" t="s">
        <v>5268</v>
      </c>
      <c r="C2401" t="s">
        <v>3538</v>
      </c>
      <c r="D2401" t="s">
        <v>408</v>
      </c>
      <c r="E2401" t="s">
        <v>5269</v>
      </c>
      <c r="F2401" t="s">
        <v>6056</v>
      </c>
      <c r="G2401" s="2" t="str">
        <f>HYPERLINK("https://forum.0day.kiev.ua/index.php?showtopic=536842&amp;st=480&amp;mode=linear#entry6217479")</f>
        <v>https://forum.0day.kiev.ua/index.php?showtopic=536842&amp;st=480&amp;mode=linear#entry6217479</v>
      </c>
      <c r="H2401" t="s">
        <v>6062</v>
      </c>
      <c r="I2401" t="s">
        <v>5270</v>
      </c>
      <c r="J2401" s="2" t="str">
        <f>HYPERLINK("https://forum.0day.kiev.ua/index.php?showuser=45356")</f>
        <v>https://forum.0day.kiev.ua/index.php?showuser=45356</v>
      </c>
      <c r="N2401" t="s">
        <v>3698</v>
      </c>
      <c r="O2401" t="s">
        <v>3699</v>
      </c>
      <c r="P2401" s="2" t="str">
        <f t="shared" si="67"/>
        <v>https://forum.0day.kiev.ua/index.php?showforum=31</v>
      </c>
      <c r="R2401" t="s">
        <v>6066</v>
      </c>
      <c r="S2401" t="s">
        <v>6073</v>
      </c>
    </row>
    <row r="2402" spans="1:19" ht="14.25" customHeight="1" x14ac:dyDescent="0.3">
      <c r="A2402" t="s">
        <v>4439</v>
      </c>
      <c r="B2402" t="s">
        <v>26</v>
      </c>
      <c r="C2402" t="s">
        <v>3538</v>
      </c>
      <c r="D2402" t="s">
        <v>408</v>
      </c>
      <c r="E2402" t="s">
        <v>4651</v>
      </c>
      <c r="F2402" t="s">
        <v>6056</v>
      </c>
      <c r="G2402" s="2" t="str">
        <f>HYPERLINK("https://forum.0day.kiev.ua/index.php?showtopic=536842&amp;st=500&amp;mode=linear#entry6218106")</f>
        <v>https://forum.0day.kiev.ua/index.php?showtopic=536842&amp;st=500&amp;mode=linear#entry6218106</v>
      </c>
      <c r="H2402" t="s">
        <v>6062</v>
      </c>
      <c r="I2402" t="s">
        <v>3697</v>
      </c>
      <c r="J2402" s="2" t="str">
        <f>HYPERLINK("https://forum.0day.kiev.ua/index.php?showuser=57761")</f>
        <v>https://forum.0day.kiev.ua/index.php?showuser=57761</v>
      </c>
      <c r="N2402" t="s">
        <v>3698</v>
      </c>
      <c r="O2402" t="s">
        <v>3699</v>
      </c>
      <c r="P2402" s="2" t="str">
        <f t="shared" si="67"/>
        <v>https://forum.0day.kiev.ua/index.php?showforum=31</v>
      </c>
      <c r="R2402" t="s">
        <v>6066</v>
      </c>
      <c r="S2402" t="s">
        <v>6073</v>
      </c>
    </row>
    <row r="2403" spans="1:19" ht="14.25" customHeight="1" x14ac:dyDescent="0.3">
      <c r="A2403" t="s">
        <v>4439</v>
      </c>
      <c r="B2403" t="s">
        <v>1005</v>
      </c>
      <c r="C2403" t="s">
        <v>3538</v>
      </c>
      <c r="D2403" t="s">
        <v>408</v>
      </c>
      <c r="E2403" t="s">
        <v>4605</v>
      </c>
      <c r="F2403" t="s">
        <v>6056</v>
      </c>
      <c r="G2403" s="2" t="str">
        <f>HYPERLINK("https://forum.0day.kiev.ua/index.php?showtopic=536842&amp;st=500&amp;mode=linear#entry6218179")</f>
        <v>https://forum.0day.kiev.ua/index.php?showtopic=536842&amp;st=500&amp;mode=linear#entry6218179</v>
      </c>
      <c r="H2403" t="s">
        <v>6062</v>
      </c>
      <c r="I2403" t="s">
        <v>3697</v>
      </c>
      <c r="J2403" s="2" t="str">
        <f>HYPERLINK("https://forum.0day.kiev.ua/index.php?showuser=57761")</f>
        <v>https://forum.0day.kiev.ua/index.php?showuser=57761</v>
      </c>
      <c r="N2403" t="s">
        <v>3698</v>
      </c>
      <c r="O2403" t="s">
        <v>3699</v>
      </c>
      <c r="P2403" s="2" t="str">
        <f t="shared" si="67"/>
        <v>https://forum.0day.kiev.ua/index.php?showforum=31</v>
      </c>
      <c r="R2403" t="s">
        <v>6066</v>
      </c>
      <c r="S2403" t="s">
        <v>6073</v>
      </c>
    </row>
    <row r="2404" spans="1:19" ht="14.25" customHeight="1" x14ac:dyDescent="0.3">
      <c r="A2404" t="s">
        <v>4995</v>
      </c>
      <c r="B2404" t="s">
        <v>252</v>
      </c>
      <c r="C2404" t="s">
        <v>3538</v>
      </c>
      <c r="D2404" t="s">
        <v>408</v>
      </c>
      <c r="E2404" t="s">
        <v>5261</v>
      </c>
      <c r="F2404" t="s">
        <v>6056</v>
      </c>
      <c r="G2404" s="2" t="str">
        <f>HYPERLINK("https://forum.0day.kiev.ua/index.php?showtopic=536842&amp;st=480&amp;mode=linear#entry6217485")</f>
        <v>https://forum.0day.kiev.ua/index.php?showtopic=536842&amp;st=480&amp;mode=linear#entry6217485</v>
      </c>
      <c r="H2404" t="s">
        <v>6062</v>
      </c>
      <c r="I2404" t="s">
        <v>3697</v>
      </c>
      <c r="J2404" s="2" t="str">
        <f>HYPERLINK("https://forum.0day.kiev.ua/index.php?showuser=57761")</f>
        <v>https://forum.0day.kiev.ua/index.php?showuser=57761</v>
      </c>
      <c r="N2404" t="s">
        <v>3698</v>
      </c>
      <c r="O2404" t="s">
        <v>3699</v>
      </c>
      <c r="P2404" s="2" t="str">
        <f t="shared" si="67"/>
        <v>https://forum.0day.kiev.ua/index.php?showforum=31</v>
      </c>
      <c r="R2404" t="s">
        <v>6066</v>
      </c>
      <c r="S2404" t="s">
        <v>6073</v>
      </c>
    </row>
    <row r="2405" spans="1:19" ht="14.25" customHeight="1" x14ac:dyDescent="0.3">
      <c r="A2405" t="s">
        <v>4439</v>
      </c>
      <c r="B2405" t="s">
        <v>199</v>
      </c>
      <c r="C2405" t="s">
        <v>3538</v>
      </c>
      <c r="D2405" t="s">
        <v>408</v>
      </c>
      <c r="E2405" t="s">
        <v>4724</v>
      </c>
      <c r="F2405" t="s">
        <v>6056</v>
      </c>
      <c r="G2405" s="2" t="str">
        <f>HYPERLINK("https://forum.0day.kiev.ua/index.php?showtopic=536842&amp;st=480#entry6218008")</f>
        <v>https://forum.0day.kiev.ua/index.php?showtopic=536842&amp;st=480#entry6218008</v>
      </c>
      <c r="H2405" t="s">
        <v>6062</v>
      </c>
      <c r="I2405" t="s">
        <v>3697</v>
      </c>
      <c r="J2405" s="2" t="str">
        <f>HYPERLINK("https://forum.0day.kiev.ua/index.php?showuser=57761")</f>
        <v>https://forum.0day.kiev.ua/index.php?showuser=57761</v>
      </c>
      <c r="N2405" t="s">
        <v>3698</v>
      </c>
      <c r="O2405" t="s">
        <v>3699</v>
      </c>
      <c r="P2405" s="2" t="str">
        <f t="shared" si="67"/>
        <v>https://forum.0day.kiev.ua/index.php?showforum=31</v>
      </c>
      <c r="R2405" t="s">
        <v>6066</v>
      </c>
      <c r="S2405" t="s">
        <v>6073</v>
      </c>
    </row>
    <row r="2406" spans="1:19" ht="14.25" customHeight="1" x14ac:dyDescent="0.3">
      <c r="A2406" t="s">
        <v>4439</v>
      </c>
      <c r="B2406" t="s">
        <v>189</v>
      </c>
      <c r="C2406" t="s">
        <v>3538</v>
      </c>
      <c r="D2406" t="s">
        <v>408</v>
      </c>
      <c r="E2406" t="s">
        <v>4723</v>
      </c>
      <c r="F2406" t="s">
        <v>6056</v>
      </c>
      <c r="G2406" s="2" t="str">
        <f>HYPERLINK("https://forum.0day.kiev.ua/index.php?showtopic=536842&amp;st=480#entry6218010")</f>
        <v>https://forum.0day.kiev.ua/index.php?showtopic=536842&amp;st=480#entry6218010</v>
      </c>
      <c r="H2406" t="s">
        <v>6062</v>
      </c>
      <c r="I2406" t="s">
        <v>3697</v>
      </c>
      <c r="J2406" s="2" t="str">
        <f>HYPERLINK("https://forum.0day.kiev.ua/index.php?showuser=57761")</f>
        <v>https://forum.0day.kiev.ua/index.php?showuser=57761</v>
      </c>
      <c r="N2406" t="s">
        <v>3698</v>
      </c>
      <c r="O2406" t="s">
        <v>3699</v>
      </c>
      <c r="P2406" s="2" t="str">
        <f t="shared" si="67"/>
        <v>https://forum.0day.kiev.ua/index.php?showforum=31</v>
      </c>
      <c r="R2406" t="s">
        <v>6066</v>
      </c>
      <c r="S2406" t="s">
        <v>6073</v>
      </c>
    </row>
    <row r="2407" spans="1:19" ht="14.25" customHeight="1" x14ac:dyDescent="0.3">
      <c r="A2407" t="s">
        <v>4439</v>
      </c>
      <c r="B2407" t="s">
        <v>3914</v>
      </c>
      <c r="C2407" t="s">
        <v>3538</v>
      </c>
      <c r="D2407" t="s">
        <v>408</v>
      </c>
      <c r="E2407" t="s">
        <v>4574</v>
      </c>
      <c r="F2407" t="s">
        <v>6056</v>
      </c>
      <c r="G2407" s="2" t="str">
        <f>HYPERLINK("https://forum.0day.kiev.ua/index.php?showtopic=536842&amp;st=500&amp;mode=linear#entry6218217")</f>
        <v>https://forum.0day.kiev.ua/index.php?showtopic=536842&amp;st=500&amp;mode=linear#entry6218217</v>
      </c>
      <c r="H2407" t="s">
        <v>6062</v>
      </c>
      <c r="I2407" t="s">
        <v>4575</v>
      </c>
      <c r="J2407" s="2" t="str">
        <f>HYPERLINK("https://forum.0day.kiev.ua/index.php?showuser=3162")</f>
        <v>https://forum.0day.kiev.ua/index.php?showuser=3162</v>
      </c>
      <c r="N2407" t="s">
        <v>3698</v>
      </c>
      <c r="O2407" t="s">
        <v>3699</v>
      </c>
      <c r="P2407" s="2" t="str">
        <f t="shared" si="67"/>
        <v>https://forum.0day.kiev.ua/index.php?showforum=31</v>
      </c>
      <c r="R2407" t="s">
        <v>6066</v>
      </c>
      <c r="S2407" t="s">
        <v>6073</v>
      </c>
    </row>
    <row r="2408" spans="1:19" ht="14.25" customHeight="1" x14ac:dyDescent="0.3">
      <c r="A2408" t="s">
        <v>4439</v>
      </c>
      <c r="B2408" t="s">
        <v>1119</v>
      </c>
      <c r="C2408" t="s">
        <v>3538</v>
      </c>
      <c r="D2408" t="s">
        <v>408</v>
      </c>
      <c r="E2408" t="s">
        <v>4631</v>
      </c>
      <c r="F2408" t="s">
        <v>6056</v>
      </c>
      <c r="G2408" s="2" t="str">
        <f>HYPERLINK("https://forum.0day.kiev.ua/index.php?showtopic=536842&amp;st=500&amp;mode=linear#entry6218141")</f>
        <v>https://forum.0day.kiev.ua/index.php?showtopic=536842&amp;st=500&amp;mode=linear#entry6218141</v>
      </c>
      <c r="H2408" t="s">
        <v>6062</v>
      </c>
      <c r="I2408" t="s">
        <v>4575</v>
      </c>
      <c r="J2408" s="2" t="str">
        <f>HYPERLINK("https://forum.0day.kiev.ua/index.php?showuser=3162")</f>
        <v>https://forum.0day.kiev.ua/index.php?showuser=3162</v>
      </c>
      <c r="N2408" t="s">
        <v>3698</v>
      </c>
      <c r="O2408" t="s">
        <v>3699</v>
      </c>
      <c r="P2408" s="2" t="str">
        <f t="shared" si="67"/>
        <v>https://forum.0day.kiev.ua/index.php?showforum=31</v>
      </c>
      <c r="R2408" t="s">
        <v>6066</v>
      </c>
      <c r="S2408" t="s">
        <v>6073</v>
      </c>
    </row>
    <row r="2409" spans="1:19" ht="14.25" customHeight="1" x14ac:dyDescent="0.3">
      <c r="A2409" t="s">
        <v>3527</v>
      </c>
      <c r="B2409" t="s">
        <v>4373</v>
      </c>
      <c r="C2409" t="s">
        <v>3538</v>
      </c>
      <c r="D2409" t="s">
        <v>408</v>
      </c>
      <c r="E2409" t="s">
        <v>4374</v>
      </c>
      <c r="F2409" t="s">
        <v>6056</v>
      </c>
      <c r="G2409" s="2" t="str">
        <f>HYPERLINK("https://forum.0day.kiev.ua/index.php?showtopic=536842&amp;st=500&amp;mode=linear#entry6218406")</f>
        <v>https://forum.0day.kiev.ua/index.php?showtopic=536842&amp;st=500&amp;mode=linear#entry6218406</v>
      </c>
      <c r="H2409" t="s">
        <v>6062</v>
      </c>
      <c r="I2409" t="s">
        <v>4375</v>
      </c>
      <c r="J2409" s="2" t="str">
        <f>HYPERLINK("https://forum.0day.kiev.ua/index.php?showuser=82480")</f>
        <v>https://forum.0day.kiev.ua/index.php?showuser=82480</v>
      </c>
      <c r="N2409" t="s">
        <v>3698</v>
      </c>
      <c r="O2409" t="s">
        <v>3699</v>
      </c>
      <c r="P2409" s="2" t="str">
        <f t="shared" si="67"/>
        <v>https://forum.0day.kiev.ua/index.php?showforum=31</v>
      </c>
      <c r="R2409" t="s">
        <v>6066</v>
      </c>
      <c r="S2409" t="s">
        <v>6073</v>
      </c>
    </row>
    <row r="2410" spans="1:19" ht="14.25" customHeight="1" x14ac:dyDescent="0.3">
      <c r="A2410" t="s">
        <v>4439</v>
      </c>
      <c r="B2410" t="s">
        <v>1286</v>
      </c>
      <c r="C2410" t="s">
        <v>3538</v>
      </c>
      <c r="D2410" t="s">
        <v>408</v>
      </c>
      <c r="E2410" t="s">
        <v>4652</v>
      </c>
      <c r="F2410" t="s">
        <v>6056</v>
      </c>
      <c r="G2410" s="2" t="str">
        <f>HYPERLINK("https://forum.0day.kiev.ua/index.php?showtopic=536842&amp;st=480#entry6218103")</f>
        <v>https://forum.0day.kiev.ua/index.php?showtopic=536842&amp;st=480#entry6218103</v>
      </c>
      <c r="H2410" t="s">
        <v>6062</v>
      </c>
      <c r="I2410" t="s">
        <v>4653</v>
      </c>
      <c r="J2410" s="2" t="str">
        <f>HYPERLINK("https://forum.0day.kiev.ua/index.php?showuser=176684")</f>
        <v>https://forum.0day.kiev.ua/index.php?showuser=176684</v>
      </c>
      <c r="N2410" t="s">
        <v>3698</v>
      </c>
      <c r="O2410" t="s">
        <v>3699</v>
      </c>
      <c r="P2410" s="2" t="str">
        <f t="shared" si="67"/>
        <v>https://forum.0day.kiev.ua/index.php?showforum=31</v>
      </c>
      <c r="R2410" t="s">
        <v>6066</v>
      </c>
      <c r="S2410" t="s">
        <v>6073</v>
      </c>
    </row>
    <row r="2411" spans="1:19" ht="14.25" customHeight="1" x14ac:dyDescent="0.3">
      <c r="A2411" t="s">
        <v>4439</v>
      </c>
      <c r="B2411" t="s">
        <v>4264</v>
      </c>
      <c r="C2411" t="s">
        <v>3538</v>
      </c>
      <c r="D2411" t="s">
        <v>408</v>
      </c>
      <c r="E2411" t="s">
        <v>4735</v>
      </c>
      <c r="F2411" t="s">
        <v>6056</v>
      </c>
      <c r="G2411" s="2" t="str">
        <f>HYPERLINK("https://forum.0day.kiev.ua/index.php?showtopic=536842&amp;st=480#entry6218002")</f>
        <v>https://forum.0day.kiev.ua/index.php?showtopic=536842&amp;st=480#entry6218002</v>
      </c>
      <c r="H2411" t="s">
        <v>6062</v>
      </c>
      <c r="I2411" t="s">
        <v>4736</v>
      </c>
      <c r="J2411" s="2" t="str">
        <f>HYPERLINK("https://forum.0day.kiev.ua/index.php?showuser=53499")</f>
        <v>https://forum.0day.kiev.ua/index.php?showuser=53499</v>
      </c>
      <c r="N2411" t="s">
        <v>3698</v>
      </c>
      <c r="O2411" t="s">
        <v>3699</v>
      </c>
      <c r="P2411" s="2" t="str">
        <f t="shared" si="67"/>
        <v>https://forum.0day.kiev.ua/index.php?showforum=31</v>
      </c>
      <c r="R2411" t="s">
        <v>6066</v>
      </c>
      <c r="S2411" t="s">
        <v>6073</v>
      </c>
    </row>
    <row r="2412" spans="1:19" ht="14.25" customHeight="1" x14ac:dyDescent="0.3">
      <c r="A2412" t="s">
        <v>4995</v>
      </c>
      <c r="B2412" t="s">
        <v>3343</v>
      </c>
      <c r="C2412" t="s">
        <v>3538</v>
      </c>
      <c r="D2412" t="s">
        <v>408</v>
      </c>
      <c r="E2412" t="s">
        <v>5265</v>
      </c>
      <c r="F2412" t="s">
        <v>6056</v>
      </c>
      <c r="G2412" s="2" t="str">
        <f>HYPERLINK("https://forum.0day.kiev.ua/index.php?showtopic=536842&amp;st=480&amp;mode=linear#entry6217482")</f>
        <v>https://forum.0day.kiev.ua/index.php?showtopic=536842&amp;st=480&amp;mode=linear#entry6217482</v>
      </c>
      <c r="H2412" t="s">
        <v>6062</v>
      </c>
      <c r="I2412" t="s">
        <v>4497</v>
      </c>
      <c r="J2412" s="2" t="str">
        <f>HYPERLINK("https://forum.0day.kiev.ua/index.php?showuser=32764")</f>
        <v>https://forum.0day.kiev.ua/index.php?showuser=32764</v>
      </c>
      <c r="N2412" t="s">
        <v>3698</v>
      </c>
      <c r="O2412" t="s">
        <v>3699</v>
      </c>
      <c r="P2412" s="2" t="str">
        <f t="shared" si="67"/>
        <v>https://forum.0day.kiev.ua/index.php?showforum=31</v>
      </c>
      <c r="R2412" t="s">
        <v>6066</v>
      </c>
      <c r="S2412" t="s">
        <v>6073</v>
      </c>
    </row>
    <row r="2413" spans="1:19" ht="14.25" customHeight="1" x14ac:dyDescent="0.3">
      <c r="A2413" t="s">
        <v>4439</v>
      </c>
      <c r="B2413" t="s">
        <v>740</v>
      </c>
      <c r="C2413" t="s">
        <v>3538</v>
      </c>
      <c r="D2413" t="s">
        <v>408</v>
      </c>
      <c r="E2413" t="s">
        <v>4496</v>
      </c>
      <c r="F2413" t="s">
        <v>6056</v>
      </c>
      <c r="G2413" s="2" t="str">
        <f>HYPERLINK("https://forum.0day.kiev.ua/index.php?showtopic=536842&amp;st=500&amp;mode=linear#entry6218310")</f>
        <v>https://forum.0day.kiev.ua/index.php?showtopic=536842&amp;st=500&amp;mode=linear#entry6218310</v>
      </c>
      <c r="H2413" t="s">
        <v>6062</v>
      </c>
      <c r="I2413" t="s">
        <v>4497</v>
      </c>
      <c r="J2413" s="2" t="str">
        <f>HYPERLINK("https://forum.0day.kiev.ua/index.php?showuser=32764")</f>
        <v>https://forum.0day.kiev.ua/index.php?showuser=32764</v>
      </c>
      <c r="N2413" t="s">
        <v>3698</v>
      </c>
      <c r="O2413" t="s">
        <v>3699</v>
      </c>
      <c r="P2413" s="2" t="str">
        <f t="shared" si="67"/>
        <v>https://forum.0day.kiev.ua/index.php?showforum=31</v>
      </c>
      <c r="R2413" t="s">
        <v>6066</v>
      </c>
      <c r="S2413" t="s">
        <v>6073</v>
      </c>
    </row>
    <row r="2414" spans="1:19" ht="14.25" customHeight="1" x14ac:dyDescent="0.3">
      <c r="A2414" t="s">
        <v>4439</v>
      </c>
      <c r="B2414" t="s">
        <v>2646</v>
      </c>
      <c r="C2414" t="s">
        <v>3538</v>
      </c>
      <c r="D2414" t="s">
        <v>408</v>
      </c>
      <c r="E2414" t="s">
        <v>4502</v>
      </c>
      <c r="F2414" t="s">
        <v>6056</v>
      </c>
      <c r="G2414" s="2" t="str">
        <f>HYPERLINK("https://forum.0day.kiev.ua/index.php?showtopic=536842&amp;st=500&amp;mode=linear#entry6218306")</f>
        <v>https://forum.0day.kiev.ua/index.php?showtopic=536842&amp;st=500&amp;mode=linear#entry6218306</v>
      </c>
      <c r="H2414" t="s">
        <v>6062</v>
      </c>
      <c r="I2414" t="s">
        <v>4503</v>
      </c>
      <c r="J2414" s="2" t="str">
        <f>HYPERLINK("https://forum.0day.kiev.ua/index.php?showuser=85015")</f>
        <v>https://forum.0day.kiev.ua/index.php?showuser=85015</v>
      </c>
      <c r="N2414" t="s">
        <v>3698</v>
      </c>
      <c r="O2414" t="s">
        <v>3699</v>
      </c>
      <c r="P2414" s="2" t="str">
        <f t="shared" si="67"/>
        <v>https://forum.0day.kiev.ua/index.php?showforum=31</v>
      </c>
      <c r="R2414" t="s">
        <v>6066</v>
      </c>
      <c r="S2414" t="s">
        <v>6073</v>
      </c>
    </row>
    <row r="2415" spans="1:19" ht="14.25" customHeight="1" x14ac:dyDescent="0.3">
      <c r="A2415" t="s">
        <v>4439</v>
      </c>
      <c r="B2415" t="s">
        <v>4256</v>
      </c>
      <c r="C2415" t="s">
        <v>3538</v>
      </c>
      <c r="D2415" t="s">
        <v>408</v>
      </c>
      <c r="E2415" t="s">
        <v>4728</v>
      </c>
      <c r="F2415" t="s">
        <v>6056</v>
      </c>
      <c r="G2415" s="2" t="str">
        <f>HYPERLINK("https://forum.0day.kiev.ua/index.php?showtopic=536842&amp;st=480#entry6218006")</f>
        <v>https://forum.0day.kiev.ua/index.php?showtopic=536842&amp;st=480#entry6218006</v>
      </c>
      <c r="H2415" t="s">
        <v>6062</v>
      </c>
      <c r="I2415" t="s">
        <v>3752</v>
      </c>
      <c r="J2415" s="2" t="str">
        <f>HYPERLINK("https://forum.0day.kiev.ua/index.php?showuser=36723")</f>
        <v>https://forum.0day.kiev.ua/index.php?showuser=36723</v>
      </c>
      <c r="N2415" t="s">
        <v>3698</v>
      </c>
      <c r="O2415" t="s">
        <v>3699</v>
      </c>
      <c r="P2415" s="2" t="str">
        <f t="shared" si="67"/>
        <v>https://forum.0day.kiev.ua/index.php?showforum=31</v>
      </c>
      <c r="R2415" t="s">
        <v>6066</v>
      </c>
      <c r="S2415" t="s">
        <v>6073</v>
      </c>
    </row>
    <row r="2416" spans="1:19" ht="14.25" customHeight="1" x14ac:dyDescent="0.3">
      <c r="A2416" t="s">
        <v>3527</v>
      </c>
      <c r="B2416" t="s">
        <v>3750</v>
      </c>
      <c r="C2416" t="s">
        <v>3538</v>
      </c>
      <c r="D2416" t="s">
        <v>408</v>
      </c>
      <c r="E2416" t="s">
        <v>3751</v>
      </c>
      <c r="F2416" t="s">
        <v>6056</v>
      </c>
      <c r="G2416" s="2" t="str">
        <f>HYPERLINK("https://forum.0day.kiev.ua/index.php?showtopic=536842&amp;st=500&amp;mode=linear#entry6218865")</f>
        <v>https://forum.0day.kiev.ua/index.php?showtopic=536842&amp;st=500&amp;mode=linear#entry6218865</v>
      </c>
      <c r="H2416" t="s">
        <v>6062</v>
      </c>
      <c r="I2416" t="s">
        <v>3752</v>
      </c>
      <c r="J2416" s="2" t="str">
        <f>HYPERLINK("https://forum.0day.kiev.ua/index.php?showuser=36723")</f>
        <v>https://forum.0day.kiev.ua/index.php?showuser=36723</v>
      </c>
      <c r="N2416" t="s">
        <v>3698</v>
      </c>
      <c r="O2416" t="s">
        <v>3699</v>
      </c>
      <c r="P2416" s="2" t="str">
        <f t="shared" si="67"/>
        <v>https://forum.0day.kiev.ua/index.php?showforum=31</v>
      </c>
      <c r="R2416" t="s">
        <v>6066</v>
      </c>
      <c r="S2416" t="s">
        <v>6073</v>
      </c>
    </row>
    <row r="2417" spans="1:19" ht="14.25" customHeight="1" x14ac:dyDescent="0.3">
      <c r="A2417" t="s">
        <v>4439</v>
      </c>
      <c r="B2417" t="s">
        <v>189</v>
      </c>
      <c r="C2417" t="s">
        <v>3538</v>
      </c>
      <c r="D2417" t="s">
        <v>408</v>
      </c>
      <c r="E2417" t="s">
        <v>4722</v>
      </c>
      <c r="F2417" t="s">
        <v>6056</v>
      </c>
      <c r="G2417" s="2" t="str">
        <f>HYPERLINK("https://forum.0day.kiev.ua/index.php?showtopic=536842&amp;st=480#entry6218009")</f>
        <v>https://forum.0day.kiev.ua/index.php?showtopic=536842&amp;st=480#entry6218009</v>
      </c>
      <c r="H2417" t="s">
        <v>6062</v>
      </c>
      <c r="I2417" t="s">
        <v>3752</v>
      </c>
      <c r="J2417" s="2" t="str">
        <f>HYPERLINK("https://forum.0day.kiev.ua/index.php?showuser=36723")</f>
        <v>https://forum.0day.kiev.ua/index.php?showuser=36723</v>
      </c>
      <c r="N2417" t="s">
        <v>3698</v>
      </c>
      <c r="O2417" t="s">
        <v>3699</v>
      </c>
      <c r="P2417" s="2" t="str">
        <f t="shared" si="67"/>
        <v>https://forum.0day.kiev.ua/index.php?showforum=31</v>
      </c>
      <c r="R2417" t="s">
        <v>6066</v>
      </c>
      <c r="S2417" t="s">
        <v>6073</v>
      </c>
    </row>
    <row r="2418" spans="1:19" ht="14.25" customHeight="1" x14ac:dyDescent="0.3">
      <c r="A2418" t="s">
        <v>3527</v>
      </c>
      <c r="B2418" t="s">
        <v>767</v>
      </c>
      <c r="C2418" t="s">
        <v>95</v>
      </c>
      <c r="D2418" t="s">
        <v>408</v>
      </c>
      <c r="E2418" t="s">
        <v>3713</v>
      </c>
      <c r="F2418" t="s">
        <v>6056</v>
      </c>
      <c r="G2418" s="2" t="str">
        <f>HYPERLINK("https://forum.0day.kiev.ua/index.php?showtopic=536842&amp;st=500&amp;mode=linear#entry6218893")</f>
        <v>https://forum.0day.kiev.ua/index.php?showtopic=536842&amp;st=500&amp;mode=linear#entry6218893</v>
      </c>
      <c r="H2418" t="s">
        <v>6062</v>
      </c>
      <c r="I2418" t="s">
        <v>3714</v>
      </c>
      <c r="J2418" s="2" t="str">
        <f>HYPERLINK("https://forum.0day.kiev.ua/index.php?showuser=40213")</f>
        <v>https://forum.0day.kiev.ua/index.php?showuser=40213</v>
      </c>
      <c r="N2418" t="s">
        <v>3698</v>
      </c>
      <c r="O2418" t="s">
        <v>3699</v>
      </c>
      <c r="P2418" s="2" t="str">
        <f t="shared" si="67"/>
        <v>https://forum.0day.kiev.ua/index.php?showforum=31</v>
      </c>
      <c r="R2418" t="s">
        <v>6066</v>
      </c>
      <c r="S2418" t="s">
        <v>6073</v>
      </c>
    </row>
    <row r="2419" spans="1:19" ht="14.25" customHeight="1" x14ac:dyDescent="0.3">
      <c r="A2419" t="s">
        <v>4439</v>
      </c>
      <c r="B2419" t="s">
        <v>4019</v>
      </c>
      <c r="C2419" t="s">
        <v>3538</v>
      </c>
      <c r="D2419" t="s">
        <v>408</v>
      </c>
      <c r="E2419" t="s">
        <v>4600</v>
      </c>
      <c r="F2419" t="s">
        <v>6056</v>
      </c>
      <c r="G2419" s="2" t="str">
        <f>HYPERLINK("https://forum.0day.kiev.ua/index.php?showtopic=536842&amp;st=500&amp;mode=linear#entry6218189")</f>
        <v>https://forum.0day.kiev.ua/index.php?showtopic=536842&amp;st=500&amp;mode=linear#entry6218189</v>
      </c>
      <c r="H2419" t="s">
        <v>6062</v>
      </c>
      <c r="I2419" t="s">
        <v>3714</v>
      </c>
      <c r="J2419" s="2" t="str">
        <f>HYPERLINK("https://forum.0day.kiev.ua/index.php?showuser=40213")</f>
        <v>https://forum.0day.kiev.ua/index.php?showuser=40213</v>
      </c>
      <c r="N2419" t="s">
        <v>3698</v>
      </c>
      <c r="O2419" t="s">
        <v>3699</v>
      </c>
      <c r="P2419" s="2" t="str">
        <f t="shared" si="67"/>
        <v>https://forum.0day.kiev.ua/index.php?showforum=31</v>
      </c>
      <c r="R2419" t="s">
        <v>6066</v>
      </c>
      <c r="S2419" t="s">
        <v>6073</v>
      </c>
    </row>
    <row r="2420" spans="1:19" ht="14.25" customHeight="1" x14ac:dyDescent="0.3">
      <c r="A2420" t="s">
        <v>4995</v>
      </c>
      <c r="B2420" t="s">
        <v>4201</v>
      </c>
      <c r="C2420" t="s">
        <v>3538</v>
      </c>
      <c r="D2420" t="s">
        <v>408</v>
      </c>
      <c r="E2420" t="s">
        <v>5222</v>
      </c>
      <c r="F2420" t="s">
        <v>6056</v>
      </c>
      <c r="G2420" s="2" t="str">
        <f>HYPERLINK("https://forum.0day.kiev.ua/index.php?showtopic=536842&amp;st=480&amp;mode=linear#entry6217529")</f>
        <v>https://forum.0day.kiev.ua/index.php?showtopic=536842&amp;st=480&amp;mode=linear#entry6217529</v>
      </c>
      <c r="H2420" t="s">
        <v>6062</v>
      </c>
      <c r="I2420" t="s">
        <v>3714</v>
      </c>
      <c r="J2420" s="2" t="str">
        <f>HYPERLINK("https://forum.0day.kiev.ua/index.php?showuser=40213")</f>
        <v>https://forum.0day.kiev.ua/index.php?showuser=40213</v>
      </c>
      <c r="N2420" t="s">
        <v>3698</v>
      </c>
      <c r="O2420" t="s">
        <v>3699</v>
      </c>
      <c r="P2420" s="2" t="str">
        <f t="shared" si="67"/>
        <v>https://forum.0day.kiev.ua/index.php?showforum=31</v>
      </c>
      <c r="R2420" t="s">
        <v>6066</v>
      </c>
      <c r="S2420" t="s">
        <v>6073</v>
      </c>
    </row>
    <row r="2421" spans="1:19" ht="14.25" customHeight="1" x14ac:dyDescent="0.3">
      <c r="A2421" t="s">
        <v>4439</v>
      </c>
      <c r="B2421" t="s">
        <v>1224</v>
      </c>
      <c r="C2421" t="s">
        <v>3538</v>
      </c>
      <c r="D2421" t="s">
        <v>408</v>
      </c>
      <c r="E2421" t="s">
        <v>4644</v>
      </c>
      <c r="F2421" t="s">
        <v>6056</v>
      </c>
      <c r="G2421" s="2" t="str">
        <f>HYPERLINK("https://forum.0day.kiev.ua/index.php?showtopic=536842&amp;st=500&amp;mode=linear#entry6218115")</f>
        <v>https://forum.0day.kiev.ua/index.php?showtopic=536842&amp;st=500&amp;mode=linear#entry6218115</v>
      </c>
      <c r="H2421" t="s">
        <v>6062</v>
      </c>
      <c r="I2421" t="s">
        <v>4518</v>
      </c>
      <c r="J2421" s="2" t="str">
        <f>HYPERLINK("https://forum.0day.kiev.ua/index.php?showuser=37327")</f>
        <v>https://forum.0day.kiev.ua/index.php?showuser=37327</v>
      </c>
      <c r="N2421" t="s">
        <v>3698</v>
      </c>
      <c r="O2421" t="s">
        <v>3699</v>
      </c>
      <c r="P2421" s="2" t="str">
        <f t="shared" si="67"/>
        <v>https://forum.0day.kiev.ua/index.php?showforum=31</v>
      </c>
      <c r="R2421" t="s">
        <v>6066</v>
      </c>
      <c r="S2421" t="s">
        <v>6073</v>
      </c>
    </row>
    <row r="2422" spans="1:19" ht="14.25" customHeight="1" x14ac:dyDescent="0.3">
      <c r="A2422" t="s">
        <v>4439</v>
      </c>
      <c r="B2422" t="s">
        <v>780</v>
      </c>
      <c r="C2422" t="s">
        <v>3538</v>
      </c>
      <c r="D2422" t="s">
        <v>408</v>
      </c>
      <c r="E2422" t="s">
        <v>4517</v>
      </c>
      <c r="F2422" t="s">
        <v>6056</v>
      </c>
      <c r="G2422" s="2" t="str">
        <f>HYPERLINK("https://forum.0day.kiev.ua/index.php?showtopic=536842&amp;st=500&amp;mode=linear#entry6218285")</f>
        <v>https://forum.0day.kiev.ua/index.php?showtopic=536842&amp;st=500&amp;mode=linear#entry6218285</v>
      </c>
      <c r="H2422" t="s">
        <v>6062</v>
      </c>
      <c r="I2422" t="s">
        <v>4518</v>
      </c>
      <c r="J2422" s="2" t="str">
        <f>HYPERLINK("https://forum.0day.kiev.ua/index.php?showuser=37327")</f>
        <v>https://forum.0day.kiev.ua/index.php?showuser=37327</v>
      </c>
      <c r="N2422" t="s">
        <v>3698</v>
      </c>
      <c r="O2422" t="s">
        <v>3699</v>
      </c>
      <c r="P2422" s="2" t="str">
        <f t="shared" si="67"/>
        <v>https://forum.0day.kiev.ua/index.php?showforum=31</v>
      </c>
      <c r="R2422" t="s">
        <v>6066</v>
      </c>
      <c r="S2422" t="s">
        <v>6073</v>
      </c>
    </row>
    <row r="2423" spans="1:19" ht="14.25" customHeight="1" x14ac:dyDescent="0.3">
      <c r="A2423" t="s">
        <v>4439</v>
      </c>
      <c r="B2423" t="s">
        <v>3980</v>
      </c>
      <c r="C2423" t="s">
        <v>3538</v>
      </c>
      <c r="D2423" t="s">
        <v>408</v>
      </c>
      <c r="E2423" t="s">
        <v>4594</v>
      </c>
      <c r="F2423" t="s">
        <v>6056</v>
      </c>
      <c r="G2423" s="2" t="str">
        <f>HYPERLINK("https://forum.0day.kiev.ua/index.php?showtopic=536842&amp;st=500&amp;mode=linear#entry6218200")</f>
        <v>https://forum.0day.kiev.ua/index.php?showtopic=536842&amp;st=500&amp;mode=linear#entry6218200</v>
      </c>
      <c r="H2423" t="s">
        <v>6062</v>
      </c>
      <c r="I2423" t="s">
        <v>4518</v>
      </c>
      <c r="J2423" s="2" t="str">
        <f>HYPERLINK("https://forum.0day.kiev.ua/index.php?showuser=37327")</f>
        <v>https://forum.0day.kiev.ua/index.php?showuser=37327</v>
      </c>
      <c r="N2423" t="s">
        <v>3698</v>
      </c>
      <c r="O2423" t="s">
        <v>3699</v>
      </c>
      <c r="P2423" s="2" t="str">
        <f t="shared" si="67"/>
        <v>https://forum.0day.kiev.ua/index.php?showforum=31</v>
      </c>
      <c r="R2423" t="s">
        <v>6066</v>
      </c>
      <c r="S2423" t="s">
        <v>6073</v>
      </c>
    </row>
    <row r="2424" spans="1:19" ht="14.25" customHeight="1" x14ac:dyDescent="0.3">
      <c r="A2424" t="s">
        <v>4995</v>
      </c>
      <c r="B2424" t="s">
        <v>5146</v>
      </c>
      <c r="C2424" t="s">
        <v>3538</v>
      </c>
      <c r="D2424" t="s">
        <v>408</v>
      </c>
      <c r="E2424" t="s">
        <v>5147</v>
      </c>
      <c r="F2424" t="s">
        <v>6056</v>
      </c>
      <c r="G2424" s="2" t="str">
        <f>HYPERLINK("https://forum.0day.kiev.ua/index.php?showtopic=536842&amp;st=480&amp;mode=linear#entry6217664")</f>
        <v>https://forum.0day.kiev.ua/index.php?showtopic=536842&amp;st=480&amp;mode=linear#entry6217664</v>
      </c>
      <c r="H2424" t="s">
        <v>6061</v>
      </c>
      <c r="I2424" t="s">
        <v>3697</v>
      </c>
      <c r="J2424" s="2" t="str">
        <f>HYPERLINK("https://forum.0day.kiev.ua/index.php?showuser=57761")</f>
        <v>https://forum.0day.kiev.ua/index.php?showuser=57761</v>
      </c>
      <c r="N2424" t="s">
        <v>3698</v>
      </c>
      <c r="O2424" t="s">
        <v>3699</v>
      </c>
      <c r="P2424" s="2" t="str">
        <f t="shared" si="67"/>
        <v>https://forum.0day.kiev.ua/index.php?showforum=31</v>
      </c>
      <c r="R2424" t="s">
        <v>6066</v>
      </c>
      <c r="S2424" t="s">
        <v>6073</v>
      </c>
    </row>
    <row r="2425" spans="1:19" ht="14.25" customHeight="1" x14ac:dyDescent="0.3">
      <c r="A2425" t="s">
        <v>3527</v>
      </c>
      <c r="B2425" t="s">
        <v>2659</v>
      </c>
      <c r="C2425" t="s">
        <v>95</v>
      </c>
      <c r="D2425" t="s">
        <v>408</v>
      </c>
      <c r="E2425" t="s">
        <v>3696</v>
      </c>
      <c r="F2425" t="s">
        <v>6056</v>
      </c>
      <c r="G2425" s="2" t="str">
        <f>HYPERLINK("https://forum.0day.kiev.ua/index.php?showtopic=536842&amp;st=500&amp;mode=linear#entry6218925")</f>
        <v>https://forum.0day.kiev.ua/index.php?showtopic=536842&amp;st=500&amp;mode=linear#entry6218925</v>
      </c>
      <c r="H2425" t="s">
        <v>6061</v>
      </c>
      <c r="I2425" t="s">
        <v>3697</v>
      </c>
      <c r="J2425" s="2" t="str">
        <f>HYPERLINK("https://forum.0day.kiev.ua/index.php?showuser=57761")</f>
        <v>https://forum.0day.kiev.ua/index.php?showuser=57761</v>
      </c>
      <c r="N2425" t="s">
        <v>3698</v>
      </c>
      <c r="O2425" t="s">
        <v>3699</v>
      </c>
      <c r="P2425" s="2" t="str">
        <f t="shared" si="67"/>
        <v>https://forum.0day.kiev.ua/index.php?showforum=31</v>
      </c>
      <c r="R2425" t="s">
        <v>6066</v>
      </c>
      <c r="S2425" t="s">
        <v>6073</v>
      </c>
    </row>
    <row r="2426" spans="1:19" ht="14.25" customHeight="1" x14ac:dyDescent="0.3">
      <c r="A2426" t="s">
        <v>4995</v>
      </c>
      <c r="B2426" t="s">
        <v>140</v>
      </c>
      <c r="C2426" t="s">
        <v>3538</v>
      </c>
      <c r="D2426" t="s">
        <v>408</v>
      </c>
      <c r="E2426" t="s">
        <v>5250</v>
      </c>
      <c r="F2426" t="s">
        <v>6056</v>
      </c>
      <c r="G2426" s="2" t="str">
        <f>HYPERLINK("https://forum.0day.kiev.ua/index.php?showtopic=536842&amp;st=480&amp;mode=linear#entry6217501")</f>
        <v>https://forum.0day.kiev.ua/index.php?showtopic=536842&amp;st=480&amp;mode=linear#entry6217501</v>
      </c>
      <c r="H2426" t="s">
        <v>6061</v>
      </c>
      <c r="I2426" t="s">
        <v>4736</v>
      </c>
      <c r="J2426" s="2" t="str">
        <f>HYPERLINK("https://forum.0day.kiev.ua/index.php?showuser=53499")</f>
        <v>https://forum.0day.kiev.ua/index.php?showuser=53499</v>
      </c>
      <c r="N2426" t="s">
        <v>3698</v>
      </c>
      <c r="O2426" t="s">
        <v>3699</v>
      </c>
      <c r="P2426" s="2" t="str">
        <f t="shared" si="67"/>
        <v>https://forum.0day.kiev.ua/index.php?showforum=31</v>
      </c>
      <c r="R2426" t="s">
        <v>6066</v>
      </c>
      <c r="S2426" t="s">
        <v>6073</v>
      </c>
    </row>
    <row r="2427" spans="1:19" ht="14.25" customHeight="1" x14ac:dyDescent="0.3">
      <c r="A2427" t="s">
        <v>4439</v>
      </c>
      <c r="B2427" t="s">
        <v>3723</v>
      </c>
      <c r="C2427" t="s">
        <v>3538</v>
      </c>
      <c r="D2427" t="s">
        <v>408</v>
      </c>
      <c r="E2427" t="s">
        <v>4519</v>
      </c>
      <c r="F2427" t="s">
        <v>6056</v>
      </c>
      <c r="G2427" s="2" t="str">
        <f>HYPERLINK("https://forum.0day.kiev.ua/index.php?showtopic=536842&amp;st=500&amp;mode=linear#entry6218284")</f>
        <v>https://forum.0day.kiev.ua/index.php?showtopic=536842&amp;st=500&amp;mode=linear#entry6218284</v>
      </c>
      <c r="H2427" t="s">
        <v>6061</v>
      </c>
      <c r="I2427" t="s">
        <v>4497</v>
      </c>
      <c r="J2427" s="2" t="str">
        <f>HYPERLINK("https://forum.0day.kiev.ua/index.php?showuser=32764")</f>
        <v>https://forum.0day.kiev.ua/index.php?showuser=32764</v>
      </c>
      <c r="N2427" t="s">
        <v>3698</v>
      </c>
      <c r="O2427" t="s">
        <v>3699</v>
      </c>
      <c r="P2427" s="2" t="str">
        <f t="shared" si="67"/>
        <v>https://forum.0day.kiev.ua/index.php?showforum=31</v>
      </c>
      <c r="R2427" t="s">
        <v>6066</v>
      </c>
      <c r="S2427" t="s">
        <v>6073</v>
      </c>
    </row>
    <row r="2428" spans="1:19" ht="14.25" customHeight="1" x14ac:dyDescent="0.3">
      <c r="A2428" t="s">
        <v>4439</v>
      </c>
      <c r="B2428" t="s">
        <v>4717</v>
      </c>
      <c r="C2428" t="s">
        <v>3538</v>
      </c>
      <c r="D2428" t="s">
        <v>408</v>
      </c>
      <c r="E2428" t="s">
        <v>4718</v>
      </c>
      <c r="F2428" t="s">
        <v>6056</v>
      </c>
      <c r="G2428" s="2" t="str">
        <f>HYPERLINK("https://forum.0day.kiev.ua/index.php?showtopic=536842&amp;st=480#entry6218012")</f>
        <v>https://forum.0day.kiev.ua/index.php?showtopic=536842&amp;st=480#entry6218012</v>
      </c>
      <c r="H2428" t="s">
        <v>6061</v>
      </c>
      <c r="I2428" t="s">
        <v>3752</v>
      </c>
      <c r="J2428" s="2" t="str">
        <f>HYPERLINK("https://forum.0day.kiev.ua/index.php?showuser=36723")</f>
        <v>https://forum.0day.kiev.ua/index.php?showuser=36723</v>
      </c>
      <c r="N2428" t="s">
        <v>3698</v>
      </c>
      <c r="O2428" t="s">
        <v>3699</v>
      </c>
      <c r="P2428" s="2" t="str">
        <f t="shared" si="67"/>
        <v>https://forum.0day.kiev.ua/index.php?showforum=31</v>
      </c>
      <c r="R2428" t="s">
        <v>6066</v>
      </c>
      <c r="S2428" t="s">
        <v>6073</v>
      </c>
    </row>
    <row r="2429" spans="1:19" ht="14.25" customHeight="1" x14ac:dyDescent="0.3">
      <c r="A2429" t="s">
        <v>5409</v>
      </c>
      <c r="B2429" t="s">
        <v>5415</v>
      </c>
      <c r="C2429" t="s">
        <v>3538</v>
      </c>
      <c r="D2429" t="s">
        <v>5420</v>
      </c>
      <c r="E2429" t="s">
        <v>5421</v>
      </c>
      <c r="F2429" t="s">
        <v>6056</v>
      </c>
      <c r="G2429" s="2" t="str">
        <f>HYPERLINK("http://forum.autoua.net/showflat.php?Cat=0&amp;Number=11235117&amp;an=0&amp;page=0#Post11235117")</f>
        <v>http://forum.autoua.net/showflat.php?Cat=0&amp;Number=11235117&amp;an=0&amp;page=0#Post11235117</v>
      </c>
      <c r="H2429" t="s">
        <v>6062</v>
      </c>
      <c r="I2429" t="s">
        <v>5422</v>
      </c>
      <c r="J2429" s="2" t="str">
        <f>HYPERLINK("http://profile.autoua.net/31953/")</f>
        <v>http://profile.autoua.net/31953/</v>
      </c>
      <c r="M2429">
        <v>39</v>
      </c>
      <c r="N2429" t="s">
        <v>2111</v>
      </c>
      <c r="O2429" t="s">
        <v>5423</v>
      </c>
      <c r="P2429" s="2" t="str">
        <f>HYPERLINK("http://forum.autoua.net/postlist.php?Cat=0&amp;Board=autoua_shop")</f>
        <v>http://forum.autoua.net/postlist.php?Cat=0&amp;Board=autoua_shop</v>
      </c>
      <c r="R2429" t="s">
        <v>6066</v>
      </c>
      <c r="S2429" t="s">
        <v>6073</v>
      </c>
    </row>
    <row r="2430" spans="1:19" ht="14.25" customHeight="1" x14ac:dyDescent="0.3">
      <c r="A2430" t="s">
        <v>629</v>
      </c>
      <c r="B2430" t="s">
        <v>549</v>
      </c>
      <c r="C2430" t="s">
        <v>95</v>
      </c>
      <c r="D2430" t="s">
        <v>2108</v>
      </c>
      <c r="E2430" t="s">
        <v>2109</v>
      </c>
      <c r="F2430" t="s">
        <v>6056</v>
      </c>
      <c r="G2430" s="2" t="str">
        <f>HYPERLINK("http://forum.autoua.net/showflat.php?Cat=0&amp;Number=10673295&amp;an=0&amp;page=0#Post11239423")</f>
        <v>http://forum.autoua.net/showflat.php?Cat=0&amp;Number=10673295&amp;an=0&amp;page=0#Post11239423</v>
      </c>
      <c r="H2430" t="s">
        <v>6062</v>
      </c>
      <c r="I2430" t="s">
        <v>2110</v>
      </c>
      <c r="J2430" s="2" t="str">
        <f>HYPERLINK("http://profile.autoua.net/34318/")</f>
        <v>http://profile.autoua.net/34318/</v>
      </c>
      <c r="L2430" t="s">
        <v>6063</v>
      </c>
      <c r="N2430" t="s">
        <v>2111</v>
      </c>
      <c r="O2430" t="s">
        <v>2112</v>
      </c>
      <c r="P2430" s="2" t="str">
        <f>HYPERLINK("http://forum.autoua.net/postlist.php?Cat=0&amp;Board=buy_abroad")</f>
        <v>http://forum.autoua.net/postlist.php?Cat=0&amp;Board=buy_abroad</v>
      </c>
      <c r="R2430" t="s">
        <v>6066</v>
      </c>
      <c r="S2430" t="s">
        <v>6073</v>
      </c>
    </row>
    <row r="2431" spans="1:19" ht="14.25" customHeight="1" x14ac:dyDescent="0.3">
      <c r="A2431" t="s">
        <v>4439</v>
      </c>
      <c r="B2431" t="s">
        <v>131</v>
      </c>
      <c r="C2431" t="s">
        <v>3538</v>
      </c>
      <c r="D2431" t="s">
        <v>408</v>
      </c>
      <c r="E2431" t="s">
        <v>4698</v>
      </c>
      <c r="F2431" t="s">
        <v>6056</v>
      </c>
      <c r="G2431" s="2" t="str">
        <f>HYPERLINK("http://forum.autoua.net/showflat.php?Cat=0&amp;Board=business&amp;Number=11007459&amp;page=0&amp;fpart=24#Post11236231")</f>
        <v>http://forum.autoua.net/showflat.php?Cat=0&amp;Board=business&amp;Number=11007459&amp;page=0&amp;fpart=24#Post11236231</v>
      </c>
      <c r="H2431" t="s">
        <v>6062</v>
      </c>
      <c r="I2431" t="s">
        <v>4699</v>
      </c>
      <c r="J2431" s="2" t="str">
        <f>HYPERLINK("http://profile.autoua.net/23206/")</f>
        <v>http://profile.autoua.net/23206/</v>
      </c>
      <c r="L2431" t="s">
        <v>6063</v>
      </c>
      <c r="N2431" t="s">
        <v>2111</v>
      </c>
      <c r="O2431" t="s">
        <v>4695</v>
      </c>
      <c r="P2431" s="2" t="str">
        <f>HYPERLINK("http://forum.autoua.net/postlist.php?Cat=0&amp;Board=business")</f>
        <v>http://forum.autoua.net/postlist.php?Cat=0&amp;Board=business</v>
      </c>
      <c r="R2431" t="s">
        <v>6066</v>
      </c>
      <c r="S2431" t="s">
        <v>6073</v>
      </c>
    </row>
    <row r="2432" spans="1:19" ht="14.25" customHeight="1" x14ac:dyDescent="0.3">
      <c r="A2432" t="s">
        <v>4439</v>
      </c>
      <c r="B2432" t="s">
        <v>155</v>
      </c>
      <c r="C2432" t="s">
        <v>3538</v>
      </c>
      <c r="D2432" t="s">
        <v>408</v>
      </c>
      <c r="E2432" t="s">
        <v>4709</v>
      </c>
      <c r="F2432" t="s">
        <v>6056</v>
      </c>
      <c r="G2432" s="2" t="str">
        <f>HYPERLINK("http://forum.autoua.net/showflat.php?Cat=0&amp;Board=business&amp;Number=11007459&amp;page=0&amp;fpart=24#Post11236213")</f>
        <v>http://forum.autoua.net/showflat.php?Cat=0&amp;Board=business&amp;Number=11007459&amp;page=0&amp;fpart=24#Post11236213</v>
      </c>
      <c r="H2432" t="s">
        <v>6062</v>
      </c>
      <c r="I2432" t="s">
        <v>4710</v>
      </c>
      <c r="J2432" s="2" t="str">
        <f>HYPERLINK("http://profile.autoua.net/23493/")</f>
        <v>http://profile.autoua.net/23493/</v>
      </c>
      <c r="L2432" t="s">
        <v>6063</v>
      </c>
      <c r="M2432">
        <v>37</v>
      </c>
      <c r="N2432" t="s">
        <v>2111</v>
      </c>
      <c r="O2432" t="s">
        <v>4695</v>
      </c>
      <c r="P2432" s="2" t="str">
        <f>HYPERLINK("http://forum.autoua.net/postlist.php?Cat=0&amp;Board=business")</f>
        <v>http://forum.autoua.net/postlist.php?Cat=0&amp;Board=business</v>
      </c>
      <c r="R2432" t="s">
        <v>6066</v>
      </c>
      <c r="S2432" t="s">
        <v>6073</v>
      </c>
    </row>
    <row r="2433" spans="1:19" ht="14.25" customHeight="1" x14ac:dyDescent="0.3">
      <c r="A2433" t="s">
        <v>4439</v>
      </c>
      <c r="B2433" t="s">
        <v>145</v>
      </c>
      <c r="C2433" t="s">
        <v>3538</v>
      </c>
      <c r="D2433" t="s">
        <v>408</v>
      </c>
      <c r="E2433" t="s">
        <v>4706</v>
      </c>
      <c r="F2433" t="s">
        <v>6056</v>
      </c>
      <c r="G2433" s="2" t="str">
        <f>HYPERLINK("http://forum.autoua.net/showflat.php?Cat=0&amp;Board=business&amp;Number=11007459&amp;page=0&amp;fpart=24#Post11236223")</f>
        <v>http://forum.autoua.net/showflat.php?Cat=0&amp;Board=business&amp;Number=11007459&amp;page=0&amp;fpart=24#Post11236223</v>
      </c>
      <c r="H2433" t="s">
        <v>6061</v>
      </c>
      <c r="I2433" t="s">
        <v>4707</v>
      </c>
      <c r="J2433" s="2" t="str">
        <f>HYPERLINK("http://profile.autoua.net/201/")</f>
        <v>http://profile.autoua.net/201/</v>
      </c>
      <c r="N2433" t="s">
        <v>2111</v>
      </c>
      <c r="O2433" t="s">
        <v>4695</v>
      </c>
      <c r="P2433" s="2" t="str">
        <f>HYPERLINK("http://forum.autoua.net/postlist.php?Cat=0&amp;Board=business")</f>
        <v>http://forum.autoua.net/postlist.php?Cat=0&amp;Board=business</v>
      </c>
      <c r="R2433" t="s">
        <v>6066</v>
      </c>
      <c r="S2433" t="s">
        <v>6073</v>
      </c>
    </row>
    <row r="2434" spans="1:19" ht="14.25" customHeight="1" x14ac:dyDescent="0.3">
      <c r="A2434" t="s">
        <v>4439</v>
      </c>
      <c r="B2434" t="s">
        <v>1404</v>
      </c>
      <c r="C2434" t="s">
        <v>3538</v>
      </c>
      <c r="D2434" t="s">
        <v>408</v>
      </c>
      <c r="E2434" t="s">
        <v>4693</v>
      </c>
      <c r="F2434" t="s">
        <v>6056</v>
      </c>
      <c r="G2434" s="2" t="str">
        <f>HYPERLINK("http://forum.autoua.net/showflat.php?Cat=0&amp;Board=business&amp;Number=11007459&amp;page=0&amp;fpart=24#Post11236232")</f>
        <v>http://forum.autoua.net/showflat.php?Cat=0&amp;Board=business&amp;Number=11007459&amp;page=0&amp;fpart=24#Post11236232</v>
      </c>
      <c r="H2434" t="s">
        <v>6061</v>
      </c>
      <c r="I2434" t="s">
        <v>4694</v>
      </c>
      <c r="J2434" s="2" t="str">
        <f>HYPERLINK("http://profile.autoua.net/123185/")</f>
        <v>http://profile.autoua.net/123185/</v>
      </c>
      <c r="L2434" t="s">
        <v>6063</v>
      </c>
      <c r="N2434" t="s">
        <v>2111</v>
      </c>
      <c r="O2434" t="s">
        <v>4695</v>
      </c>
      <c r="P2434" s="2" t="str">
        <f>HYPERLINK("http://forum.autoua.net/postlist.php?Cat=0&amp;Board=business")</f>
        <v>http://forum.autoua.net/postlist.php?Cat=0&amp;Board=business</v>
      </c>
      <c r="R2434" t="s">
        <v>6066</v>
      </c>
      <c r="S2434" t="s">
        <v>6073</v>
      </c>
    </row>
    <row r="2435" spans="1:19" ht="14.25" customHeight="1" x14ac:dyDescent="0.3">
      <c r="A2435" t="s">
        <v>4439</v>
      </c>
      <c r="B2435" t="s">
        <v>2287</v>
      </c>
      <c r="C2435" t="s">
        <v>3538</v>
      </c>
      <c r="D2435" t="s">
        <v>4455</v>
      </c>
      <c r="E2435" t="s">
        <v>4456</v>
      </c>
      <c r="F2435" t="s">
        <v>6056</v>
      </c>
      <c r="G2435" s="2" t="str">
        <f>HYPERLINK("http://forum.domik.ua/oplata-kommunalki-t28142-20.html#p1655472")</f>
        <v>http://forum.domik.ua/oplata-kommunalki-t28142-20.html#p1655472</v>
      </c>
      <c r="H2435" t="s">
        <v>6062</v>
      </c>
      <c r="I2435" t="s">
        <v>4457</v>
      </c>
      <c r="J2435" s="2" t="str">
        <f>HYPERLINK("http://forum.domik.ua/member213983.html")</f>
        <v>http://forum.domik.ua/member213983.html</v>
      </c>
      <c r="N2435" t="s">
        <v>4458</v>
      </c>
      <c r="O2435" t="s">
        <v>4459</v>
      </c>
      <c r="P2435" s="2" t="str">
        <f>HYPERLINK("http://forum.domik.ua/zeleniy-kvartal-f368.html")</f>
        <v>http://forum.domik.ua/zeleniy-kvartal-f368.html</v>
      </c>
      <c r="R2435" t="s">
        <v>6066</v>
      </c>
      <c r="S2435" t="s">
        <v>6073</v>
      </c>
    </row>
    <row r="2436" spans="1:19" ht="14.25" customHeight="1" x14ac:dyDescent="0.3">
      <c r="A2436" t="s">
        <v>1</v>
      </c>
      <c r="B2436" t="s">
        <v>155</v>
      </c>
      <c r="C2436" t="s">
        <v>95</v>
      </c>
      <c r="D2436" t="s">
        <v>67</v>
      </c>
      <c r="E2436" t="s">
        <v>156</v>
      </c>
      <c r="F2436" t="s">
        <v>6056</v>
      </c>
      <c r="G2436" s="2" t="str">
        <f>HYPERLINK("https://forum.finance.ua/topic214577.html?p=4340576#p4340576")</f>
        <v>https://forum.finance.ua/topic214577.html?p=4340576#p4340576</v>
      </c>
      <c r="H2436" t="s">
        <v>6060</v>
      </c>
      <c r="I2436" t="s">
        <v>157</v>
      </c>
      <c r="J2436" s="2" t="str">
        <f>HYPERLINK("https://forum.finance.ua/memberlist.php?mode=viewprofile&amp;u=10691")</f>
        <v>https://forum.finance.ua/memberlist.php?mode=viewprofile&amp;u=10691</v>
      </c>
      <c r="L2436" t="s">
        <v>6063</v>
      </c>
      <c r="N2436" t="s">
        <v>70</v>
      </c>
      <c r="O2436" t="s">
        <v>4</v>
      </c>
      <c r="P2436" s="2" t="str">
        <f>HYPERLINK("https://forum.finance.ua/topic214577.html?p=4340576#p4340576")</f>
        <v>https://forum.finance.ua/topic214577.html?p=4340576#p4340576</v>
      </c>
      <c r="R2436" t="s">
        <v>6066</v>
      </c>
      <c r="S2436" t="s">
        <v>6073</v>
      </c>
    </row>
    <row r="2437" spans="1:19" ht="14.25" customHeight="1" x14ac:dyDescent="0.3">
      <c r="A2437" t="s">
        <v>4995</v>
      </c>
      <c r="B2437" t="s">
        <v>1678</v>
      </c>
      <c r="C2437" t="s">
        <v>3538</v>
      </c>
      <c r="D2437" t="s">
        <v>179</v>
      </c>
      <c r="E2437" t="s">
        <v>5310</v>
      </c>
      <c r="F2437" t="s">
        <v>6056</v>
      </c>
      <c r="G2437" s="2" t="str">
        <f>HYPERLINK("https://forum.finance.ua/topic209265.html?p=4336666#p4336666")</f>
        <v>https://forum.finance.ua/topic209265.html?p=4336666#p4336666</v>
      </c>
      <c r="H2437" t="s">
        <v>6060</v>
      </c>
      <c r="I2437" t="s">
        <v>4742</v>
      </c>
      <c r="J2437" s="2" t="str">
        <f>HYPERLINK("https://forum.finance.ua/memberlist.php?mode=viewprofile&amp;u=25737")</f>
        <v>https://forum.finance.ua/memberlist.php?mode=viewprofile&amp;u=25737</v>
      </c>
      <c r="N2437" t="s">
        <v>70</v>
      </c>
      <c r="O2437" t="s">
        <v>4</v>
      </c>
      <c r="P2437" s="2" t="str">
        <f>HYPERLINK("https://forum.finance.ua/topic209265.html?p=4336666#p4336666")</f>
        <v>https://forum.finance.ua/topic209265.html?p=4336666#p4336666</v>
      </c>
      <c r="R2437" t="s">
        <v>6066</v>
      </c>
      <c r="S2437" t="s">
        <v>6073</v>
      </c>
    </row>
    <row r="2438" spans="1:19" ht="14.25" customHeight="1" x14ac:dyDescent="0.3">
      <c r="A2438" t="s">
        <v>3527</v>
      </c>
      <c r="B2438" t="s">
        <v>2916</v>
      </c>
      <c r="C2438" t="s">
        <v>95</v>
      </c>
      <c r="D2438" t="s">
        <v>179</v>
      </c>
      <c r="E2438" t="s">
        <v>3734</v>
      </c>
      <c r="F2438" t="s">
        <v>6056</v>
      </c>
      <c r="G2438" s="2" t="str">
        <f>HYPERLINK("https://forum.finance.ua/topic209265.html?p=4338427#p4338427")</f>
        <v>https://forum.finance.ua/topic209265.html?p=4338427#p4338427</v>
      </c>
      <c r="H2438" t="s">
        <v>6060</v>
      </c>
      <c r="I2438" t="s">
        <v>3618</v>
      </c>
      <c r="J2438" s="2" t="str">
        <f>HYPERLINK("https://forum.finance.ua/memberlist.php?mode=viewprofile&amp;u=57003")</f>
        <v>https://forum.finance.ua/memberlist.php?mode=viewprofile&amp;u=57003</v>
      </c>
      <c r="N2438" t="s">
        <v>70</v>
      </c>
      <c r="O2438" t="s">
        <v>4</v>
      </c>
      <c r="P2438" s="2" t="str">
        <f>HYPERLINK("https://forum.finance.ua/topic209265.html?p=4338427#p4338427")</f>
        <v>https://forum.finance.ua/topic209265.html?p=4338427#p4338427</v>
      </c>
      <c r="R2438" t="s">
        <v>6066</v>
      </c>
      <c r="S2438" t="s">
        <v>6073</v>
      </c>
    </row>
    <row r="2439" spans="1:19" ht="14.25" customHeight="1" x14ac:dyDescent="0.3">
      <c r="A2439" t="s">
        <v>3527</v>
      </c>
      <c r="B2439" t="s">
        <v>808</v>
      </c>
      <c r="C2439" t="s">
        <v>95</v>
      </c>
      <c r="D2439" t="s">
        <v>179</v>
      </c>
      <c r="E2439" t="s">
        <v>3749</v>
      </c>
      <c r="F2439" t="s">
        <v>6056</v>
      </c>
      <c r="G2439" s="2" t="str">
        <f>HYPERLINK("https://forum.finance.ua/topic209265.html?p=4338420#p4338420")</f>
        <v>https://forum.finance.ua/topic209265.html?p=4338420#p4338420</v>
      </c>
      <c r="H2439" t="s">
        <v>6060</v>
      </c>
      <c r="I2439" t="s">
        <v>3618</v>
      </c>
      <c r="J2439" s="2" t="str">
        <f>HYPERLINK("https://forum.finance.ua/memberlist.php?mode=viewprofile&amp;u=57003")</f>
        <v>https://forum.finance.ua/memberlist.php?mode=viewprofile&amp;u=57003</v>
      </c>
      <c r="N2439" t="s">
        <v>70</v>
      </c>
      <c r="O2439" t="s">
        <v>4</v>
      </c>
      <c r="P2439" s="2" t="str">
        <f>HYPERLINK("https://forum.finance.ua/topic209265.html?p=4338420#p4338420")</f>
        <v>https://forum.finance.ua/topic209265.html?p=4338420#p4338420</v>
      </c>
      <c r="R2439" t="s">
        <v>6066</v>
      </c>
      <c r="S2439" t="s">
        <v>6073</v>
      </c>
    </row>
    <row r="2440" spans="1:19" ht="14.25" customHeight="1" x14ac:dyDescent="0.3">
      <c r="A2440" t="s">
        <v>1</v>
      </c>
      <c r="B2440" t="s">
        <v>399</v>
      </c>
      <c r="C2440" t="s">
        <v>95</v>
      </c>
      <c r="D2440" t="s">
        <v>179</v>
      </c>
      <c r="E2440" t="s">
        <v>400</v>
      </c>
      <c r="F2440" t="s">
        <v>6056</v>
      </c>
      <c r="G2440" s="2" t="str">
        <f>HYPERLINK("https://forum.finance.ua/topic209265.html?p=4340376#p4340376")</f>
        <v>https://forum.finance.ua/topic209265.html?p=4340376#p4340376</v>
      </c>
      <c r="H2440" t="s">
        <v>6060</v>
      </c>
      <c r="I2440" t="s">
        <v>401</v>
      </c>
      <c r="J2440" s="2" t="str">
        <f>HYPERLINK("https://forum.finance.ua/memberlist.php?mode=viewprofile&amp;u=63526")</f>
        <v>https://forum.finance.ua/memberlist.php?mode=viewprofile&amp;u=63526</v>
      </c>
      <c r="N2440" t="s">
        <v>70</v>
      </c>
      <c r="O2440" t="s">
        <v>4</v>
      </c>
      <c r="P2440" s="2" t="str">
        <f>HYPERLINK("https://forum.finance.ua/topic209265.html?p=4340376#p4340376")</f>
        <v>https://forum.finance.ua/topic209265.html?p=4340376#p4340376</v>
      </c>
      <c r="R2440" t="s">
        <v>6066</v>
      </c>
      <c r="S2440" t="s">
        <v>6073</v>
      </c>
    </row>
    <row r="2441" spans="1:19" ht="14.25" customHeight="1" x14ac:dyDescent="0.3">
      <c r="A2441" t="s">
        <v>1</v>
      </c>
      <c r="B2441" t="s">
        <v>150</v>
      </c>
      <c r="C2441" t="s">
        <v>95</v>
      </c>
      <c r="D2441" t="s">
        <v>67</v>
      </c>
      <c r="E2441" t="s">
        <v>152</v>
      </c>
      <c r="F2441" t="s">
        <v>6056</v>
      </c>
      <c r="G2441" s="2" t="str">
        <f>HYPERLINK("https://forum.finance.ua/topic214577.html?p=4340578#p4340578")</f>
        <v>https://forum.finance.ua/topic214577.html?p=4340578#p4340578</v>
      </c>
      <c r="H2441" t="s">
        <v>6060</v>
      </c>
      <c r="I2441" t="s">
        <v>153</v>
      </c>
      <c r="J2441" s="2" t="str">
        <f>HYPERLINK("https://forum.finance.ua/memberlist.php?mode=viewprofile&amp;u=48899")</f>
        <v>https://forum.finance.ua/memberlist.php?mode=viewprofile&amp;u=48899</v>
      </c>
      <c r="N2441" t="s">
        <v>70</v>
      </c>
      <c r="O2441" t="s">
        <v>4</v>
      </c>
      <c r="P2441" s="2" t="str">
        <f>HYPERLINK("https://forum.finance.ua/topic214577.html?p=4340578#p4340578")</f>
        <v>https://forum.finance.ua/topic214577.html?p=4340578#p4340578</v>
      </c>
      <c r="R2441" t="s">
        <v>6066</v>
      </c>
      <c r="S2441" t="s">
        <v>6073</v>
      </c>
    </row>
    <row r="2442" spans="1:19" ht="14.25" customHeight="1" x14ac:dyDescent="0.3">
      <c r="A2442" t="s">
        <v>4439</v>
      </c>
      <c r="B2442" t="s">
        <v>3117</v>
      </c>
      <c r="C2442" t="s">
        <v>3538</v>
      </c>
      <c r="D2442" t="s">
        <v>179</v>
      </c>
      <c r="E2442" t="s">
        <v>4608</v>
      </c>
      <c r="F2442" t="s">
        <v>6056</v>
      </c>
      <c r="G2442" s="2" t="str">
        <f>HYPERLINK("https://forum.finance.ua/topic209265.html?p=4337437#p4337437")</f>
        <v>https://forum.finance.ua/topic209265.html?p=4337437#p4337437</v>
      </c>
      <c r="H2442" t="s">
        <v>6060</v>
      </c>
      <c r="I2442" t="s">
        <v>3010</v>
      </c>
      <c r="J2442" s="2" t="str">
        <f>HYPERLINK("https://forum.finance.ua/memberlist.php?mode=viewprofile&amp;u=79637")</f>
        <v>https://forum.finance.ua/memberlist.php?mode=viewprofile&amp;u=79637</v>
      </c>
      <c r="N2442" t="s">
        <v>70</v>
      </c>
      <c r="O2442" t="s">
        <v>4</v>
      </c>
      <c r="P2442" s="2" t="str">
        <f>HYPERLINK("https://forum.finance.ua/topic209265.html?p=4337437#p4337437")</f>
        <v>https://forum.finance.ua/topic209265.html?p=4337437#p4337437</v>
      </c>
      <c r="R2442" t="s">
        <v>6066</v>
      </c>
      <c r="S2442" t="s">
        <v>6073</v>
      </c>
    </row>
    <row r="2443" spans="1:19" ht="14.25" customHeight="1" x14ac:dyDescent="0.3">
      <c r="A2443" t="s">
        <v>1</v>
      </c>
      <c r="B2443" t="s">
        <v>189</v>
      </c>
      <c r="C2443" t="s">
        <v>95</v>
      </c>
      <c r="D2443" t="s">
        <v>179</v>
      </c>
      <c r="E2443" t="s">
        <v>190</v>
      </c>
      <c r="F2443" t="s">
        <v>6056</v>
      </c>
      <c r="G2443" s="2" t="str">
        <f>HYPERLINK("https://forum.finance.ua/topic209265.html?p=4340562#p4340562")</f>
        <v>https://forum.finance.ua/topic209265.html?p=4340562#p4340562</v>
      </c>
      <c r="H2443" t="s">
        <v>6060</v>
      </c>
      <c r="I2443" t="s">
        <v>191</v>
      </c>
      <c r="J2443" s="2" t="str">
        <f>HYPERLINK("https://forum.finance.ua/memberlist.php?mode=viewprofile&amp;u=58503")</f>
        <v>https://forum.finance.ua/memberlist.php?mode=viewprofile&amp;u=58503</v>
      </c>
      <c r="N2443" t="s">
        <v>70</v>
      </c>
      <c r="O2443" t="s">
        <v>4</v>
      </c>
      <c r="P2443" s="2" t="str">
        <f>HYPERLINK("https://forum.finance.ua/topic209265.html?p=4340562#p4340562")</f>
        <v>https://forum.finance.ua/topic209265.html?p=4340562#p4340562</v>
      </c>
      <c r="R2443" t="s">
        <v>6066</v>
      </c>
      <c r="S2443" t="s">
        <v>6073</v>
      </c>
    </row>
    <row r="2444" spans="1:19" ht="14.25" customHeight="1" x14ac:dyDescent="0.3">
      <c r="A2444" t="s">
        <v>4439</v>
      </c>
      <c r="B2444" t="s">
        <v>4433</v>
      </c>
      <c r="C2444" t="s">
        <v>3538</v>
      </c>
      <c r="D2444" t="s">
        <v>179</v>
      </c>
      <c r="E2444" t="s">
        <v>4985</v>
      </c>
      <c r="F2444" t="s">
        <v>6056</v>
      </c>
      <c r="G2444" s="2" t="str">
        <f>HYPERLINK("https://forum.finance.ua/topic209265.html?p=4337142#p4337142")</f>
        <v>https://forum.finance.ua/topic209265.html?p=4337142#p4337142</v>
      </c>
      <c r="H2444" t="s">
        <v>6060</v>
      </c>
      <c r="I2444" t="s">
        <v>278</v>
      </c>
      <c r="J2444" s="2" t="str">
        <f>HYPERLINK("https://forum.finance.ua/memberlist.php?mode=viewprofile&amp;u=29059")</f>
        <v>https://forum.finance.ua/memberlist.php?mode=viewprofile&amp;u=29059</v>
      </c>
      <c r="N2444" t="s">
        <v>70</v>
      </c>
      <c r="O2444" t="s">
        <v>4</v>
      </c>
      <c r="P2444" s="2" t="str">
        <f>HYPERLINK("https://forum.finance.ua/topic209265.html?p=4337142#p4337142")</f>
        <v>https://forum.finance.ua/topic209265.html?p=4337142#p4337142</v>
      </c>
      <c r="R2444" t="s">
        <v>6066</v>
      </c>
      <c r="S2444" t="s">
        <v>6073</v>
      </c>
    </row>
    <row r="2445" spans="1:19" ht="14.25" customHeight="1" x14ac:dyDescent="0.3">
      <c r="A2445" t="s">
        <v>4439</v>
      </c>
      <c r="B2445" t="s">
        <v>621</v>
      </c>
      <c r="C2445" t="s">
        <v>3538</v>
      </c>
      <c r="D2445" t="s">
        <v>179</v>
      </c>
      <c r="E2445" t="s">
        <v>4975</v>
      </c>
      <c r="F2445" t="s">
        <v>6056</v>
      </c>
      <c r="G2445" s="2" t="str">
        <f>HYPERLINK("https://forum.finance.ua/topic209265.html?p=4337151#p4337151")</f>
        <v>https://forum.finance.ua/topic209265.html?p=4337151#p4337151</v>
      </c>
      <c r="H2445" t="s">
        <v>6060</v>
      </c>
      <c r="I2445" t="s">
        <v>278</v>
      </c>
      <c r="J2445" s="2" t="str">
        <f>HYPERLINK("https://forum.finance.ua/memberlist.php?mode=viewprofile&amp;u=29059")</f>
        <v>https://forum.finance.ua/memberlist.php?mode=viewprofile&amp;u=29059</v>
      </c>
      <c r="N2445" t="s">
        <v>70</v>
      </c>
      <c r="O2445" t="s">
        <v>4</v>
      </c>
      <c r="P2445" s="2" t="str">
        <f>HYPERLINK("https://forum.finance.ua/topic209265.html?p=4337151#p4337151")</f>
        <v>https://forum.finance.ua/topic209265.html?p=4337151#p4337151</v>
      </c>
      <c r="R2445" t="s">
        <v>6066</v>
      </c>
      <c r="S2445" t="s">
        <v>6073</v>
      </c>
    </row>
    <row r="2446" spans="1:19" ht="14.25" customHeight="1" x14ac:dyDescent="0.3">
      <c r="A2446" t="s">
        <v>1</v>
      </c>
      <c r="B2446" t="s">
        <v>286</v>
      </c>
      <c r="C2446" t="s">
        <v>95</v>
      </c>
      <c r="D2446" t="s">
        <v>179</v>
      </c>
      <c r="E2446" t="s">
        <v>287</v>
      </c>
      <c r="F2446" t="s">
        <v>6056</v>
      </c>
      <c r="G2446" s="2" t="str">
        <f>HYPERLINK("https://forum.finance.ua/topic209265.html?p=4340474#p4340474")</f>
        <v>https://forum.finance.ua/topic209265.html?p=4340474#p4340474</v>
      </c>
      <c r="H2446" t="s">
        <v>6060</v>
      </c>
      <c r="I2446" t="s">
        <v>278</v>
      </c>
      <c r="J2446" s="2" t="str">
        <f>HYPERLINK("https://forum.finance.ua/memberlist.php?mode=viewprofile&amp;u=29059")</f>
        <v>https://forum.finance.ua/memberlist.php?mode=viewprofile&amp;u=29059</v>
      </c>
      <c r="N2446" t="s">
        <v>70</v>
      </c>
      <c r="O2446" t="s">
        <v>4</v>
      </c>
      <c r="P2446" s="2" t="str">
        <f>HYPERLINK("https://forum.finance.ua/topic209265.html?p=4340474#p4340474")</f>
        <v>https://forum.finance.ua/topic209265.html?p=4340474#p4340474</v>
      </c>
      <c r="R2446" t="s">
        <v>6066</v>
      </c>
      <c r="S2446" t="s">
        <v>6073</v>
      </c>
    </row>
    <row r="2447" spans="1:19" ht="14.25" customHeight="1" x14ac:dyDescent="0.3">
      <c r="A2447" t="s">
        <v>3527</v>
      </c>
      <c r="B2447" t="s">
        <v>2536</v>
      </c>
      <c r="C2447" t="s">
        <v>95</v>
      </c>
      <c r="D2447" t="s">
        <v>179</v>
      </c>
      <c r="E2447" t="s">
        <v>3668</v>
      </c>
      <c r="F2447" t="s">
        <v>6056</v>
      </c>
      <c r="G2447" s="2" t="str">
        <f>HYPERLINK("https://forum.finance.ua/topic209265.html?p=4338472#p4338472")</f>
        <v>https://forum.finance.ua/topic209265.html?p=4338472#p4338472</v>
      </c>
      <c r="H2447" t="s">
        <v>6060</v>
      </c>
      <c r="I2447" t="s">
        <v>270</v>
      </c>
      <c r="J2447" s="2" t="str">
        <f>HYPERLINK("https://forum.finance.ua/memberlist.php?mode=viewprofile&amp;u=78433")</f>
        <v>https://forum.finance.ua/memberlist.php?mode=viewprofile&amp;u=78433</v>
      </c>
      <c r="N2447" t="s">
        <v>70</v>
      </c>
      <c r="O2447" t="s">
        <v>4</v>
      </c>
      <c r="P2447" s="2" t="str">
        <f>HYPERLINK("https://forum.finance.ua/topic209265.html?p=4338472#p4338472")</f>
        <v>https://forum.finance.ua/topic209265.html?p=4338472#p4338472</v>
      </c>
      <c r="R2447" t="s">
        <v>6066</v>
      </c>
      <c r="S2447" t="s">
        <v>6073</v>
      </c>
    </row>
    <row r="2448" spans="1:19" ht="14.25" customHeight="1" x14ac:dyDescent="0.3">
      <c r="A2448" t="s">
        <v>4439</v>
      </c>
      <c r="B2448" t="s">
        <v>4979</v>
      </c>
      <c r="C2448" t="s">
        <v>3538</v>
      </c>
      <c r="D2448" t="s">
        <v>179</v>
      </c>
      <c r="E2448" t="s">
        <v>4980</v>
      </c>
      <c r="F2448" t="s">
        <v>6056</v>
      </c>
      <c r="G2448" s="2" t="str">
        <f>HYPERLINK("https://forum.finance.ua/topic209265.html?p=4337149#p4337149")</f>
        <v>https://forum.finance.ua/topic209265.html?p=4337149#p4337149</v>
      </c>
      <c r="H2448" t="s">
        <v>6060</v>
      </c>
      <c r="I2448" t="s">
        <v>4951</v>
      </c>
      <c r="J2448" s="2" t="str">
        <f>HYPERLINK("https://forum.finance.ua/memberlist.php?mode=viewprofile&amp;u=14412")</f>
        <v>https://forum.finance.ua/memberlist.php?mode=viewprofile&amp;u=14412</v>
      </c>
      <c r="N2448" t="s">
        <v>70</v>
      </c>
      <c r="O2448" t="s">
        <v>4</v>
      </c>
      <c r="P2448" s="2" t="str">
        <f>HYPERLINK("https://forum.finance.ua/topic209265.html?p=4337149#p4337149")</f>
        <v>https://forum.finance.ua/topic209265.html?p=4337149#p4337149</v>
      </c>
      <c r="R2448" t="s">
        <v>6066</v>
      </c>
      <c r="S2448" t="s">
        <v>6073</v>
      </c>
    </row>
    <row r="2449" spans="1:19" ht="14.25" customHeight="1" x14ac:dyDescent="0.3">
      <c r="A2449" t="s">
        <v>2225</v>
      </c>
      <c r="B2449" t="s">
        <v>1401</v>
      </c>
      <c r="C2449" t="s">
        <v>95</v>
      </c>
      <c r="D2449" t="s">
        <v>179</v>
      </c>
      <c r="E2449" t="s">
        <v>3284</v>
      </c>
      <c r="F2449" t="s">
        <v>6056</v>
      </c>
      <c r="G2449" s="2" t="str">
        <f>HYPERLINK("https://forum.finance.ua/topic209265.html?p=4338926#p4338926")</f>
        <v>https://forum.finance.ua/topic209265.html?p=4338926#p4338926</v>
      </c>
      <c r="H2449" t="s">
        <v>6060</v>
      </c>
      <c r="I2449" t="s">
        <v>249</v>
      </c>
      <c r="J2449" s="2" t="str">
        <f>HYPERLINK("https://forum.finance.ua/memberlist.php?mode=viewprofile&amp;u=72535")</f>
        <v>https://forum.finance.ua/memberlist.php?mode=viewprofile&amp;u=72535</v>
      </c>
      <c r="N2449" t="s">
        <v>70</v>
      </c>
      <c r="O2449" t="s">
        <v>4</v>
      </c>
      <c r="P2449" s="2" t="str">
        <f>HYPERLINK("https://forum.finance.ua/topic209265.html?p=4338926#p4338926")</f>
        <v>https://forum.finance.ua/topic209265.html?p=4338926#p4338926</v>
      </c>
      <c r="R2449" t="s">
        <v>6066</v>
      </c>
      <c r="S2449" t="s">
        <v>6073</v>
      </c>
    </row>
    <row r="2450" spans="1:19" ht="14.25" customHeight="1" x14ac:dyDescent="0.3">
      <c r="A2450" t="s">
        <v>1</v>
      </c>
      <c r="B2450" t="s">
        <v>245</v>
      </c>
      <c r="C2450" t="s">
        <v>95</v>
      </c>
      <c r="D2450" t="s">
        <v>179</v>
      </c>
      <c r="E2450" t="s">
        <v>248</v>
      </c>
      <c r="F2450" t="s">
        <v>6056</v>
      </c>
      <c r="G2450" s="2" t="str">
        <f>HYPERLINK("https://forum.finance.ua/topic209265.html?p=4340525#p4340525")</f>
        <v>https://forum.finance.ua/topic209265.html?p=4340525#p4340525</v>
      </c>
      <c r="H2450" t="s">
        <v>6060</v>
      </c>
      <c r="I2450" t="s">
        <v>249</v>
      </c>
      <c r="J2450" s="2" t="str">
        <f>HYPERLINK("https://forum.finance.ua/memberlist.php?mode=viewprofile&amp;u=72535")</f>
        <v>https://forum.finance.ua/memberlist.php?mode=viewprofile&amp;u=72535</v>
      </c>
      <c r="N2450" t="s">
        <v>70</v>
      </c>
      <c r="O2450" t="s">
        <v>4</v>
      </c>
      <c r="P2450" s="2" t="str">
        <f>HYPERLINK("https://forum.finance.ua/topic209265.html?p=4340525#p4340525")</f>
        <v>https://forum.finance.ua/topic209265.html?p=4340525#p4340525</v>
      </c>
      <c r="R2450" t="s">
        <v>6066</v>
      </c>
      <c r="S2450" t="s">
        <v>6073</v>
      </c>
    </row>
    <row r="2451" spans="1:19" ht="14.25" customHeight="1" x14ac:dyDescent="0.3">
      <c r="A2451" t="s">
        <v>4439</v>
      </c>
      <c r="B2451" t="s">
        <v>579</v>
      </c>
      <c r="C2451" t="s">
        <v>3538</v>
      </c>
      <c r="D2451" t="s">
        <v>179</v>
      </c>
      <c r="E2451" t="s">
        <v>4949</v>
      </c>
      <c r="F2451" t="s">
        <v>6056</v>
      </c>
      <c r="G2451" s="2" t="str">
        <f>HYPERLINK("https://forum.finance.ua/topic209265.html?p=4337160#p4337160")</f>
        <v>https://forum.finance.ua/topic209265.html?p=4337160#p4337160</v>
      </c>
      <c r="H2451" t="s">
        <v>6060</v>
      </c>
      <c r="I2451" t="s">
        <v>772</v>
      </c>
      <c r="J2451" s="2" t="str">
        <f>HYPERLINK("https://forum.finance.ua/memberlist.php?mode=viewprofile&amp;u=46832")</f>
        <v>https://forum.finance.ua/memberlist.php?mode=viewprofile&amp;u=46832</v>
      </c>
      <c r="N2451" t="s">
        <v>70</v>
      </c>
      <c r="O2451" t="s">
        <v>4</v>
      </c>
      <c r="P2451" s="2" t="str">
        <f>HYPERLINK("https://forum.finance.ua/topic209265.html?p=4337160#p4337160")</f>
        <v>https://forum.finance.ua/topic209265.html?p=4337160#p4337160</v>
      </c>
      <c r="R2451" t="s">
        <v>6066</v>
      </c>
      <c r="S2451" t="s">
        <v>6073</v>
      </c>
    </row>
    <row r="2452" spans="1:19" ht="14.25" customHeight="1" x14ac:dyDescent="0.3">
      <c r="A2452" t="s">
        <v>3527</v>
      </c>
      <c r="B2452" t="s">
        <v>2556</v>
      </c>
      <c r="C2452" t="s">
        <v>95</v>
      </c>
      <c r="D2452" t="s">
        <v>179</v>
      </c>
      <c r="E2452" t="s">
        <v>3670</v>
      </c>
      <c r="F2452" t="s">
        <v>6056</v>
      </c>
      <c r="G2452" s="2" t="str">
        <f>HYPERLINK("https://forum.finance.ua/topic209265.html?p=4338471#p4338471")</f>
        <v>https://forum.finance.ua/topic209265.html?p=4338471#p4338471</v>
      </c>
      <c r="H2452" t="s">
        <v>6060</v>
      </c>
      <c r="I2452" t="s">
        <v>772</v>
      </c>
      <c r="J2452" s="2" t="str">
        <f>HYPERLINK("https://forum.finance.ua/memberlist.php?mode=viewprofile&amp;u=46832")</f>
        <v>https://forum.finance.ua/memberlist.php?mode=viewprofile&amp;u=46832</v>
      </c>
      <c r="N2452" t="s">
        <v>70</v>
      </c>
      <c r="O2452" t="s">
        <v>4</v>
      </c>
      <c r="P2452" s="2" t="str">
        <f>HYPERLINK("https://forum.finance.ua/topic209265.html?p=4338471#p4338471")</f>
        <v>https://forum.finance.ua/topic209265.html?p=4338471#p4338471</v>
      </c>
      <c r="R2452" t="s">
        <v>6066</v>
      </c>
      <c r="S2452" t="s">
        <v>6073</v>
      </c>
    </row>
    <row r="2453" spans="1:19" ht="14.25" customHeight="1" x14ac:dyDescent="0.3">
      <c r="A2453" t="s">
        <v>629</v>
      </c>
      <c r="B2453" t="s">
        <v>770</v>
      </c>
      <c r="C2453" t="s">
        <v>95</v>
      </c>
      <c r="D2453" t="s">
        <v>179</v>
      </c>
      <c r="E2453" t="s">
        <v>771</v>
      </c>
      <c r="F2453" t="s">
        <v>6056</v>
      </c>
      <c r="G2453" s="2" t="str">
        <f>HYPERLINK("https://forum.finance.ua/topic209265.html?p=4340186#p4340186")</f>
        <v>https://forum.finance.ua/topic209265.html?p=4340186#p4340186</v>
      </c>
      <c r="H2453" t="s">
        <v>6060</v>
      </c>
      <c r="I2453" t="s">
        <v>772</v>
      </c>
      <c r="J2453" s="2" t="str">
        <f>HYPERLINK("https://forum.finance.ua/memberlist.php?mode=viewprofile&amp;u=46832")</f>
        <v>https://forum.finance.ua/memberlist.php?mode=viewprofile&amp;u=46832</v>
      </c>
      <c r="N2453" t="s">
        <v>70</v>
      </c>
      <c r="O2453" t="s">
        <v>4</v>
      </c>
      <c r="P2453" s="2" t="str">
        <f>HYPERLINK("https://forum.finance.ua/topic209265.html?p=4340186#p4340186")</f>
        <v>https://forum.finance.ua/topic209265.html?p=4340186#p4340186</v>
      </c>
      <c r="R2453" t="s">
        <v>6066</v>
      </c>
      <c r="S2453" t="s">
        <v>6073</v>
      </c>
    </row>
    <row r="2454" spans="1:19" ht="14.25" customHeight="1" x14ac:dyDescent="0.3">
      <c r="A2454" t="s">
        <v>4439</v>
      </c>
      <c r="B2454" t="s">
        <v>238</v>
      </c>
      <c r="C2454" t="s">
        <v>3538</v>
      </c>
      <c r="D2454" t="s">
        <v>179</v>
      </c>
      <c r="E2454" t="s">
        <v>4732</v>
      </c>
      <c r="F2454" t="s">
        <v>6056</v>
      </c>
      <c r="G2454" s="2" t="str">
        <f>HYPERLINK("https://forum.finance.ua/topic209265.html?p=4337279#p4337279")</f>
        <v>https://forum.finance.ua/topic209265.html?p=4337279#p4337279</v>
      </c>
      <c r="H2454" t="s">
        <v>6060</v>
      </c>
      <c r="I2454" t="s">
        <v>4008</v>
      </c>
      <c r="J2454" s="2" t="str">
        <f>HYPERLINK("https://forum.finance.ua/memberlist.php?mode=viewprofile&amp;u=112341")</f>
        <v>https://forum.finance.ua/memberlist.php?mode=viewprofile&amp;u=112341</v>
      </c>
      <c r="N2454" t="s">
        <v>70</v>
      </c>
      <c r="O2454" t="s">
        <v>4</v>
      </c>
      <c r="P2454" s="2" t="str">
        <f>HYPERLINK("https://forum.finance.ua/topic209265.html?p=4337279#p4337279")</f>
        <v>https://forum.finance.ua/topic209265.html?p=4337279#p4337279</v>
      </c>
      <c r="R2454" t="s">
        <v>6066</v>
      </c>
      <c r="S2454" t="s">
        <v>6073</v>
      </c>
    </row>
    <row r="2455" spans="1:19" ht="14.25" customHeight="1" x14ac:dyDescent="0.3">
      <c r="A2455" t="s">
        <v>4439</v>
      </c>
      <c r="B2455" t="s">
        <v>4058</v>
      </c>
      <c r="C2455" t="s">
        <v>3538</v>
      </c>
      <c r="D2455" t="s">
        <v>179</v>
      </c>
      <c r="E2455" t="s">
        <v>4613</v>
      </c>
      <c r="F2455" t="s">
        <v>6056</v>
      </c>
      <c r="G2455" s="2" t="str">
        <f>HYPERLINK("https://forum.finance.ua/topic209265.html?p=4337423#p4337423")</f>
        <v>https://forum.finance.ua/topic209265.html?p=4337423#p4337423</v>
      </c>
      <c r="H2455" t="s">
        <v>6060</v>
      </c>
      <c r="I2455" t="s">
        <v>4008</v>
      </c>
      <c r="J2455" s="2" t="str">
        <f>HYPERLINK("https://forum.finance.ua/memberlist.php?mode=viewprofile&amp;u=112341")</f>
        <v>https://forum.finance.ua/memberlist.php?mode=viewprofile&amp;u=112341</v>
      </c>
      <c r="N2455" t="s">
        <v>70</v>
      </c>
      <c r="O2455" t="s">
        <v>4</v>
      </c>
      <c r="P2455" s="2" t="str">
        <f>HYPERLINK("https://forum.finance.ua/topic209265.html?p=4337423#p4337423")</f>
        <v>https://forum.finance.ua/topic209265.html?p=4337423#p4337423</v>
      </c>
      <c r="R2455" t="s">
        <v>6066</v>
      </c>
      <c r="S2455" t="s">
        <v>6073</v>
      </c>
    </row>
    <row r="2456" spans="1:19" ht="14.25" customHeight="1" x14ac:dyDescent="0.3">
      <c r="A2456" t="s">
        <v>1</v>
      </c>
      <c r="B2456" t="s">
        <v>203</v>
      </c>
      <c r="C2456" t="s">
        <v>95</v>
      </c>
      <c r="D2456" t="s">
        <v>179</v>
      </c>
      <c r="E2456" t="s">
        <v>204</v>
      </c>
      <c r="F2456" t="s">
        <v>6056</v>
      </c>
      <c r="G2456" s="2" t="str">
        <f>HYPERLINK("https://forum.finance.ua/topic209265.html?p=4340555#p4340555")</f>
        <v>https://forum.finance.ua/topic209265.html?p=4340555#p4340555</v>
      </c>
      <c r="H2456" t="s">
        <v>6060</v>
      </c>
      <c r="I2456" t="s">
        <v>205</v>
      </c>
      <c r="J2456" s="2" t="str">
        <f>HYPERLINK("https://forum.finance.ua/memberlist.php?mode=viewprofile&amp;u=63899")</f>
        <v>https://forum.finance.ua/memberlist.php?mode=viewprofile&amp;u=63899</v>
      </c>
      <c r="N2456" t="s">
        <v>70</v>
      </c>
      <c r="O2456" t="s">
        <v>4</v>
      </c>
      <c r="P2456" s="2" t="str">
        <f>HYPERLINK("https://forum.finance.ua/topic209265.html?p=4340555#p4340555")</f>
        <v>https://forum.finance.ua/topic209265.html?p=4340555#p4340555</v>
      </c>
      <c r="R2456" t="s">
        <v>6066</v>
      </c>
      <c r="S2456" t="s">
        <v>6073</v>
      </c>
    </row>
    <row r="2457" spans="1:19" ht="14.25" customHeight="1" x14ac:dyDescent="0.3">
      <c r="A2457" t="s">
        <v>3527</v>
      </c>
      <c r="B2457" t="s">
        <v>2364</v>
      </c>
      <c r="C2457" t="s">
        <v>95</v>
      </c>
      <c r="D2457" t="s">
        <v>179</v>
      </c>
      <c r="E2457" t="s">
        <v>3644</v>
      </c>
      <c r="F2457" t="s">
        <v>6056</v>
      </c>
      <c r="G2457" s="2" t="str">
        <f>HYPERLINK("https://forum.finance.ua/topic209265.html?p=4338510#p4338510")</f>
        <v>https://forum.finance.ua/topic209265.html?p=4338510#p4338510</v>
      </c>
      <c r="H2457" t="s">
        <v>6060</v>
      </c>
      <c r="I2457" t="s">
        <v>902</v>
      </c>
      <c r="J2457" s="2" t="str">
        <f>HYPERLINK("https://forum.finance.ua/memberlist.php?mode=viewprofile&amp;u=87437")</f>
        <v>https://forum.finance.ua/memberlist.php?mode=viewprofile&amp;u=87437</v>
      </c>
      <c r="N2457" t="s">
        <v>70</v>
      </c>
      <c r="O2457" t="s">
        <v>4</v>
      </c>
      <c r="P2457" s="2" t="str">
        <f>HYPERLINK("https://forum.finance.ua/topic209265.html?p=4338510#p4338510")</f>
        <v>https://forum.finance.ua/topic209265.html?p=4338510#p4338510</v>
      </c>
      <c r="R2457" t="s">
        <v>6066</v>
      </c>
      <c r="S2457" t="s">
        <v>6073</v>
      </c>
    </row>
    <row r="2458" spans="1:19" ht="14.25" customHeight="1" x14ac:dyDescent="0.3">
      <c r="A2458" t="s">
        <v>3527</v>
      </c>
      <c r="B2458" t="s">
        <v>2356</v>
      </c>
      <c r="C2458" t="s">
        <v>95</v>
      </c>
      <c r="D2458" t="s">
        <v>179</v>
      </c>
      <c r="E2458" t="s">
        <v>3638</v>
      </c>
      <c r="F2458" t="s">
        <v>6056</v>
      </c>
      <c r="G2458" s="2" t="str">
        <f>HYPERLINK("https://forum.finance.ua/topic209265.html?p=4338516#p4338516")</f>
        <v>https://forum.finance.ua/topic209265.html?p=4338516#p4338516</v>
      </c>
      <c r="H2458" t="s">
        <v>6060</v>
      </c>
      <c r="I2458" t="s">
        <v>902</v>
      </c>
      <c r="J2458" s="2" t="str">
        <f>HYPERLINK("https://forum.finance.ua/memberlist.php?mode=viewprofile&amp;u=87437")</f>
        <v>https://forum.finance.ua/memberlist.php?mode=viewprofile&amp;u=87437</v>
      </c>
      <c r="N2458" t="s">
        <v>70</v>
      </c>
      <c r="O2458" t="s">
        <v>4</v>
      </c>
      <c r="P2458" s="2" t="str">
        <f>HYPERLINK("https://forum.finance.ua/topic209265.html?p=4338516#p4338516")</f>
        <v>https://forum.finance.ua/topic209265.html?p=4338516#p4338516</v>
      </c>
      <c r="R2458" t="s">
        <v>6066</v>
      </c>
      <c r="S2458" t="s">
        <v>6073</v>
      </c>
    </row>
    <row r="2459" spans="1:19" ht="14.25" customHeight="1" x14ac:dyDescent="0.3">
      <c r="A2459" t="s">
        <v>3527</v>
      </c>
      <c r="B2459" t="s">
        <v>793</v>
      </c>
      <c r="C2459" t="s">
        <v>95</v>
      </c>
      <c r="D2459" t="s">
        <v>179</v>
      </c>
      <c r="E2459" t="s">
        <v>3746</v>
      </c>
      <c r="F2459" t="s">
        <v>6056</v>
      </c>
      <c r="G2459" s="2" t="str">
        <f>HYPERLINK("https://forum.finance.ua/topic209265.html?p=4338424#p4338424")</f>
        <v>https://forum.finance.ua/topic209265.html?p=4338424#p4338424</v>
      </c>
      <c r="H2459" t="s">
        <v>6060</v>
      </c>
      <c r="I2459" t="s">
        <v>902</v>
      </c>
      <c r="J2459" s="2" t="str">
        <f>HYPERLINK("https://forum.finance.ua/memberlist.php?mode=viewprofile&amp;u=87437")</f>
        <v>https://forum.finance.ua/memberlist.php?mode=viewprofile&amp;u=87437</v>
      </c>
      <c r="N2459" t="s">
        <v>70</v>
      </c>
      <c r="O2459" t="s">
        <v>4</v>
      </c>
      <c r="P2459" s="2" t="str">
        <f>HYPERLINK("https://forum.finance.ua/topic209265.html?p=4338424#p4338424")</f>
        <v>https://forum.finance.ua/topic209265.html?p=4338424#p4338424</v>
      </c>
      <c r="R2459" t="s">
        <v>6066</v>
      </c>
      <c r="S2459" t="s">
        <v>6073</v>
      </c>
    </row>
    <row r="2460" spans="1:19" ht="14.25" customHeight="1" x14ac:dyDescent="0.3">
      <c r="A2460" t="s">
        <v>3527</v>
      </c>
      <c r="B2460" t="s">
        <v>3796</v>
      </c>
      <c r="C2460" t="s">
        <v>95</v>
      </c>
      <c r="D2460" t="s">
        <v>179</v>
      </c>
      <c r="E2460" t="s">
        <v>3800</v>
      </c>
      <c r="F2460" t="s">
        <v>6056</v>
      </c>
      <c r="G2460" s="2" t="str">
        <f>HYPERLINK("https://forum.finance.ua/topic209265.html?p=4338399#p4338399")</f>
        <v>https://forum.finance.ua/topic209265.html?p=4338399#p4338399</v>
      </c>
      <c r="H2460" t="s">
        <v>6060</v>
      </c>
      <c r="I2460" t="s">
        <v>3801</v>
      </c>
      <c r="J2460" s="2" t="str">
        <f>HYPERLINK("https://forum.finance.ua/memberlist.php?mode=viewprofile&amp;u=23788")</f>
        <v>https://forum.finance.ua/memberlist.php?mode=viewprofile&amp;u=23788</v>
      </c>
      <c r="N2460" t="s">
        <v>70</v>
      </c>
      <c r="O2460" t="s">
        <v>4</v>
      </c>
      <c r="P2460" s="2" t="str">
        <f>HYPERLINK("https://forum.finance.ua/topic209265.html?p=4338399#p4338399")</f>
        <v>https://forum.finance.ua/topic209265.html?p=4338399#p4338399</v>
      </c>
      <c r="R2460" t="s">
        <v>6066</v>
      </c>
      <c r="S2460" t="s">
        <v>6073</v>
      </c>
    </row>
    <row r="2461" spans="1:19" ht="14.25" customHeight="1" x14ac:dyDescent="0.3">
      <c r="A2461" t="s">
        <v>5409</v>
      </c>
      <c r="B2461" t="s">
        <v>286</v>
      </c>
      <c r="C2461" t="s">
        <v>3538</v>
      </c>
      <c r="D2461" t="s">
        <v>179</v>
      </c>
      <c r="E2461" t="s">
        <v>5820</v>
      </c>
      <c r="F2461" t="s">
        <v>6056</v>
      </c>
      <c r="G2461" s="2" t="str">
        <f>HYPERLINK("https://forum.finance.ua/topic209265.html?p=4335948#p4335948")</f>
        <v>https://forum.finance.ua/topic209265.html?p=4335948#p4335948</v>
      </c>
      <c r="H2461" t="s">
        <v>6060</v>
      </c>
      <c r="I2461" t="s">
        <v>5821</v>
      </c>
      <c r="J2461" s="2" t="str">
        <f>HYPERLINK("https://forum.finance.ua/memberlist.php?mode=viewprofile&amp;u=49961")</f>
        <v>https://forum.finance.ua/memberlist.php?mode=viewprofile&amp;u=49961</v>
      </c>
      <c r="N2461" t="s">
        <v>70</v>
      </c>
      <c r="O2461" t="s">
        <v>4</v>
      </c>
      <c r="P2461" s="2" t="str">
        <f>HYPERLINK("https://forum.finance.ua/topic209265.html?p=4335948#p4335948")</f>
        <v>https://forum.finance.ua/topic209265.html?p=4335948#p4335948</v>
      </c>
      <c r="R2461" t="s">
        <v>6066</v>
      </c>
      <c r="S2461" t="s">
        <v>6073</v>
      </c>
    </row>
    <row r="2462" spans="1:19" ht="14.25" customHeight="1" x14ac:dyDescent="0.3">
      <c r="A2462" t="s">
        <v>4995</v>
      </c>
      <c r="B2462" t="s">
        <v>2702</v>
      </c>
      <c r="C2462" t="s">
        <v>3538</v>
      </c>
      <c r="D2462" t="s">
        <v>179</v>
      </c>
      <c r="E2462" t="s">
        <v>5046</v>
      </c>
      <c r="F2462" t="s">
        <v>6056</v>
      </c>
      <c r="G2462" s="2" t="str">
        <f>HYPERLINK("https://forum.finance.ua/topic209265.html?p=4337052#p4337052")</f>
        <v>https://forum.finance.ua/topic209265.html?p=4337052#p4337052</v>
      </c>
      <c r="H2462" t="s">
        <v>6060</v>
      </c>
      <c r="I2462" t="s">
        <v>247</v>
      </c>
      <c r="J2462" s="2" t="str">
        <f>HYPERLINK("https://forum.finance.ua/memberlist.php?mode=viewprofile&amp;u=48446")</f>
        <v>https://forum.finance.ua/memberlist.php?mode=viewprofile&amp;u=48446</v>
      </c>
      <c r="N2462" t="s">
        <v>70</v>
      </c>
      <c r="O2462" t="s">
        <v>4</v>
      </c>
      <c r="P2462" s="2" t="str">
        <f>HYPERLINK("https://forum.finance.ua/topic209265.html?p=4337052#p4337052")</f>
        <v>https://forum.finance.ua/topic209265.html?p=4337052#p4337052</v>
      </c>
      <c r="R2462" t="s">
        <v>6066</v>
      </c>
      <c r="S2462" t="s">
        <v>6073</v>
      </c>
    </row>
    <row r="2463" spans="1:19" ht="14.25" customHeight="1" x14ac:dyDescent="0.3">
      <c r="A2463" t="s">
        <v>629</v>
      </c>
      <c r="B2463" t="s">
        <v>885</v>
      </c>
      <c r="C2463" t="s">
        <v>95</v>
      </c>
      <c r="D2463" t="s">
        <v>179</v>
      </c>
      <c r="E2463" t="s">
        <v>886</v>
      </c>
      <c r="F2463" t="s">
        <v>6056</v>
      </c>
      <c r="G2463" s="2" t="str">
        <f>HYPERLINK("https://forum.finance.ua/topic209265.html?p=4340134#p4340134")</f>
        <v>https://forum.finance.ua/topic209265.html?p=4340134#p4340134</v>
      </c>
      <c r="H2463" t="s">
        <v>6060</v>
      </c>
      <c r="I2463" t="s">
        <v>247</v>
      </c>
      <c r="J2463" s="2" t="str">
        <f>HYPERLINK("https://forum.finance.ua/memberlist.php?mode=viewprofile&amp;u=48446")</f>
        <v>https://forum.finance.ua/memberlist.php?mode=viewprofile&amp;u=48446</v>
      </c>
      <c r="N2463" t="s">
        <v>70</v>
      </c>
      <c r="O2463" t="s">
        <v>4</v>
      </c>
      <c r="P2463" s="2" t="str">
        <f>HYPERLINK("https://forum.finance.ua/topic209265.html?p=4340134#p4340134")</f>
        <v>https://forum.finance.ua/topic209265.html?p=4340134#p4340134</v>
      </c>
      <c r="R2463" t="s">
        <v>6066</v>
      </c>
      <c r="S2463" t="s">
        <v>6073</v>
      </c>
    </row>
    <row r="2464" spans="1:19" ht="14.25" customHeight="1" x14ac:dyDescent="0.3">
      <c r="A2464" t="s">
        <v>1</v>
      </c>
      <c r="B2464" t="s">
        <v>245</v>
      </c>
      <c r="C2464" t="s">
        <v>95</v>
      </c>
      <c r="D2464" t="s">
        <v>179</v>
      </c>
      <c r="E2464" t="s">
        <v>246</v>
      </c>
      <c r="F2464" t="s">
        <v>6056</v>
      </c>
      <c r="G2464" s="2" t="str">
        <f>HYPERLINK("https://forum.finance.ua/topic209265.html?p=4340526#p4340526")</f>
        <v>https://forum.finance.ua/topic209265.html?p=4340526#p4340526</v>
      </c>
      <c r="H2464" t="s">
        <v>6060</v>
      </c>
      <c r="I2464" t="s">
        <v>247</v>
      </c>
      <c r="J2464" s="2" t="str">
        <f>HYPERLINK("https://forum.finance.ua/memberlist.php?mode=viewprofile&amp;u=48446")</f>
        <v>https://forum.finance.ua/memberlist.php?mode=viewprofile&amp;u=48446</v>
      </c>
      <c r="N2464" t="s">
        <v>70</v>
      </c>
      <c r="O2464" t="s">
        <v>4</v>
      </c>
      <c r="P2464" s="2" t="str">
        <f>HYPERLINK("https://forum.finance.ua/topic209265.html?p=4340526#p4340526")</f>
        <v>https://forum.finance.ua/topic209265.html?p=4340526#p4340526</v>
      </c>
      <c r="R2464" t="s">
        <v>6066</v>
      </c>
      <c r="S2464" t="s">
        <v>6073</v>
      </c>
    </row>
    <row r="2465" spans="1:19" ht="14.25" customHeight="1" x14ac:dyDescent="0.3">
      <c r="A2465" t="s">
        <v>4439</v>
      </c>
      <c r="B2465" t="s">
        <v>977</v>
      </c>
      <c r="C2465" t="s">
        <v>3538</v>
      </c>
      <c r="D2465" t="s">
        <v>179</v>
      </c>
      <c r="E2465" t="s">
        <v>4598</v>
      </c>
      <c r="F2465" t="s">
        <v>6056</v>
      </c>
      <c r="G2465" s="2" t="str">
        <f>HYPERLINK("https://forum.finance.ua/topic209265.html?p=4337478#p4337478")</f>
        <v>https://forum.finance.ua/topic209265.html?p=4337478#p4337478</v>
      </c>
      <c r="H2465" t="s">
        <v>6060</v>
      </c>
      <c r="I2465" t="s">
        <v>4599</v>
      </c>
      <c r="J2465" s="2" t="str">
        <f>HYPERLINK("https://forum.finance.ua/memberlist.php?mode=viewprofile&amp;u=109156")</f>
        <v>https://forum.finance.ua/memberlist.php?mode=viewprofile&amp;u=109156</v>
      </c>
      <c r="N2465" t="s">
        <v>70</v>
      </c>
      <c r="O2465" t="s">
        <v>4</v>
      </c>
      <c r="P2465" s="2" t="str">
        <f>HYPERLINK("https://forum.finance.ua/topic209265.html?p=4337478#p4337478")</f>
        <v>https://forum.finance.ua/topic209265.html?p=4337478#p4337478</v>
      </c>
      <c r="R2465" t="s">
        <v>6066</v>
      </c>
      <c r="S2465" t="s">
        <v>6073</v>
      </c>
    </row>
    <row r="2466" spans="1:19" ht="14.25" customHeight="1" x14ac:dyDescent="0.3">
      <c r="A2466" t="s">
        <v>4439</v>
      </c>
      <c r="B2466" t="s">
        <v>1791</v>
      </c>
      <c r="C2466" t="s">
        <v>3538</v>
      </c>
      <c r="D2466" t="s">
        <v>179</v>
      </c>
      <c r="E2466" t="s">
        <v>4833</v>
      </c>
      <c r="F2466" t="s">
        <v>6056</v>
      </c>
      <c r="G2466" s="2" t="str">
        <f>HYPERLINK("https://forum.finance.ua/topic209265.html?p=4337199#p4337199")</f>
        <v>https://forum.finance.ua/topic209265.html?p=4337199#p4337199</v>
      </c>
      <c r="H2466" t="s">
        <v>6060</v>
      </c>
      <c r="I2466" t="s">
        <v>4714</v>
      </c>
      <c r="J2466" s="2" t="str">
        <f>HYPERLINK("https://forum.finance.ua/memberlist.php?mode=viewprofile&amp;u=96358")</f>
        <v>https://forum.finance.ua/memberlist.php?mode=viewprofile&amp;u=96358</v>
      </c>
      <c r="N2466" t="s">
        <v>70</v>
      </c>
      <c r="O2466" t="s">
        <v>4</v>
      </c>
      <c r="P2466" s="2" t="str">
        <f>HYPERLINK("https://forum.finance.ua/topic209265.html?p=4337199#p4337199")</f>
        <v>https://forum.finance.ua/topic209265.html?p=4337199#p4337199</v>
      </c>
      <c r="R2466" t="s">
        <v>6066</v>
      </c>
      <c r="S2466" t="s">
        <v>6073</v>
      </c>
    </row>
    <row r="2467" spans="1:19" ht="14.25" customHeight="1" x14ac:dyDescent="0.3">
      <c r="A2467" t="s">
        <v>1</v>
      </c>
      <c r="B2467" t="s">
        <v>178</v>
      </c>
      <c r="C2467" t="s">
        <v>95</v>
      </c>
      <c r="D2467" t="s">
        <v>179</v>
      </c>
      <c r="E2467" t="s">
        <v>180</v>
      </c>
      <c r="F2467" t="s">
        <v>6056</v>
      </c>
      <c r="G2467" s="2" t="str">
        <f>HYPERLINK("https://forum.finance.ua/topic209265.html?p=4340565#p4340565")</f>
        <v>https://forum.finance.ua/topic209265.html?p=4340565#p4340565</v>
      </c>
      <c r="H2467" t="s">
        <v>6060</v>
      </c>
      <c r="I2467" t="s">
        <v>181</v>
      </c>
      <c r="J2467" s="2" t="str">
        <f>HYPERLINK("https://forum.finance.ua/memberlist.php?mode=viewprofile&amp;u=98260")</f>
        <v>https://forum.finance.ua/memberlist.php?mode=viewprofile&amp;u=98260</v>
      </c>
      <c r="N2467" t="s">
        <v>70</v>
      </c>
      <c r="O2467" t="s">
        <v>4</v>
      </c>
      <c r="P2467" s="2" t="str">
        <f>HYPERLINK("https://forum.finance.ua/topic209265.html?p=4340565#p4340565")</f>
        <v>https://forum.finance.ua/topic209265.html?p=4340565#p4340565</v>
      </c>
      <c r="R2467" t="s">
        <v>6066</v>
      </c>
      <c r="S2467" t="s">
        <v>6073</v>
      </c>
    </row>
    <row r="2468" spans="1:19" ht="14.25" customHeight="1" x14ac:dyDescent="0.3">
      <c r="A2468" t="s">
        <v>1</v>
      </c>
      <c r="B2468" t="s">
        <v>252</v>
      </c>
      <c r="C2468" t="s">
        <v>95</v>
      </c>
      <c r="D2468" t="s">
        <v>179</v>
      </c>
      <c r="E2468" t="s">
        <v>255</v>
      </c>
      <c r="F2468" t="s">
        <v>6056</v>
      </c>
      <c r="G2468" s="2" t="str">
        <f>HYPERLINK("https://forum.finance.ua/topic209265.html?p=4340514#p4340514")</f>
        <v>https://forum.finance.ua/topic209265.html?p=4340514#p4340514</v>
      </c>
      <c r="H2468" t="s">
        <v>6060</v>
      </c>
      <c r="I2468" t="s">
        <v>181</v>
      </c>
      <c r="J2468" s="2" t="str">
        <f>HYPERLINK("https://forum.finance.ua/memberlist.php?mode=viewprofile&amp;u=98260")</f>
        <v>https://forum.finance.ua/memberlist.php?mode=viewprofile&amp;u=98260</v>
      </c>
      <c r="N2468" t="s">
        <v>70</v>
      </c>
      <c r="O2468" t="s">
        <v>4</v>
      </c>
      <c r="P2468" s="2" t="str">
        <f>HYPERLINK("https://forum.finance.ua/topic209265.html?p=4340514#p4340514")</f>
        <v>https://forum.finance.ua/topic209265.html?p=4340514#p4340514</v>
      </c>
      <c r="R2468" t="s">
        <v>6066</v>
      </c>
      <c r="S2468" t="s">
        <v>6073</v>
      </c>
    </row>
    <row r="2469" spans="1:19" ht="14.25" customHeight="1" x14ac:dyDescent="0.3">
      <c r="A2469" t="s">
        <v>1</v>
      </c>
      <c r="B2469" t="s">
        <v>279</v>
      </c>
      <c r="C2469" t="s">
        <v>95</v>
      </c>
      <c r="D2469" t="s">
        <v>179</v>
      </c>
      <c r="E2469" t="s">
        <v>281</v>
      </c>
      <c r="F2469" t="s">
        <v>6056</v>
      </c>
      <c r="G2469" s="2" t="str">
        <f>HYPERLINK("https://forum.finance.ua/topic209265.html?p=4340478#p4340478")</f>
        <v>https://forum.finance.ua/topic209265.html?p=4340478#p4340478</v>
      </c>
      <c r="H2469" t="s">
        <v>6062</v>
      </c>
      <c r="I2469" t="s">
        <v>282</v>
      </c>
      <c r="J2469" s="2" t="str">
        <f>HYPERLINK("https://forum.finance.ua/memberlist.php?mode=viewprofile&amp;u=113756")</f>
        <v>https://forum.finance.ua/memberlist.php?mode=viewprofile&amp;u=113756</v>
      </c>
      <c r="N2469" t="s">
        <v>70</v>
      </c>
      <c r="O2469" t="s">
        <v>4</v>
      </c>
      <c r="P2469" s="2" t="str">
        <f>HYPERLINK("https://forum.finance.ua/topic209265.html?p=4340478#p4340478")</f>
        <v>https://forum.finance.ua/topic209265.html?p=4340478#p4340478</v>
      </c>
      <c r="R2469" t="s">
        <v>6066</v>
      </c>
      <c r="S2469" t="s">
        <v>6073</v>
      </c>
    </row>
    <row r="2470" spans="1:19" ht="14.25" customHeight="1" x14ac:dyDescent="0.3">
      <c r="A2470" t="s">
        <v>1</v>
      </c>
      <c r="B2470" t="s">
        <v>345</v>
      </c>
      <c r="C2470" t="s">
        <v>95</v>
      </c>
      <c r="D2470" t="s">
        <v>179</v>
      </c>
      <c r="E2470" t="s">
        <v>346</v>
      </c>
      <c r="F2470" t="s">
        <v>6056</v>
      </c>
      <c r="G2470" s="2" t="str">
        <f>HYPERLINK("https://forum.finance.ua/topic209265.html?p=4340439#p4340439")</f>
        <v>https://forum.finance.ua/topic209265.html?p=4340439#p4340439</v>
      </c>
      <c r="H2470" t="s">
        <v>6062</v>
      </c>
      <c r="I2470" t="s">
        <v>347</v>
      </c>
      <c r="J2470" s="2" t="str">
        <f>HYPERLINK("https://forum.finance.ua/memberlist.php?mode=viewprofile&amp;u=29749")</f>
        <v>https://forum.finance.ua/memberlist.php?mode=viewprofile&amp;u=29749</v>
      </c>
      <c r="N2470" t="s">
        <v>70</v>
      </c>
      <c r="O2470" t="s">
        <v>4</v>
      </c>
      <c r="P2470" s="2" t="str">
        <f>HYPERLINK("https://forum.finance.ua/topic209265.html?p=4340439#p4340439")</f>
        <v>https://forum.finance.ua/topic209265.html?p=4340439#p4340439</v>
      </c>
      <c r="R2470" t="s">
        <v>6066</v>
      </c>
      <c r="S2470" t="s">
        <v>6073</v>
      </c>
    </row>
    <row r="2471" spans="1:19" ht="14.25" customHeight="1" x14ac:dyDescent="0.3">
      <c r="A2471" t="s">
        <v>5409</v>
      </c>
      <c r="B2471" t="s">
        <v>1772</v>
      </c>
      <c r="C2471" t="s">
        <v>3538</v>
      </c>
      <c r="D2471" t="s">
        <v>179</v>
      </c>
      <c r="E2471" t="s">
        <v>5878</v>
      </c>
      <c r="F2471" t="s">
        <v>6056</v>
      </c>
      <c r="G2471" s="2" t="str">
        <f>HYPERLINK("https://forum.finance.ua/topic209265.html?p=4335858#p4335858")</f>
        <v>https://forum.finance.ua/topic209265.html?p=4335858#p4335858</v>
      </c>
      <c r="H2471" t="s">
        <v>6062</v>
      </c>
      <c r="I2471" t="s">
        <v>4491</v>
      </c>
      <c r="J2471" s="2" t="str">
        <f>HYPERLINK("https://forum.finance.ua/memberlist.php?mode=viewprofile&amp;u=37542")</f>
        <v>https://forum.finance.ua/memberlist.php?mode=viewprofile&amp;u=37542</v>
      </c>
      <c r="N2471" t="s">
        <v>70</v>
      </c>
      <c r="O2471" t="s">
        <v>4</v>
      </c>
      <c r="P2471" s="2" t="str">
        <f>HYPERLINK("https://forum.finance.ua/topic209265.html?p=4335858#p4335858")</f>
        <v>https://forum.finance.ua/topic209265.html?p=4335858#p4335858</v>
      </c>
      <c r="R2471" t="s">
        <v>6066</v>
      </c>
      <c r="S2471" t="s">
        <v>6073</v>
      </c>
    </row>
    <row r="2472" spans="1:19" ht="14.25" customHeight="1" x14ac:dyDescent="0.3">
      <c r="A2472" t="s">
        <v>4995</v>
      </c>
      <c r="B2472" t="s">
        <v>3732</v>
      </c>
      <c r="C2472" t="s">
        <v>3538</v>
      </c>
      <c r="D2472" t="s">
        <v>179</v>
      </c>
      <c r="E2472" t="s">
        <v>5066</v>
      </c>
      <c r="F2472" t="s">
        <v>6056</v>
      </c>
      <c r="G2472" s="2" t="str">
        <f>HYPERLINK("https://forum.finance.ua/topic209265.html?p=4337020#p4337020")</f>
        <v>https://forum.finance.ua/topic209265.html?p=4337020#p4337020</v>
      </c>
      <c r="H2472" t="s">
        <v>6062</v>
      </c>
      <c r="I2472" t="s">
        <v>4491</v>
      </c>
      <c r="J2472" s="2" t="str">
        <f>HYPERLINK("https://forum.finance.ua/memberlist.php?mode=viewprofile&amp;u=37542")</f>
        <v>https://forum.finance.ua/memberlist.php?mode=viewprofile&amp;u=37542</v>
      </c>
      <c r="N2472" t="s">
        <v>70</v>
      </c>
      <c r="O2472" t="s">
        <v>4</v>
      </c>
      <c r="P2472" s="2" t="str">
        <f>HYPERLINK("https://forum.finance.ua/topic209265.html?p=4337020#p4337020")</f>
        <v>https://forum.finance.ua/topic209265.html?p=4337020#p4337020</v>
      </c>
      <c r="R2472" t="s">
        <v>6066</v>
      </c>
      <c r="S2472" t="s">
        <v>6073</v>
      </c>
    </row>
    <row r="2473" spans="1:19" ht="14.25" customHeight="1" x14ac:dyDescent="0.3">
      <c r="A2473" t="s">
        <v>4439</v>
      </c>
      <c r="B2473" t="s">
        <v>373</v>
      </c>
      <c r="C2473" t="s">
        <v>3538</v>
      </c>
      <c r="D2473" t="s">
        <v>179</v>
      </c>
      <c r="E2473" t="s">
        <v>4815</v>
      </c>
      <c r="F2473" t="s">
        <v>6056</v>
      </c>
      <c r="G2473" s="2" t="str">
        <f>HYPERLINK("https://forum.finance.ua/topic209265.html?p=4337219#p4337219")</f>
        <v>https://forum.finance.ua/topic209265.html?p=4337219#p4337219</v>
      </c>
      <c r="H2473" t="s">
        <v>6062</v>
      </c>
      <c r="I2473" t="s">
        <v>4491</v>
      </c>
      <c r="J2473" s="2" t="str">
        <f>HYPERLINK("https://forum.finance.ua/memberlist.php?mode=viewprofile&amp;u=37542")</f>
        <v>https://forum.finance.ua/memberlist.php?mode=viewprofile&amp;u=37542</v>
      </c>
      <c r="N2473" t="s">
        <v>70</v>
      </c>
      <c r="O2473" t="s">
        <v>4</v>
      </c>
      <c r="P2473" s="2" t="str">
        <f>HYPERLINK("https://forum.finance.ua/topic209265.html?p=4337219#p4337219")</f>
        <v>https://forum.finance.ua/topic209265.html?p=4337219#p4337219</v>
      </c>
      <c r="R2473" t="s">
        <v>6066</v>
      </c>
      <c r="S2473" t="s">
        <v>6073</v>
      </c>
    </row>
    <row r="2474" spans="1:19" ht="14.25" customHeight="1" x14ac:dyDescent="0.3">
      <c r="A2474" t="s">
        <v>4439</v>
      </c>
      <c r="B2474" t="s">
        <v>2556</v>
      </c>
      <c r="C2474" t="s">
        <v>3538</v>
      </c>
      <c r="D2474" t="s">
        <v>179</v>
      </c>
      <c r="E2474" t="s">
        <v>4490</v>
      </c>
      <c r="F2474" t="s">
        <v>6056</v>
      </c>
      <c r="G2474" s="2" t="str">
        <f>HYPERLINK("https://forum.finance.ua/topic209265.html?p=4337605#p4337605")</f>
        <v>https://forum.finance.ua/topic209265.html?p=4337605#p4337605</v>
      </c>
      <c r="H2474" t="s">
        <v>6062</v>
      </c>
      <c r="I2474" t="s">
        <v>4491</v>
      </c>
      <c r="J2474" s="2" t="str">
        <f>HYPERLINK("https://forum.finance.ua/memberlist.php?mode=viewprofile&amp;u=37542")</f>
        <v>https://forum.finance.ua/memberlist.php?mode=viewprofile&amp;u=37542</v>
      </c>
      <c r="N2474" t="s">
        <v>70</v>
      </c>
      <c r="O2474" t="s">
        <v>4</v>
      </c>
      <c r="P2474" s="2" t="str">
        <f>HYPERLINK("https://forum.finance.ua/topic209265.html?p=4337605#p4337605")</f>
        <v>https://forum.finance.ua/topic209265.html?p=4337605#p4337605</v>
      </c>
      <c r="R2474" t="s">
        <v>6066</v>
      </c>
      <c r="S2474" t="s">
        <v>6073</v>
      </c>
    </row>
    <row r="2475" spans="1:19" ht="14.25" customHeight="1" x14ac:dyDescent="0.3">
      <c r="A2475" t="s">
        <v>5409</v>
      </c>
      <c r="B2475" t="s">
        <v>3585</v>
      </c>
      <c r="C2475" t="s">
        <v>3538</v>
      </c>
      <c r="D2475" t="s">
        <v>179</v>
      </c>
      <c r="E2475" t="s">
        <v>5439</v>
      </c>
      <c r="F2475" t="s">
        <v>6056</v>
      </c>
      <c r="G2475" s="2" t="str">
        <f>HYPERLINK("https://forum.finance.ua/topic209265.html?p=4336551#p4336551")</f>
        <v>https://forum.finance.ua/topic209265.html?p=4336551#p4336551</v>
      </c>
      <c r="H2475" t="s">
        <v>6062</v>
      </c>
      <c r="I2475" t="s">
        <v>5440</v>
      </c>
      <c r="J2475" s="2" t="str">
        <f>HYPERLINK("https://forum.finance.ua/memberlist.php?mode=viewprofile&amp;u=113165")</f>
        <v>https://forum.finance.ua/memberlist.php?mode=viewprofile&amp;u=113165</v>
      </c>
      <c r="N2475" t="s">
        <v>70</v>
      </c>
      <c r="O2475" t="s">
        <v>4</v>
      </c>
      <c r="P2475" s="2" t="str">
        <f>HYPERLINK("https://forum.finance.ua/topic209265.html?p=4336551#p4336551")</f>
        <v>https://forum.finance.ua/topic209265.html?p=4336551#p4336551</v>
      </c>
      <c r="R2475" t="s">
        <v>6066</v>
      </c>
      <c r="S2475" t="s">
        <v>6073</v>
      </c>
    </row>
    <row r="2476" spans="1:19" ht="14.25" customHeight="1" x14ac:dyDescent="0.3">
      <c r="A2476" t="s">
        <v>5409</v>
      </c>
      <c r="B2476" t="s">
        <v>3597</v>
      </c>
      <c r="C2476" t="s">
        <v>3538</v>
      </c>
      <c r="D2476" t="s">
        <v>179</v>
      </c>
      <c r="E2476" t="s">
        <v>5450</v>
      </c>
      <c r="F2476" t="s">
        <v>6056</v>
      </c>
      <c r="G2476" s="2" t="str">
        <f>HYPERLINK("https://forum.finance.ua/topic209265.html?p=4336546#p4336546")</f>
        <v>https://forum.finance.ua/topic209265.html?p=4336546#p4336546</v>
      </c>
      <c r="H2476" t="s">
        <v>6062</v>
      </c>
      <c r="I2476" t="s">
        <v>5440</v>
      </c>
      <c r="J2476" s="2" t="str">
        <f>HYPERLINK("https://forum.finance.ua/memberlist.php?mode=viewprofile&amp;u=113165")</f>
        <v>https://forum.finance.ua/memberlist.php?mode=viewprofile&amp;u=113165</v>
      </c>
      <c r="N2476" t="s">
        <v>70</v>
      </c>
      <c r="O2476" t="s">
        <v>4</v>
      </c>
      <c r="P2476" s="2" t="str">
        <f>HYPERLINK("https://forum.finance.ua/topic209265.html?p=4336546#p4336546")</f>
        <v>https://forum.finance.ua/topic209265.html?p=4336546#p4336546</v>
      </c>
      <c r="R2476" t="s">
        <v>6066</v>
      </c>
      <c r="S2476" t="s">
        <v>6073</v>
      </c>
    </row>
    <row r="2477" spans="1:19" ht="14.25" customHeight="1" x14ac:dyDescent="0.3">
      <c r="A2477" t="s">
        <v>2225</v>
      </c>
      <c r="B2477" t="s">
        <v>2913</v>
      </c>
      <c r="C2477" t="s">
        <v>95</v>
      </c>
      <c r="D2477" t="s">
        <v>179</v>
      </c>
      <c r="E2477" t="s">
        <v>2914</v>
      </c>
      <c r="F2477" t="s">
        <v>6056</v>
      </c>
      <c r="G2477" s="2" t="str">
        <f>HYPERLINK("https://forum.finance.ua/topic209265.html?p=4339340#p4339340")</f>
        <v>https://forum.finance.ua/topic209265.html?p=4339340#p4339340</v>
      </c>
      <c r="H2477" t="s">
        <v>6062</v>
      </c>
      <c r="I2477" t="s">
        <v>2915</v>
      </c>
      <c r="J2477" s="2" t="str">
        <f>HYPERLINK("https://forum.finance.ua/memberlist.php?mode=viewprofile&amp;u=67084")</f>
        <v>https://forum.finance.ua/memberlist.php?mode=viewprofile&amp;u=67084</v>
      </c>
      <c r="N2477" t="s">
        <v>70</v>
      </c>
      <c r="O2477" t="s">
        <v>4</v>
      </c>
      <c r="P2477" s="2" t="str">
        <f>HYPERLINK("https://forum.finance.ua/topic209265.html?p=4339340#p4339340")</f>
        <v>https://forum.finance.ua/topic209265.html?p=4339340#p4339340</v>
      </c>
      <c r="R2477" t="s">
        <v>6066</v>
      </c>
      <c r="S2477" t="s">
        <v>6073</v>
      </c>
    </row>
    <row r="2478" spans="1:19" ht="14.25" customHeight="1" x14ac:dyDescent="0.3">
      <c r="A2478" t="s">
        <v>4995</v>
      </c>
      <c r="B2478" t="s">
        <v>3732</v>
      </c>
      <c r="C2478" t="s">
        <v>3538</v>
      </c>
      <c r="D2478" t="s">
        <v>179</v>
      </c>
      <c r="E2478" t="s">
        <v>5064</v>
      </c>
      <c r="F2478" t="s">
        <v>6056</v>
      </c>
      <c r="G2478" s="2" t="str">
        <f>HYPERLINK("https://forum.finance.ua/topic209265.html?p=4337022#p4337022")</f>
        <v>https://forum.finance.ua/topic209265.html?p=4337022#p4337022</v>
      </c>
      <c r="H2478" t="s">
        <v>6062</v>
      </c>
      <c r="I2478" t="s">
        <v>2915</v>
      </c>
      <c r="J2478" s="2" t="str">
        <f>HYPERLINK("https://forum.finance.ua/memberlist.php?mode=viewprofile&amp;u=67084")</f>
        <v>https://forum.finance.ua/memberlist.php?mode=viewprofile&amp;u=67084</v>
      </c>
      <c r="N2478" t="s">
        <v>70</v>
      </c>
      <c r="O2478" t="s">
        <v>4</v>
      </c>
      <c r="P2478" s="2" t="str">
        <f>HYPERLINK("https://forum.finance.ua/topic209265.html?p=4337022#p4337022")</f>
        <v>https://forum.finance.ua/topic209265.html?p=4337022#p4337022</v>
      </c>
      <c r="R2478" t="s">
        <v>6066</v>
      </c>
      <c r="S2478" t="s">
        <v>6073</v>
      </c>
    </row>
    <row r="2479" spans="1:19" ht="14.25" customHeight="1" x14ac:dyDescent="0.3">
      <c r="A2479" t="s">
        <v>4995</v>
      </c>
      <c r="B2479" t="s">
        <v>3732</v>
      </c>
      <c r="C2479" t="s">
        <v>3538</v>
      </c>
      <c r="D2479" t="s">
        <v>179</v>
      </c>
      <c r="E2479" t="s">
        <v>5065</v>
      </c>
      <c r="F2479" t="s">
        <v>6056</v>
      </c>
      <c r="G2479" s="2" t="str">
        <f>HYPERLINK("https://forum.finance.ua/topic209265.html?p=4337021#p4337021")</f>
        <v>https://forum.finance.ua/topic209265.html?p=4337021#p4337021</v>
      </c>
      <c r="H2479" t="s">
        <v>6062</v>
      </c>
      <c r="I2479" t="s">
        <v>4742</v>
      </c>
      <c r="J2479" s="2" t="str">
        <f>HYPERLINK("https://forum.finance.ua/memberlist.php?mode=viewprofile&amp;u=25737")</f>
        <v>https://forum.finance.ua/memberlist.php?mode=viewprofile&amp;u=25737</v>
      </c>
      <c r="N2479" t="s">
        <v>70</v>
      </c>
      <c r="O2479" t="s">
        <v>4</v>
      </c>
      <c r="P2479" s="2" t="str">
        <f>HYPERLINK("https://forum.finance.ua/topic209265.html?p=4337021#p4337021")</f>
        <v>https://forum.finance.ua/topic209265.html?p=4337021#p4337021</v>
      </c>
      <c r="R2479" t="s">
        <v>6066</v>
      </c>
      <c r="S2479" t="s">
        <v>6073</v>
      </c>
    </row>
    <row r="2480" spans="1:19" ht="14.25" customHeight="1" x14ac:dyDescent="0.3">
      <c r="A2480" t="s">
        <v>4439</v>
      </c>
      <c r="B2480" t="s">
        <v>4271</v>
      </c>
      <c r="C2480" t="s">
        <v>3538</v>
      </c>
      <c r="D2480" t="s">
        <v>179</v>
      </c>
      <c r="E2480" t="s">
        <v>4741</v>
      </c>
      <c r="F2480" t="s">
        <v>6056</v>
      </c>
      <c r="G2480" s="2" t="str">
        <f>HYPERLINK("https://forum.finance.ua/topic209265.html?p=4337271#p4337271")</f>
        <v>https://forum.finance.ua/topic209265.html?p=4337271#p4337271</v>
      </c>
      <c r="H2480" t="s">
        <v>6062</v>
      </c>
      <c r="I2480" t="s">
        <v>4742</v>
      </c>
      <c r="J2480" s="2" t="str">
        <f>HYPERLINK("https://forum.finance.ua/memberlist.php?mode=viewprofile&amp;u=25737")</f>
        <v>https://forum.finance.ua/memberlist.php?mode=viewprofile&amp;u=25737</v>
      </c>
      <c r="N2480" t="s">
        <v>70</v>
      </c>
      <c r="O2480" t="s">
        <v>4</v>
      </c>
      <c r="P2480" s="2" t="str">
        <f>HYPERLINK("https://forum.finance.ua/topic209265.html?p=4337271#p4337271")</f>
        <v>https://forum.finance.ua/topic209265.html?p=4337271#p4337271</v>
      </c>
      <c r="R2480" t="s">
        <v>6066</v>
      </c>
      <c r="S2480" t="s">
        <v>6073</v>
      </c>
    </row>
    <row r="2481" spans="1:19" ht="14.25" customHeight="1" x14ac:dyDescent="0.3">
      <c r="A2481" t="s">
        <v>4439</v>
      </c>
      <c r="B2481" t="s">
        <v>4987</v>
      </c>
      <c r="C2481" t="s">
        <v>3538</v>
      </c>
      <c r="D2481" t="s">
        <v>179</v>
      </c>
      <c r="E2481" t="s">
        <v>4989</v>
      </c>
      <c r="F2481" t="s">
        <v>6056</v>
      </c>
      <c r="G2481" s="2" t="str">
        <f>HYPERLINK("https://forum.finance.ua/topic209265.html?p=4337138#p4337138")</f>
        <v>https://forum.finance.ua/topic209265.html?p=4337138#p4337138</v>
      </c>
      <c r="H2481" t="s">
        <v>6062</v>
      </c>
      <c r="I2481" t="s">
        <v>4742</v>
      </c>
      <c r="J2481" s="2" t="str">
        <f>HYPERLINK("https://forum.finance.ua/memberlist.php?mode=viewprofile&amp;u=25737")</f>
        <v>https://forum.finance.ua/memberlist.php?mode=viewprofile&amp;u=25737</v>
      </c>
      <c r="N2481" t="s">
        <v>70</v>
      </c>
      <c r="O2481" t="s">
        <v>4</v>
      </c>
      <c r="P2481" s="2" t="str">
        <f>HYPERLINK("https://forum.finance.ua/topic209265.html?p=4337138#p4337138")</f>
        <v>https://forum.finance.ua/topic209265.html?p=4337138#p4337138</v>
      </c>
      <c r="R2481" t="s">
        <v>6066</v>
      </c>
      <c r="S2481" t="s">
        <v>6073</v>
      </c>
    </row>
    <row r="2482" spans="1:19" ht="14.25" customHeight="1" x14ac:dyDescent="0.3">
      <c r="A2482" t="s">
        <v>5409</v>
      </c>
      <c r="B2482" t="s">
        <v>1496</v>
      </c>
      <c r="C2482" t="s">
        <v>3538</v>
      </c>
      <c r="D2482" t="s">
        <v>179</v>
      </c>
      <c r="E2482" t="s">
        <v>5817</v>
      </c>
      <c r="F2482" t="s">
        <v>6056</v>
      </c>
      <c r="G2482" s="2" t="str">
        <f>HYPERLINK("https://forum.finance.ua/topic209265.html?p=4335954#p4335954")</f>
        <v>https://forum.finance.ua/topic209265.html?p=4335954#p4335954</v>
      </c>
      <c r="H2482" t="s">
        <v>6062</v>
      </c>
      <c r="I2482" t="s">
        <v>254</v>
      </c>
      <c r="J2482" s="2" t="str">
        <f>HYPERLINK("https://forum.finance.ua/memberlist.php?mode=viewprofile&amp;u=8196")</f>
        <v>https://forum.finance.ua/memberlist.php?mode=viewprofile&amp;u=8196</v>
      </c>
      <c r="N2482" t="s">
        <v>70</v>
      </c>
      <c r="O2482" t="s">
        <v>4</v>
      </c>
      <c r="P2482" s="2" t="str">
        <f>HYPERLINK("https://forum.finance.ua/topic209265.html?p=4335954#p4335954")</f>
        <v>https://forum.finance.ua/topic209265.html?p=4335954#p4335954</v>
      </c>
      <c r="R2482" t="s">
        <v>6066</v>
      </c>
      <c r="S2482" t="s">
        <v>6073</v>
      </c>
    </row>
    <row r="2483" spans="1:19" ht="14.25" customHeight="1" x14ac:dyDescent="0.3">
      <c r="A2483" t="s">
        <v>4439</v>
      </c>
      <c r="B2483" t="s">
        <v>4085</v>
      </c>
      <c r="C2483" t="s">
        <v>3538</v>
      </c>
      <c r="D2483" t="s">
        <v>179</v>
      </c>
      <c r="E2483" t="s">
        <v>4624</v>
      </c>
      <c r="F2483" t="s">
        <v>6056</v>
      </c>
      <c r="G2483" s="2" t="str">
        <f>HYPERLINK("https://forum.finance.ua/topic209265.html?p=4337397#p4337397")</f>
        <v>https://forum.finance.ua/topic209265.html?p=4337397#p4337397</v>
      </c>
      <c r="H2483" t="s">
        <v>6062</v>
      </c>
      <c r="I2483" t="s">
        <v>254</v>
      </c>
      <c r="J2483" s="2" t="str">
        <f>HYPERLINK("https://forum.finance.ua/memberlist.php?mode=viewprofile&amp;u=8196")</f>
        <v>https://forum.finance.ua/memberlist.php?mode=viewprofile&amp;u=8196</v>
      </c>
      <c r="N2483" t="s">
        <v>70</v>
      </c>
      <c r="O2483" t="s">
        <v>4</v>
      </c>
      <c r="P2483" s="2" t="str">
        <f>HYPERLINK("https://forum.finance.ua/topic209265.html?p=4337397#p4337397")</f>
        <v>https://forum.finance.ua/topic209265.html?p=4337397#p4337397</v>
      </c>
      <c r="R2483" t="s">
        <v>6066</v>
      </c>
      <c r="S2483" t="s">
        <v>6073</v>
      </c>
    </row>
    <row r="2484" spans="1:19" ht="14.25" customHeight="1" x14ac:dyDescent="0.3">
      <c r="A2484" t="s">
        <v>4439</v>
      </c>
      <c r="B2484" t="s">
        <v>2547</v>
      </c>
      <c r="C2484" t="s">
        <v>3538</v>
      </c>
      <c r="D2484" t="s">
        <v>179</v>
      </c>
      <c r="E2484" t="s">
        <v>4489</v>
      </c>
      <c r="F2484" t="s">
        <v>6056</v>
      </c>
      <c r="G2484" s="2" t="str">
        <f>HYPERLINK("https://forum.finance.ua/topic209265.html?p=4337606#p4337606")</f>
        <v>https://forum.finance.ua/topic209265.html?p=4337606#p4337606</v>
      </c>
      <c r="H2484" t="s">
        <v>6062</v>
      </c>
      <c r="I2484" t="s">
        <v>254</v>
      </c>
      <c r="J2484" s="2" t="str">
        <f>HYPERLINK("https://forum.finance.ua/memberlist.php?mode=viewprofile&amp;u=8196")</f>
        <v>https://forum.finance.ua/memberlist.php?mode=viewprofile&amp;u=8196</v>
      </c>
      <c r="N2484" t="s">
        <v>70</v>
      </c>
      <c r="O2484" t="s">
        <v>4</v>
      </c>
      <c r="P2484" s="2" t="str">
        <f>HYPERLINK("https://forum.finance.ua/topic209265.html?p=4337606#p4337606")</f>
        <v>https://forum.finance.ua/topic209265.html?p=4337606#p4337606</v>
      </c>
      <c r="R2484" t="s">
        <v>6066</v>
      </c>
      <c r="S2484" t="s">
        <v>6073</v>
      </c>
    </row>
    <row r="2485" spans="1:19" ht="14.25" customHeight="1" x14ac:dyDescent="0.3">
      <c r="A2485" t="s">
        <v>1</v>
      </c>
      <c r="B2485" t="s">
        <v>324</v>
      </c>
      <c r="C2485" t="s">
        <v>95</v>
      </c>
      <c r="D2485" t="s">
        <v>179</v>
      </c>
      <c r="E2485" t="s">
        <v>328</v>
      </c>
      <c r="F2485" t="s">
        <v>6056</v>
      </c>
      <c r="G2485" s="2" t="str">
        <f>HYPERLINK("https://forum.finance.ua/topic209265.html?p=4340451#p4340451")</f>
        <v>https://forum.finance.ua/topic209265.html?p=4340451#p4340451</v>
      </c>
      <c r="H2485" t="s">
        <v>6062</v>
      </c>
      <c r="I2485" t="s">
        <v>254</v>
      </c>
      <c r="J2485" s="2" t="str">
        <f>HYPERLINK("https://forum.finance.ua/memberlist.php?mode=viewprofile&amp;u=8196")</f>
        <v>https://forum.finance.ua/memberlist.php?mode=viewprofile&amp;u=8196</v>
      </c>
      <c r="N2485" t="s">
        <v>70</v>
      </c>
      <c r="O2485" t="s">
        <v>4</v>
      </c>
      <c r="P2485" s="2" t="str">
        <f>HYPERLINK("https://forum.finance.ua/topic209265.html?p=4340451#p4340451")</f>
        <v>https://forum.finance.ua/topic209265.html?p=4340451#p4340451</v>
      </c>
      <c r="R2485" t="s">
        <v>6066</v>
      </c>
      <c r="S2485" t="s">
        <v>6073</v>
      </c>
    </row>
    <row r="2486" spans="1:19" ht="14.25" customHeight="1" x14ac:dyDescent="0.3">
      <c r="A2486" t="s">
        <v>1</v>
      </c>
      <c r="B2486" t="s">
        <v>252</v>
      </c>
      <c r="C2486" t="s">
        <v>95</v>
      </c>
      <c r="D2486" t="s">
        <v>179</v>
      </c>
      <c r="E2486" t="s">
        <v>253</v>
      </c>
      <c r="F2486" t="s">
        <v>6056</v>
      </c>
      <c r="G2486" s="2" t="str">
        <f>HYPERLINK("https://forum.finance.ua/topic209265.html?p=4340516#p4340516")</f>
        <v>https://forum.finance.ua/topic209265.html?p=4340516#p4340516</v>
      </c>
      <c r="H2486" t="s">
        <v>6062</v>
      </c>
      <c r="I2486" t="s">
        <v>254</v>
      </c>
      <c r="J2486" s="2" t="str">
        <f>HYPERLINK("https://forum.finance.ua/memberlist.php?mode=viewprofile&amp;u=8196")</f>
        <v>https://forum.finance.ua/memberlist.php?mode=viewprofile&amp;u=8196</v>
      </c>
      <c r="N2486" t="s">
        <v>70</v>
      </c>
      <c r="O2486" t="s">
        <v>4</v>
      </c>
      <c r="P2486" s="2" t="str">
        <f>HYPERLINK("https://forum.finance.ua/topic209265.html?p=4340516#p4340516")</f>
        <v>https://forum.finance.ua/topic209265.html?p=4340516#p4340516</v>
      </c>
      <c r="R2486" t="s">
        <v>6066</v>
      </c>
      <c r="S2486" t="s">
        <v>6073</v>
      </c>
    </row>
    <row r="2487" spans="1:19" ht="14.25" customHeight="1" x14ac:dyDescent="0.3">
      <c r="A2487" t="s">
        <v>2225</v>
      </c>
      <c r="B2487" t="s">
        <v>3234</v>
      </c>
      <c r="C2487" t="s">
        <v>95</v>
      </c>
      <c r="D2487" t="s">
        <v>179</v>
      </c>
      <c r="E2487" t="s">
        <v>3236</v>
      </c>
      <c r="F2487" t="s">
        <v>6056</v>
      </c>
      <c r="G2487" s="2" t="str">
        <f>HYPERLINK("https://forum.finance.ua/topic209265.html?p=4339018#p4339018")</f>
        <v>https://forum.finance.ua/topic209265.html?p=4339018#p4339018</v>
      </c>
      <c r="H2487" t="s">
        <v>6062</v>
      </c>
      <c r="I2487" t="s">
        <v>3237</v>
      </c>
      <c r="J2487" s="2" t="str">
        <f>HYPERLINK("https://forum.finance.ua/memberlist.php?mode=viewprofile&amp;u=108733")</f>
        <v>https://forum.finance.ua/memberlist.php?mode=viewprofile&amp;u=108733</v>
      </c>
      <c r="N2487" t="s">
        <v>70</v>
      </c>
      <c r="O2487" t="s">
        <v>4</v>
      </c>
      <c r="P2487" s="2" t="str">
        <f>HYPERLINK("https://forum.finance.ua/topic209265.html?p=4339018#p4339018")</f>
        <v>https://forum.finance.ua/topic209265.html?p=4339018#p4339018</v>
      </c>
      <c r="R2487" t="s">
        <v>6066</v>
      </c>
      <c r="S2487" t="s">
        <v>6073</v>
      </c>
    </row>
    <row r="2488" spans="1:19" ht="14.25" customHeight="1" x14ac:dyDescent="0.3">
      <c r="A2488" t="s">
        <v>629</v>
      </c>
      <c r="B2488" t="s">
        <v>1074</v>
      </c>
      <c r="C2488" t="s">
        <v>95</v>
      </c>
      <c r="D2488" t="s">
        <v>67</v>
      </c>
      <c r="E2488" t="s">
        <v>1075</v>
      </c>
      <c r="F2488" t="s">
        <v>6056</v>
      </c>
      <c r="G2488" s="2" t="str">
        <f>HYPERLINK("https://forum.finance.ua/topic214577.html?p=4339993#p4339993")</f>
        <v>https://forum.finance.ua/topic214577.html?p=4339993#p4339993</v>
      </c>
      <c r="H2488" t="s">
        <v>6062</v>
      </c>
      <c r="I2488" t="s">
        <v>1076</v>
      </c>
      <c r="J2488" s="2" t="str">
        <f>HYPERLINK("https://forum.finance.ua/memberlist.php?mode=viewprofile&amp;u=114469")</f>
        <v>https://forum.finance.ua/memberlist.php?mode=viewprofile&amp;u=114469</v>
      </c>
      <c r="N2488" t="s">
        <v>70</v>
      </c>
      <c r="O2488" t="s">
        <v>4</v>
      </c>
      <c r="P2488" s="2" t="str">
        <f>HYPERLINK("https://forum.finance.ua/topic214577.html?p=4339993#p4339993")</f>
        <v>https://forum.finance.ua/topic214577.html?p=4339993#p4339993</v>
      </c>
      <c r="R2488" t="s">
        <v>6066</v>
      </c>
      <c r="S2488" t="s">
        <v>6073</v>
      </c>
    </row>
    <row r="2489" spans="1:19" ht="14.25" customHeight="1" x14ac:dyDescent="0.3">
      <c r="A2489" t="s">
        <v>3527</v>
      </c>
      <c r="B2489" t="s">
        <v>4004</v>
      </c>
      <c r="C2489" t="s">
        <v>95</v>
      </c>
      <c r="D2489" t="s">
        <v>179</v>
      </c>
      <c r="E2489" t="s">
        <v>4005</v>
      </c>
      <c r="F2489" t="s">
        <v>6056</v>
      </c>
      <c r="G2489" s="2" t="str">
        <f>HYPERLINK("https://forum.finance.ua/topic209265.html?p=4338282#p4338282")</f>
        <v>https://forum.finance.ua/topic209265.html?p=4338282#p4338282</v>
      </c>
      <c r="H2489" t="s">
        <v>6062</v>
      </c>
      <c r="I2489" t="s">
        <v>3618</v>
      </c>
      <c r="J2489" s="2" t="str">
        <f>HYPERLINK("https://forum.finance.ua/memberlist.php?mode=viewprofile&amp;u=57003")</f>
        <v>https://forum.finance.ua/memberlist.php?mode=viewprofile&amp;u=57003</v>
      </c>
      <c r="N2489" t="s">
        <v>70</v>
      </c>
      <c r="O2489" t="s">
        <v>4</v>
      </c>
      <c r="P2489" s="2" t="str">
        <f>HYPERLINK("https://forum.finance.ua/topic209265.html?p=4338282#p4338282")</f>
        <v>https://forum.finance.ua/topic209265.html?p=4338282#p4338282</v>
      </c>
      <c r="R2489" t="s">
        <v>6066</v>
      </c>
      <c r="S2489" t="s">
        <v>6073</v>
      </c>
    </row>
    <row r="2490" spans="1:19" ht="14.25" customHeight="1" x14ac:dyDescent="0.3">
      <c r="A2490" t="s">
        <v>3527</v>
      </c>
      <c r="B2490" t="s">
        <v>2346</v>
      </c>
      <c r="C2490" t="s">
        <v>95</v>
      </c>
      <c r="D2490" t="s">
        <v>179</v>
      </c>
      <c r="E2490" t="s">
        <v>3617</v>
      </c>
      <c r="F2490" t="s">
        <v>6056</v>
      </c>
      <c r="G2490" s="2" t="str">
        <f>HYPERLINK("https://forum.finance.ua/topic209265.html?p=4338524#p4338524")</f>
        <v>https://forum.finance.ua/topic209265.html?p=4338524#p4338524</v>
      </c>
      <c r="H2490" t="s">
        <v>6062</v>
      </c>
      <c r="I2490" t="s">
        <v>3618</v>
      </c>
      <c r="J2490" s="2" t="str">
        <f>HYPERLINK("https://forum.finance.ua/memberlist.php?mode=viewprofile&amp;u=57003")</f>
        <v>https://forum.finance.ua/memberlist.php?mode=viewprofile&amp;u=57003</v>
      </c>
      <c r="N2490" t="s">
        <v>70</v>
      </c>
      <c r="O2490" t="s">
        <v>4</v>
      </c>
      <c r="P2490" s="2" t="str">
        <f>HYPERLINK("https://forum.finance.ua/topic209265.html?p=4338524#p4338524")</f>
        <v>https://forum.finance.ua/topic209265.html?p=4338524#p4338524</v>
      </c>
      <c r="R2490" t="s">
        <v>6066</v>
      </c>
      <c r="S2490" t="s">
        <v>6073</v>
      </c>
    </row>
    <row r="2491" spans="1:19" ht="14.25" customHeight="1" x14ac:dyDescent="0.3">
      <c r="A2491" t="s">
        <v>3527</v>
      </c>
      <c r="B2491" t="s">
        <v>3835</v>
      </c>
      <c r="C2491" t="s">
        <v>95</v>
      </c>
      <c r="D2491" t="s">
        <v>179</v>
      </c>
      <c r="E2491" t="s">
        <v>3836</v>
      </c>
      <c r="F2491" t="s">
        <v>6056</v>
      </c>
      <c r="G2491" s="2" t="str">
        <f>HYPERLINK("https://forum.finance.ua/topic209265.html?p=4338386#p4338386")</f>
        <v>https://forum.finance.ua/topic209265.html?p=4338386#p4338386</v>
      </c>
      <c r="H2491" t="s">
        <v>6062</v>
      </c>
      <c r="I2491" t="s">
        <v>3618</v>
      </c>
      <c r="J2491" s="2" t="str">
        <f>HYPERLINK("https://forum.finance.ua/memberlist.php?mode=viewprofile&amp;u=57003")</f>
        <v>https://forum.finance.ua/memberlist.php?mode=viewprofile&amp;u=57003</v>
      </c>
      <c r="N2491" t="s">
        <v>70</v>
      </c>
      <c r="O2491" t="s">
        <v>4</v>
      </c>
      <c r="P2491" s="2" t="str">
        <f>HYPERLINK("https://forum.finance.ua/topic209265.html?p=4338386#p4338386")</f>
        <v>https://forum.finance.ua/topic209265.html?p=4338386#p4338386</v>
      </c>
      <c r="R2491" t="s">
        <v>6066</v>
      </c>
      <c r="S2491" t="s">
        <v>6073</v>
      </c>
    </row>
    <row r="2492" spans="1:19" ht="14.25" customHeight="1" x14ac:dyDescent="0.3">
      <c r="A2492" t="s">
        <v>4439</v>
      </c>
      <c r="B2492" t="s">
        <v>4095</v>
      </c>
      <c r="C2492" t="s">
        <v>3538</v>
      </c>
      <c r="D2492" t="s">
        <v>179</v>
      </c>
      <c r="E2492" t="s">
        <v>4635</v>
      </c>
      <c r="F2492" t="s">
        <v>6056</v>
      </c>
      <c r="G2492" s="2" t="str">
        <f>HYPERLINK("https://forum.finance.ua/topic209265.html?p=4337394#p4337394")</f>
        <v>https://forum.finance.ua/topic209265.html?p=4337394#p4337394</v>
      </c>
      <c r="H2492" t="s">
        <v>6062</v>
      </c>
      <c r="I2492" t="s">
        <v>4636</v>
      </c>
      <c r="J2492" s="2" t="str">
        <f>HYPERLINK("https://forum.finance.ua/memberlist.php?mode=viewprofile&amp;u=106326")</f>
        <v>https://forum.finance.ua/memberlist.php?mode=viewprofile&amp;u=106326</v>
      </c>
      <c r="L2492" t="s">
        <v>6063</v>
      </c>
      <c r="N2492" t="s">
        <v>70</v>
      </c>
      <c r="O2492" t="s">
        <v>4</v>
      </c>
      <c r="P2492" s="2" t="str">
        <f>HYPERLINK("https://forum.finance.ua/topic209265.html?p=4337394#p4337394")</f>
        <v>https://forum.finance.ua/topic209265.html?p=4337394#p4337394</v>
      </c>
      <c r="R2492" t="s">
        <v>6066</v>
      </c>
      <c r="S2492" t="s">
        <v>6073</v>
      </c>
    </row>
    <row r="2493" spans="1:19" ht="14.25" customHeight="1" x14ac:dyDescent="0.3">
      <c r="A2493" t="s">
        <v>629</v>
      </c>
      <c r="B2493" t="s">
        <v>672</v>
      </c>
      <c r="C2493" t="s">
        <v>95</v>
      </c>
      <c r="D2493" t="s">
        <v>179</v>
      </c>
      <c r="E2493" t="s">
        <v>673</v>
      </c>
      <c r="F2493" t="s">
        <v>6056</v>
      </c>
      <c r="G2493" s="2" t="str">
        <f>HYPERLINK("https://forum.finance.ua/topic209265.html?p=4340263#p4340263")</f>
        <v>https://forum.finance.ua/topic209265.html?p=4340263#p4340263</v>
      </c>
      <c r="H2493" t="s">
        <v>6062</v>
      </c>
      <c r="I2493" t="s">
        <v>674</v>
      </c>
      <c r="J2493" s="2" t="str">
        <f>HYPERLINK("https://forum.finance.ua/memberlist.php?mode=viewprofile&amp;u=24504")</f>
        <v>https://forum.finance.ua/memberlist.php?mode=viewprofile&amp;u=24504</v>
      </c>
      <c r="N2493" t="s">
        <v>70</v>
      </c>
      <c r="O2493" t="s">
        <v>4</v>
      </c>
      <c r="P2493" s="2" t="str">
        <f>HYPERLINK("https://forum.finance.ua/topic209265.html?p=4340263#p4340263")</f>
        <v>https://forum.finance.ua/topic209265.html?p=4340263#p4340263</v>
      </c>
      <c r="R2493" t="s">
        <v>6066</v>
      </c>
      <c r="S2493" t="s">
        <v>6073</v>
      </c>
    </row>
    <row r="2494" spans="1:19" ht="14.25" customHeight="1" x14ac:dyDescent="0.3">
      <c r="A2494" t="s">
        <v>629</v>
      </c>
      <c r="B2494" t="s">
        <v>910</v>
      </c>
      <c r="C2494" t="s">
        <v>95</v>
      </c>
      <c r="D2494" t="s">
        <v>179</v>
      </c>
      <c r="E2494" t="s">
        <v>911</v>
      </c>
      <c r="F2494" t="s">
        <v>6056</v>
      </c>
      <c r="G2494" s="2" t="str">
        <f>HYPERLINK("https://forum.finance.ua/topic209265.html?p=4340107#p4340107")</f>
        <v>https://forum.finance.ua/topic209265.html?p=4340107#p4340107</v>
      </c>
      <c r="H2494" t="s">
        <v>6062</v>
      </c>
      <c r="I2494" t="s">
        <v>674</v>
      </c>
      <c r="J2494" s="2" t="str">
        <f>HYPERLINK("https://forum.finance.ua/memberlist.php?mode=viewprofile&amp;u=24504")</f>
        <v>https://forum.finance.ua/memberlist.php?mode=viewprofile&amp;u=24504</v>
      </c>
      <c r="N2494" t="s">
        <v>70</v>
      </c>
      <c r="O2494" t="s">
        <v>4</v>
      </c>
      <c r="P2494" s="2" t="str">
        <f>HYPERLINK("https://forum.finance.ua/topic209265.html?p=4340107#p4340107")</f>
        <v>https://forum.finance.ua/topic209265.html?p=4340107#p4340107</v>
      </c>
      <c r="R2494" t="s">
        <v>6066</v>
      </c>
      <c r="S2494" t="s">
        <v>6073</v>
      </c>
    </row>
    <row r="2495" spans="1:19" ht="14.25" customHeight="1" x14ac:dyDescent="0.3">
      <c r="A2495" t="s">
        <v>4995</v>
      </c>
      <c r="B2495" t="s">
        <v>1684</v>
      </c>
      <c r="C2495" t="s">
        <v>3538</v>
      </c>
      <c r="D2495" t="s">
        <v>179</v>
      </c>
      <c r="E2495" t="s">
        <v>5314</v>
      </c>
      <c r="F2495" t="s">
        <v>6056</v>
      </c>
      <c r="G2495" s="2" t="str">
        <f>HYPERLINK("https://forum.finance.ua/topic209265.html?p=4336663#p4336663")</f>
        <v>https://forum.finance.ua/topic209265.html?p=4336663#p4336663</v>
      </c>
      <c r="H2495" t="s">
        <v>6062</v>
      </c>
      <c r="I2495" t="s">
        <v>3010</v>
      </c>
      <c r="J2495" s="2" t="str">
        <f>HYPERLINK("https://forum.finance.ua/memberlist.php?mode=viewprofile&amp;u=79637")</f>
        <v>https://forum.finance.ua/memberlist.php?mode=viewprofile&amp;u=79637</v>
      </c>
      <c r="N2495" t="s">
        <v>70</v>
      </c>
      <c r="O2495" t="s">
        <v>4</v>
      </c>
      <c r="P2495" s="2" t="str">
        <f>HYPERLINK("https://forum.finance.ua/topic209265.html?p=4336663#p4336663")</f>
        <v>https://forum.finance.ua/topic209265.html?p=4336663#p4336663</v>
      </c>
      <c r="R2495" t="s">
        <v>6066</v>
      </c>
      <c r="S2495" t="s">
        <v>6073</v>
      </c>
    </row>
    <row r="2496" spans="1:19" ht="14.25" customHeight="1" x14ac:dyDescent="0.3">
      <c r="A2496" t="s">
        <v>2225</v>
      </c>
      <c r="B2496" t="s">
        <v>895</v>
      </c>
      <c r="C2496" t="s">
        <v>95</v>
      </c>
      <c r="D2496" t="s">
        <v>179</v>
      </c>
      <c r="E2496" t="s">
        <v>3009</v>
      </c>
      <c r="F2496" t="s">
        <v>6056</v>
      </c>
      <c r="G2496" s="2" t="str">
        <f>HYPERLINK("https://forum.finance.ua/topic209265.html?p=4339268#p4339268")</f>
        <v>https://forum.finance.ua/topic209265.html?p=4339268#p4339268</v>
      </c>
      <c r="H2496" t="s">
        <v>6062</v>
      </c>
      <c r="I2496" t="s">
        <v>3010</v>
      </c>
      <c r="J2496" s="2" t="str">
        <f>HYPERLINK("https://forum.finance.ua/memberlist.php?mode=viewprofile&amp;u=79637")</f>
        <v>https://forum.finance.ua/memberlist.php?mode=viewprofile&amp;u=79637</v>
      </c>
      <c r="N2496" t="s">
        <v>70</v>
      </c>
      <c r="O2496" t="s">
        <v>4</v>
      </c>
      <c r="P2496" s="2" t="str">
        <f>HYPERLINK("https://forum.finance.ua/topic209265.html?p=4339268#p4339268")</f>
        <v>https://forum.finance.ua/topic209265.html?p=4339268#p4339268</v>
      </c>
      <c r="R2496" t="s">
        <v>6066</v>
      </c>
      <c r="S2496" t="s">
        <v>6073</v>
      </c>
    </row>
    <row r="2497" spans="1:19" ht="14.25" customHeight="1" x14ac:dyDescent="0.3">
      <c r="A2497" t="s">
        <v>4439</v>
      </c>
      <c r="B2497" t="s">
        <v>4987</v>
      </c>
      <c r="C2497" t="s">
        <v>3538</v>
      </c>
      <c r="D2497" t="s">
        <v>179</v>
      </c>
      <c r="E2497" t="s">
        <v>4988</v>
      </c>
      <c r="F2497" t="s">
        <v>6056</v>
      </c>
      <c r="G2497" s="2" t="str">
        <f>HYPERLINK("https://forum.finance.ua/topic209265.html?p=4337140#p4337140")</f>
        <v>https://forum.finance.ua/topic209265.html?p=4337140#p4337140</v>
      </c>
      <c r="H2497" t="s">
        <v>6062</v>
      </c>
      <c r="I2497" t="s">
        <v>4734</v>
      </c>
      <c r="J2497" s="2" t="str">
        <f>HYPERLINK("https://forum.finance.ua/memberlist.php?mode=viewprofile&amp;u=67171")</f>
        <v>https://forum.finance.ua/memberlist.php?mode=viewprofile&amp;u=67171</v>
      </c>
      <c r="N2497" t="s">
        <v>70</v>
      </c>
      <c r="O2497" t="s">
        <v>4</v>
      </c>
      <c r="P2497" s="2" t="str">
        <f>HYPERLINK("https://forum.finance.ua/topic209265.html?p=4337140#p4337140")</f>
        <v>https://forum.finance.ua/topic209265.html?p=4337140#p4337140</v>
      </c>
      <c r="R2497" t="s">
        <v>6066</v>
      </c>
      <c r="S2497" t="s">
        <v>6073</v>
      </c>
    </row>
    <row r="2498" spans="1:19" ht="14.25" customHeight="1" x14ac:dyDescent="0.3">
      <c r="A2498" t="s">
        <v>4439</v>
      </c>
      <c r="B2498" t="s">
        <v>621</v>
      </c>
      <c r="C2498" t="s">
        <v>3538</v>
      </c>
      <c r="D2498" t="s">
        <v>179</v>
      </c>
      <c r="E2498" t="s">
        <v>4974</v>
      </c>
      <c r="F2498" t="s">
        <v>6056</v>
      </c>
      <c r="G2498" s="2" t="str">
        <f>HYPERLINK("https://forum.finance.ua/topic209265.html?p=4337152#p4337152")</f>
        <v>https://forum.finance.ua/topic209265.html?p=4337152#p4337152</v>
      </c>
      <c r="H2498" t="s">
        <v>6062</v>
      </c>
      <c r="I2498" t="s">
        <v>4734</v>
      </c>
      <c r="J2498" s="2" t="str">
        <f>HYPERLINK("https://forum.finance.ua/memberlist.php?mode=viewprofile&amp;u=67171")</f>
        <v>https://forum.finance.ua/memberlist.php?mode=viewprofile&amp;u=67171</v>
      </c>
      <c r="N2498" t="s">
        <v>70</v>
      </c>
      <c r="O2498" t="s">
        <v>4</v>
      </c>
      <c r="P2498" s="2" t="str">
        <f>HYPERLINK("https://forum.finance.ua/topic209265.html?p=4337152#p4337152")</f>
        <v>https://forum.finance.ua/topic209265.html?p=4337152#p4337152</v>
      </c>
      <c r="R2498" t="s">
        <v>6066</v>
      </c>
      <c r="S2498" t="s">
        <v>6073</v>
      </c>
    </row>
    <row r="2499" spans="1:19" ht="14.25" customHeight="1" x14ac:dyDescent="0.3">
      <c r="A2499" t="s">
        <v>4439</v>
      </c>
      <c r="B2499" t="s">
        <v>238</v>
      </c>
      <c r="C2499" t="s">
        <v>3538</v>
      </c>
      <c r="D2499" t="s">
        <v>179</v>
      </c>
      <c r="E2499" t="s">
        <v>4733</v>
      </c>
      <c r="F2499" t="s">
        <v>6056</v>
      </c>
      <c r="G2499" s="2" t="str">
        <f>HYPERLINK("https://forum.finance.ua/topic209265.html?p=4337277#p4337277")</f>
        <v>https://forum.finance.ua/topic209265.html?p=4337277#p4337277</v>
      </c>
      <c r="H2499" t="s">
        <v>6062</v>
      </c>
      <c r="I2499" t="s">
        <v>4734</v>
      </c>
      <c r="J2499" s="2" t="str">
        <f>HYPERLINK("https://forum.finance.ua/memberlist.php?mode=viewprofile&amp;u=67171")</f>
        <v>https://forum.finance.ua/memberlist.php?mode=viewprofile&amp;u=67171</v>
      </c>
      <c r="N2499" t="s">
        <v>70</v>
      </c>
      <c r="O2499" t="s">
        <v>4</v>
      </c>
      <c r="P2499" s="2" t="str">
        <f>HYPERLINK("https://forum.finance.ua/topic209265.html?p=4337277#p4337277")</f>
        <v>https://forum.finance.ua/topic209265.html?p=4337277#p4337277</v>
      </c>
      <c r="R2499" t="s">
        <v>6066</v>
      </c>
      <c r="S2499" t="s">
        <v>6073</v>
      </c>
    </row>
    <row r="2500" spans="1:19" ht="14.25" customHeight="1" x14ac:dyDescent="0.3">
      <c r="A2500" t="s">
        <v>4439</v>
      </c>
      <c r="B2500" t="s">
        <v>390</v>
      </c>
      <c r="C2500" t="s">
        <v>3538</v>
      </c>
      <c r="D2500" t="s">
        <v>179</v>
      </c>
      <c r="E2500" t="s">
        <v>4824</v>
      </c>
      <c r="F2500" t="s">
        <v>6056</v>
      </c>
      <c r="G2500" s="2" t="str">
        <f>HYPERLINK("https://forum.finance.ua/topic209265.html?p=4337212#p4337212")</f>
        <v>https://forum.finance.ua/topic209265.html?p=4337212#p4337212</v>
      </c>
      <c r="H2500" t="s">
        <v>6062</v>
      </c>
      <c r="I2500" t="s">
        <v>191</v>
      </c>
      <c r="J2500" s="2" t="str">
        <f>HYPERLINK("https://forum.finance.ua/memberlist.php?mode=viewprofile&amp;u=58503")</f>
        <v>https://forum.finance.ua/memberlist.php?mode=viewprofile&amp;u=58503</v>
      </c>
      <c r="N2500" t="s">
        <v>70</v>
      </c>
      <c r="O2500" t="s">
        <v>4</v>
      </c>
      <c r="P2500" s="2" t="str">
        <f>HYPERLINK("https://forum.finance.ua/topic209265.html?p=4337212#p4337212")</f>
        <v>https://forum.finance.ua/topic209265.html?p=4337212#p4337212</v>
      </c>
      <c r="R2500" t="s">
        <v>6066</v>
      </c>
      <c r="S2500" t="s">
        <v>6073</v>
      </c>
    </row>
    <row r="2501" spans="1:19" ht="14.25" customHeight="1" x14ac:dyDescent="0.3">
      <c r="A2501" t="s">
        <v>5409</v>
      </c>
      <c r="B2501" t="s">
        <v>411</v>
      </c>
      <c r="C2501" t="s">
        <v>3538</v>
      </c>
      <c r="D2501" t="s">
        <v>179</v>
      </c>
      <c r="E2501" t="s">
        <v>5882</v>
      </c>
      <c r="F2501" t="s">
        <v>6056</v>
      </c>
      <c r="G2501" s="2" t="str">
        <f>HYPERLINK("https://forum.finance.ua/topic209265.html?p=4335852#p4335852")</f>
        <v>https://forum.finance.ua/topic209265.html?p=4335852#p4335852</v>
      </c>
      <c r="H2501" t="s">
        <v>6062</v>
      </c>
      <c r="I2501" t="s">
        <v>5883</v>
      </c>
      <c r="J2501" s="2" t="str">
        <f>HYPERLINK("https://forum.finance.ua/memberlist.php?mode=viewprofile&amp;u=29190")</f>
        <v>https://forum.finance.ua/memberlist.php?mode=viewprofile&amp;u=29190</v>
      </c>
      <c r="N2501" t="s">
        <v>70</v>
      </c>
      <c r="O2501" t="s">
        <v>4</v>
      </c>
      <c r="P2501" s="2" t="str">
        <f>HYPERLINK("https://forum.finance.ua/topic209265.html?p=4335852#p4335852")</f>
        <v>https://forum.finance.ua/topic209265.html?p=4335852#p4335852</v>
      </c>
      <c r="R2501" t="s">
        <v>6066</v>
      </c>
      <c r="S2501" t="s">
        <v>6073</v>
      </c>
    </row>
    <row r="2502" spans="1:19" ht="14.25" customHeight="1" x14ac:dyDescent="0.3">
      <c r="A2502" t="s">
        <v>3527</v>
      </c>
      <c r="B2502" t="s">
        <v>1003</v>
      </c>
      <c r="C2502" t="s">
        <v>95</v>
      </c>
      <c r="D2502" t="s">
        <v>179</v>
      </c>
      <c r="E2502" t="s">
        <v>4039</v>
      </c>
      <c r="F2502" t="s">
        <v>6056</v>
      </c>
      <c r="G2502" s="2" t="str">
        <f>HYPERLINK("https://forum.finance.ua/topic209265.html?p=4338246#p4338246")</f>
        <v>https://forum.finance.ua/topic209265.html?p=4338246#p4338246</v>
      </c>
      <c r="H2502" t="s">
        <v>6062</v>
      </c>
      <c r="I2502" t="s">
        <v>4040</v>
      </c>
      <c r="J2502" s="2" t="str">
        <f>HYPERLINK("https://forum.finance.ua/memberlist.php?mode=viewprofile&amp;u=112019")</f>
        <v>https://forum.finance.ua/memberlist.php?mode=viewprofile&amp;u=112019</v>
      </c>
      <c r="N2502" t="s">
        <v>70</v>
      </c>
      <c r="O2502" t="s">
        <v>4</v>
      </c>
      <c r="P2502" s="2" t="str">
        <f>HYPERLINK("https://forum.finance.ua/topic209265.html?p=4338246#p4338246")</f>
        <v>https://forum.finance.ua/topic209265.html?p=4338246#p4338246</v>
      </c>
      <c r="R2502" t="s">
        <v>6066</v>
      </c>
      <c r="S2502" t="s">
        <v>6073</v>
      </c>
    </row>
    <row r="2503" spans="1:19" ht="14.25" customHeight="1" x14ac:dyDescent="0.3">
      <c r="A2503" t="s">
        <v>4995</v>
      </c>
      <c r="B2503" t="s">
        <v>2785</v>
      </c>
      <c r="C2503" t="s">
        <v>3538</v>
      </c>
      <c r="D2503" t="s">
        <v>179</v>
      </c>
      <c r="E2503" t="s">
        <v>5053</v>
      </c>
      <c r="F2503" t="s">
        <v>6056</v>
      </c>
      <c r="G2503" s="2" t="str">
        <f>HYPERLINK("https://forum.finance.ua/topic209265.html?p=4337039#p4337039")</f>
        <v>https://forum.finance.ua/topic209265.html?p=4337039#p4337039</v>
      </c>
      <c r="H2503" t="s">
        <v>6062</v>
      </c>
      <c r="I2503" t="s">
        <v>278</v>
      </c>
      <c r="J2503" s="2" t="str">
        <f t="shared" ref="J2503:J2515" si="68">HYPERLINK("https://forum.finance.ua/memberlist.php?mode=viewprofile&amp;u=29059")</f>
        <v>https://forum.finance.ua/memberlist.php?mode=viewprofile&amp;u=29059</v>
      </c>
      <c r="N2503" t="s">
        <v>70</v>
      </c>
      <c r="O2503" t="s">
        <v>4</v>
      </c>
      <c r="P2503" s="2" t="str">
        <f>HYPERLINK("https://forum.finance.ua/topic209265.html?p=4337039#p4337039")</f>
        <v>https://forum.finance.ua/topic209265.html?p=4337039#p4337039</v>
      </c>
      <c r="R2503" t="s">
        <v>6066</v>
      </c>
      <c r="S2503" t="s">
        <v>6073</v>
      </c>
    </row>
    <row r="2504" spans="1:19" ht="14.25" customHeight="1" x14ac:dyDescent="0.3">
      <c r="A2504" t="s">
        <v>4995</v>
      </c>
      <c r="B2504" t="s">
        <v>2741</v>
      </c>
      <c r="C2504" t="s">
        <v>3538</v>
      </c>
      <c r="D2504" t="s">
        <v>179</v>
      </c>
      <c r="E2504" t="s">
        <v>5049</v>
      </c>
      <c r="F2504" t="s">
        <v>6056</v>
      </c>
      <c r="G2504" s="2" t="str">
        <f>HYPERLINK("https://forum.finance.ua/topic209265.html?p=4337045#p4337045")</f>
        <v>https://forum.finance.ua/topic209265.html?p=4337045#p4337045</v>
      </c>
      <c r="H2504" t="s">
        <v>6062</v>
      </c>
      <c r="I2504" t="s">
        <v>278</v>
      </c>
      <c r="J2504" s="2" t="str">
        <f t="shared" si="68"/>
        <v>https://forum.finance.ua/memberlist.php?mode=viewprofile&amp;u=29059</v>
      </c>
      <c r="N2504" t="s">
        <v>70</v>
      </c>
      <c r="O2504" t="s">
        <v>4</v>
      </c>
      <c r="P2504" s="2" t="str">
        <f>HYPERLINK("https://forum.finance.ua/topic209265.html?p=4337045#p4337045")</f>
        <v>https://forum.finance.ua/topic209265.html?p=4337045#p4337045</v>
      </c>
      <c r="R2504" t="s">
        <v>6066</v>
      </c>
      <c r="S2504" t="s">
        <v>6073</v>
      </c>
    </row>
    <row r="2505" spans="1:19" ht="14.25" customHeight="1" x14ac:dyDescent="0.3">
      <c r="A2505" t="s">
        <v>4995</v>
      </c>
      <c r="B2505" t="s">
        <v>2715</v>
      </c>
      <c r="C2505" t="s">
        <v>3538</v>
      </c>
      <c r="D2505" t="s">
        <v>179</v>
      </c>
      <c r="E2505" t="s">
        <v>5047</v>
      </c>
      <c r="F2505" t="s">
        <v>6056</v>
      </c>
      <c r="G2505" s="2" t="str">
        <f>HYPERLINK("https://forum.finance.ua/topic209265.html?p=4337049#p4337049")</f>
        <v>https://forum.finance.ua/topic209265.html?p=4337049#p4337049</v>
      </c>
      <c r="H2505" t="s">
        <v>6062</v>
      </c>
      <c r="I2505" t="s">
        <v>278</v>
      </c>
      <c r="J2505" s="2" t="str">
        <f t="shared" si="68"/>
        <v>https://forum.finance.ua/memberlist.php?mode=viewprofile&amp;u=29059</v>
      </c>
      <c r="N2505" t="s">
        <v>70</v>
      </c>
      <c r="O2505" t="s">
        <v>4</v>
      </c>
      <c r="P2505" s="2" t="str">
        <f>HYPERLINK("https://forum.finance.ua/topic209265.html?p=4337049#p4337049")</f>
        <v>https://forum.finance.ua/topic209265.html?p=4337049#p4337049</v>
      </c>
      <c r="R2505" t="s">
        <v>6066</v>
      </c>
      <c r="S2505" t="s">
        <v>6073</v>
      </c>
    </row>
    <row r="2506" spans="1:19" ht="14.25" customHeight="1" x14ac:dyDescent="0.3">
      <c r="A2506" t="s">
        <v>4995</v>
      </c>
      <c r="B2506" t="s">
        <v>2370</v>
      </c>
      <c r="C2506" t="s">
        <v>3538</v>
      </c>
      <c r="D2506" t="s">
        <v>179</v>
      </c>
      <c r="E2506" t="s">
        <v>5032</v>
      </c>
      <c r="F2506" t="s">
        <v>6056</v>
      </c>
      <c r="G2506" s="2" t="str">
        <f>HYPERLINK("https://forum.finance.ua/topic209265.html?p=4337076#p4337076")</f>
        <v>https://forum.finance.ua/topic209265.html?p=4337076#p4337076</v>
      </c>
      <c r="H2506" t="s">
        <v>6062</v>
      </c>
      <c r="I2506" t="s">
        <v>278</v>
      </c>
      <c r="J2506" s="2" t="str">
        <f t="shared" si="68"/>
        <v>https://forum.finance.ua/memberlist.php?mode=viewprofile&amp;u=29059</v>
      </c>
      <c r="N2506" t="s">
        <v>70</v>
      </c>
      <c r="O2506" t="s">
        <v>4</v>
      </c>
      <c r="P2506" s="2" t="str">
        <f>HYPERLINK("https://forum.finance.ua/topic209265.html?p=4337076#p4337076")</f>
        <v>https://forum.finance.ua/topic209265.html?p=4337076#p4337076</v>
      </c>
      <c r="R2506" t="s">
        <v>6066</v>
      </c>
      <c r="S2506" t="s">
        <v>6073</v>
      </c>
    </row>
    <row r="2507" spans="1:19" ht="14.25" customHeight="1" x14ac:dyDescent="0.3">
      <c r="A2507" t="s">
        <v>4995</v>
      </c>
      <c r="B2507" t="s">
        <v>2287</v>
      </c>
      <c r="C2507" t="s">
        <v>3538</v>
      </c>
      <c r="D2507" t="s">
        <v>179</v>
      </c>
      <c r="E2507" t="s">
        <v>5021</v>
      </c>
      <c r="F2507" t="s">
        <v>6056</v>
      </c>
      <c r="G2507" s="2" t="str">
        <f>HYPERLINK("https://forum.finance.ua/topic209265.html?p=4337101#p4337101")</f>
        <v>https://forum.finance.ua/topic209265.html?p=4337101#p4337101</v>
      </c>
      <c r="H2507" t="s">
        <v>6062</v>
      </c>
      <c r="I2507" t="s">
        <v>278</v>
      </c>
      <c r="J2507" s="2" t="str">
        <f t="shared" si="68"/>
        <v>https://forum.finance.ua/memberlist.php?mode=viewprofile&amp;u=29059</v>
      </c>
      <c r="N2507" t="s">
        <v>70</v>
      </c>
      <c r="O2507" t="s">
        <v>4</v>
      </c>
      <c r="P2507" s="2" t="str">
        <f>HYPERLINK("https://forum.finance.ua/topic209265.html?p=4337101#p4337101")</f>
        <v>https://forum.finance.ua/topic209265.html?p=4337101#p4337101</v>
      </c>
      <c r="R2507" t="s">
        <v>6066</v>
      </c>
      <c r="S2507" t="s">
        <v>6073</v>
      </c>
    </row>
    <row r="2508" spans="1:19" ht="14.25" customHeight="1" x14ac:dyDescent="0.3">
      <c r="A2508" t="s">
        <v>4995</v>
      </c>
      <c r="B2508" t="s">
        <v>2261</v>
      </c>
      <c r="C2508" t="s">
        <v>3538</v>
      </c>
      <c r="D2508" t="s">
        <v>179</v>
      </c>
      <c r="E2508" t="s">
        <v>5011</v>
      </c>
      <c r="F2508" t="s">
        <v>6056</v>
      </c>
      <c r="G2508" s="2" t="str">
        <f>HYPERLINK("https://forum.finance.ua/topic209265.html?p=4337119#p4337119")</f>
        <v>https://forum.finance.ua/topic209265.html?p=4337119#p4337119</v>
      </c>
      <c r="H2508" t="s">
        <v>6062</v>
      </c>
      <c r="I2508" t="s">
        <v>278</v>
      </c>
      <c r="J2508" s="2" t="str">
        <f t="shared" si="68"/>
        <v>https://forum.finance.ua/memberlist.php?mode=viewprofile&amp;u=29059</v>
      </c>
      <c r="N2508" t="s">
        <v>70</v>
      </c>
      <c r="O2508" t="s">
        <v>4</v>
      </c>
      <c r="P2508" s="2" t="str">
        <f>HYPERLINK("https://forum.finance.ua/topic209265.html?p=4337119#p4337119")</f>
        <v>https://forum.finance.ua/topic209265.html?p=4337119#p4337119</v>
      </c>
      <c r="R2508" t="s">
        <v>6066</v>
      </c>
      <c r="S2508" t="s">
        <v>6073</v>
      </c>
    </row>
    <row r="2509" spans="1:19" ht="14.25" customHeight="1" x14ac:dyDescent="0.3">
      <c r="A2509" t="s">
        <v>4439</v>
      </c>
      <c r="B2509" t="s">
        <v>3516</v>
      </c>
      <c r="C2509" t="s">
        <v>3538</v>
      </c>
      <c r="D2509" t="s">
        <v>179</v>
      </c>
      <c r="E2509" t="s">
        <v>4983</v>
      </c>
      <c r="F2509" t="s">
        <v>6056</v>
      </c>
      <c r="G2509" s="2" t="str">
        <f>HYPERLINK("https://forum.finance.ua/topic209265.html?p=4337145#p4337145")</f>
        <v>https://forum.finance.ua/topic209265.html?p=4337145#p4337145</v>
      </c>
      <c r="H2509" t="s">
        <v>6062</v>
      </c>
      <c r="I2509" t="s">
        <v>278</v>
      </c>
      <c r="J2509" s="2" t="str">
        <f t="shared" si="68"/>
        <v>https://forum.finance.ua/memberlist.php?mode=viewprofile&amp;u=29059</v>
      </c>
      <c r="N2509" t="s">
        <v>70</v>
      </c>
      <c r="O2509" t="s">
        <v>4</v>
      </c>
      <c r="P2509" s="2" t="str">
        <f>HYPERLINK("https://forum.finance.ua/topic209265.html?p=4337145#p4337145")</f>
        <v>https://forum.finance.ua/topic209265.html?p=4337145#p4337145</v>
      </c>
      <c r="R2509" t="s">
        <v>6066</v>
      </c>
      <c r="S2509" t="s">
        <v>6073</v>
      </c>
    </row>
    <row r="2510" spans="1:19" ht="14.25" customHeight="1" x14ac:dyDescent="0.3">
      <c r="A2510" t="s">
        <v>4439</v>
      </c>
      <c r="B2510" t="s">
        <v>1582</v>
      </c>
      <c r="C2510" t="s">
        <v>3538</v>
      </c>
      <c r="D2510" t="s">
        <v>179</v>
      </c>
      <c r="E2510" t="s">
        <v>4798</v>
      </c>
      <c r="F2510" t="s">
        <v>6056</v>
      </c>
      <c r="G2510" s="2" t="str">
        <f>HYPERLINK("https://forum.finance.ua/topic209265.html?p=4337231#p4337231")</f>
        <v>https://forum.finance.ua/topic209265.html?p=4337231#p4337231</v>
      </c>
      <c r="H2510" t="s">
        <v>6062</v>
      </c>
      <c r="I2510" t="s">
        <v>278</v>
      </c>
      <c r="J2510" s="2" t="str">
        <f t="shared" si="68"/>
        <v>https://forum.finance.ua/memberlist.php?mode=viewprofile&amp;u=29059</v>
      </c>
      <c r="N2510" t="s">
        <v>70</v>
      </c>
      <c r="O2510" t="s">
        <v>4</v>
      </c>
      <c r="P2510" s="2" t="str">
        <f>HYPERLINK("https://forum.finance.ua/topic209265.html?p=4337231#p4337231")</f>
        <v>https://forum.finance.ua/topic209265.html?p=4337231#p4337231</v>
      </c>
      <c r="R2510" t="s">
        <v>6066</v>
      </c>
      <c r="S2510" t="s">
        <v>6073</v>
      </c>
    </row>
    <row r="2511" spans="1:19" ht="14.25" customHeight="1" x14ac:dyDescent="0.3">
      <c r="A2511" t="s">
        <v>1</v>
      </c>
      <c r="B2511" t="s">
        <v>338</v>
      </c>
      <c r="C2511" t="s">
        <v>95</v>
      </c>
      <c r="D2511" t="s">
        <v>179</v>
      </c>
      <c r="E2511" t="s">
        <v>339</v>
      </c>
      <c r="F2511" t="s">
        <v>6056</v>
      </c>
      <c r="G2511" s="2" t="str">
        <f>HYPERLINK("https://forum.finance.ua/topic209265.html?p=4340448#p4340448")</f>
        <v>https://forum.finance.ua/topic209265.html?p=4340448#p4340448</v>
      </c>
      <c r="H2511" t="s">
        <v>6062</v>
      </c>
      <c r="I2511" t="s">
        <v>278</v>
      </c>
      <c r="J2511" s="2" t="str">
        <f t="shared" si="68"/>
        <v>https://forum.finance.ua/memberlist.php?mode=viewprofile&amp;u=29059</v>
      </c>
      <c r="N2511" t="s">
        <v>70</v>
      </c>
      <c r="O2511" t="s">
        <v>4</v>
      </c>
      <c r="P2511" s="2" t="str">
        <f>HYPERLINK("https://forum.finance.ua/topic209265.html?p=4340448#p4340448")</f>
        <v>https://forum.finance.ua/topic209265.html?p=4340448#p4340448</v>
      </c>
      <c r="R2511" t="s">
        <v>6066</v>
      </c>
      <c r="S2511" t="s">
        <v>6073</v>
      </c>
    </row>
    <row r="2512" spans="1:19" ht="14.25" customHeight="1" x14ac:dyDescent="0.3">
      <c r="A2512" t="s">
        <v>1</v>
      </c>
      <c r="B2512" t="s">
        <v>311</v>
      </c>
      <c r="C2512" t="s">
        <v>95</v>
      </c>
      <c r="D2512" t="s">
        <v>179</v>
      </c>
      <c r="E2512" t="s">
        <v>315</v>
      </c>
      <c r="F2512" t="s">
        <v>6056</v>
      </c>
      <c r="G2512" s="2" t="str">
        <f>HYPERLINK("https://forum.finance.ua/topic209265.html?p=4340456#p4340456")</f>
        <v>https://forum.finance.ua/topic209265.html?p=4340456#p4340456</v>
      </c>
      <c r="H2512" t="s">
        <v>6062</v>
      </c>
      <c r="I2512" t="s">
        <v>278</v>
      </c>
      <c r="J2512" s="2" t="str">
        <f t="shared" si="68"/>
        <v>https://forum.finance.ua/memberlist.php?mode=viewprofile&amp;u=29059</v>
      </c>
      <c r="N2512" t="s">
        <v>70</v>
      </c>
      <c r="O2512" t="s">
        <v>4</v>
      </c>
      <c r="P2512" s="2" t="str">
        <f>HYPERLINK("https://forum.finance.ua/topic209265.html?p=4340456#p4340456")</f>
        <v>https://forum.finance.ua/topic209265.html?p=4340456#p4340456</v>
      </c>
      <c r="R2512" t="s">
        <v>6066</v>
      </c>
      <c r="S2512" t="s">
        <v>6073</v>
      </c>
    </row>
    <row r="2513" spans="1:19" ht="14.25" customHeight="1" x14ac:dyDescent="0.3">
      <c r="A2513" t="s">
        <v>1</v>
      </c>
      <c r="B2513" t="s">
        <v>275</v>
      </c>
      <c r="C2513" t="s">
        <v>95</v>
      </c>
      <c r="D2513" t="s">
        <v>179</v>
      </c>
      <c r="E2513" t="s">
        <v>277</v>
      </c>
      <c r="F2513" t="s">
        <v>6056</v>
      </c>
      <c r="G2513" s="2" t="str">
        <f>HYPERLINK("https://forum.finance.ua/topic209265.html?p=4340481#p4340481")</f>
        <v>https://forum.finance.ua/topic209265.html?p=4340481#p4340481</v>
      </c>
      <c r="H2513" t="s">
        <v>6062</v>
      </c>
      <c r="I2513" t="s">
        <v>278</v>
      </c>
      <c r="J2513" s="2" t="str">
        <f t="shared" si="68"/>
        <v>https://forum.finance.ua/memberlist.php?mode=viewprofile&amp;u=29059</v>
      </c>
      <c r="N2513" t="s">
        <v>70</v>
      </c>
      <c r="O2513" t="s">
        <v>4</v>
      </c>
      <c r="P2513" s="2" t="str">
        <f>HYPERLINK("https://forum.finance.ua/topic209265.html?p=4340481#p4340481")</f>
        <v>https://forum.finance.ua/topic209265.html?p=4340481#p4340481</v>
      </c>
      <c r="R2513" t="s">
        <v>6066</v>
      </c>
      <c r="S2513" t="s">
        <v>6073</v>
      </c>
    </row>
    <row r="2514" spans="1:19" ht="14.25" customHeight="1" x14ac:dyDescent="0.3">
      <c r="A2514" t="s">
        <v>4439</v>
      </c>
      <c r="B2514" t="s">
        <v>417</v>
      </c>
      <c r="C2514" t="s">
        <v>3538</v>
      </c>
      <c r="D2514" t="s">
        <v>179</v>
      </c>
      <c r="E2514" t="s">
        <v>4834</v>
      </c>
      <c r="F2514" t="s">
        <v>6056</v>
      </c>
      <c r="G2514" s="2" t="str">
        <f>HYPERLINK("https://forum.finance.ua/topic209265.html?p=4337198#p4337198")</f>
        <v>https://forum.finance.ua/topic209265.html?p=4337198#p4337198</v>
      </c>
      <c r="H2514" t="s">
        <v>6062</v>
      </c>
      <c r="I2514" t="s">
        <v>278</v>
      </c>
      <c r="J2514" s="2" t="str">
        <f t="shared" si="68"/>
        <v>https://forum.finance.ua/memberlist.php?mode=viewprofile&amp;u=29059</v>
      </c>
      <c r="N2514" t="s">
        <v>70</v>
      </c>
      <c r="O2514" t="s">
        <v>4</v>
      </c>
      <c r="P2514" s="2" t="str">
        <f>HYPERLINK("https://forum.finance.ua/topic209265.html?p=4337198#p4337198")</f>
        <v>https://forum.finance.ua/topic209265.html?p=4337198#p4337198</v>
      </c>
      <c r="R2514" t="s">
        <v>6066</v>
      </c>
      <c r="S2514" t="s">
        <v>6073</v>
      </c>
    </row>
    <row r="2515" spans="1:19" ht="14.25" customHeight="1" x14ac:dyDescent="0.3">
      <c r="A2515" t="s">
        <v>4439</v>
      </c>
      <c r="B2515" t="s">
        <v>4992</v>
      </c>
      <c r="C2515" t="s">
        <v>3538</v>
      </c>
      <c r="D2515" t="s">
        <v>179</v>
      </c>
      <c r="E2515" t="s">
        <v>4993</v>
      </c>
      <c r="F2515" t="s">
        <v>6056</v>
      </c>
      <c r="G2515" s="2" t="str">
        <f>HYPERLINK("https://forum.finance.ua/topic209265.html?p=4337137#p4337137")</f>
        <v>https://forum.finance.ua/topic209265.html?p=4337137#p4337137</v>
      </c>
      <c r="H2515" t="s">
        <v>6062</v>
      </c>
      <c r="I2515" t="s">
        <v>278</v>
      </c>
      <c r="J2515" s="2" t="str">
        <f t="shared" si="68"/>
        <v>https://forum.finance.ua/memberlist.php?mode=viewprofile&amp;u=29059</v>
      </c>
      <c r="N2515" t="s">
        <v>70</v>
      </c>
      <c r="O2515" t="s">
        <v>4</v>
      </c>
      <c r="P2515" s="2" t="str">
        <f>HYPERLINK("https://forum.finance.ua/topic209265.html?p=4337137#p4337137")</f>
        <v>https://forum.finance.ua/topic209265.html?p=4337137#p4337137</v>
      </c>
      <c r="R2515" t="s">
        <v>6066</v>
      </c>
      <c r="S2515" t="s">
        <v>6073</v>
      </c>
    </row>
    <row r="2516" spans="1:19" ht="14.25" customHeight="1" x14ac:dyDescent="0.3">
      <c r="A2516" t="s">
        <v>3527</v>
      </c>
      <c r="B2516" t="s">
        <v>4030</v>
      </c>
      <c r="C2516" t="s">
        <v>95</v>
      </c>
      <c r="D2516" t="s">
        <v>179</v>
      </c>
      <c r="E2516" t="s">
        <v>4032</v>
      </c>
      <c r="F2516" t="s">
        <v>6056</v>
      </c>
      <c r="G2516" s="2" t="str">
        <f>HYPERLINK("https://forum.finance.ua/topic209265.html?p=4338261#p4338261")</f>
        <v>https://forum.finance.ua/topic209265.html?p=4338261#p4338261</v>
      </c>
      <c r="H2516" t="s">
        <v>6062</v>
      </c>
      <c r="I2516" t="s">
        <v>4033</v>
      </c>
      <c r="J2516" s="2" t="str">
        <f>HYPERLINK("https://forum.finance.ua/memberlist.php?mode=viewprofile&amp;u=94821")</f>
        <v>https://forum.finance.ua/memberlist.php?mode=viewprofile&amp;u=94821</v>
      </c>
      <c r="N2516" t="s">
        <v>70</v>
      </c>
      <c r="O2516" t="s">
        <v>4</v>
      </c>
      <c r="P2516" s="2" t="str">
        <f>HYPERLINK("https://forum.finance.ua/topic209265.html?p=4338261#p4338261")</f>
        <v>https://forum.finance.ua/topic209265.html?p=4338261#p4338261</v>
      </c>
      <c r="R2516" t="s">
        <v>6066</v>
      </c>
      <c r="S2516" t="s">
        <v>6073</v>
      </c>
    </row>
    <row r="2517" spans="1:19" ht="14.25" customHeight="1" x14ac:dyDescent="0.3">
      <c r="A2517" t="s">
        <v>5409</v>
      </c>
      <c r="B2517" t="s">
        <v>363</v>
      </c>
      <c r="C2517" t="s">
        <v>3538</v>
      </c>
      <c r="D2517" t="s">
        <v>179</v>
      </c>
      <c r="E2517" t="s">
        <v>5860</v>
      </c>
      <c r="F2517" t="s">
        <v>6056</v>
      </c>
      <c r="G2517" s="2" t="str">
        <f>HYPERLINK("https://forum.finance.ua/topic209265.html?p=4335884#p4335884")</f>
        <v>https://forum.finance.ua/topic209265.html?p=4335884#p4335884</v>
      </c>
      <c r="H2517" t="s">
        <v>6062</v>
      </c>
      <c r="I2517" t="s">
        <v>5062</v>
      </c>
      <c r="J2517" s="2" t="str">
        <f>HYPERLINK("https://forum.finance.ua/memberlist.php?mode=viewprofile&amp;u=22279")</f>
        <v>https://forum.finance.ua/memberlist.php?mode=viewprofile&amp;u=22279</v>
      </c>
      <c r="N2517" t="s">
        <v>70</v>
      </c>
      <c r="O2517" t="s">
        <v>4</v>
      </c>
      <c r="P2517" s="2" t="str">
        <f>HYPERLINK("https://forum.finance.ua/topic209265.html?p=4335884#p4335884")</f>
        <v>https://forum.finance.ua/topic209265.html?p=4335884#p4335884</v>
      </c>
      <c r="R2517" t="s">
        <v>6066</v>
      </c>
      <c r="S2517" t="s">
        <v>6073</v>
      </c>
    </row>
    <row r="2518" spans="1:19" ht="14.25" customHeight="1" x14ac:dyDescent="0.3">
      <c r="A2518" t="s">
        <v>4995</v>
      </c>
      <c r="B2518" t="s">
        <v>780</v>
      </c>
      <c r="C2518" t="s">
        <v>3538</v>
      </c>
      <c r="D2518" t="s">
        <v>179</v>
      </c>
      <c r="E2518" t="s">
        <v>5061</v>
      </c>
      <c r="F2518" t="s">
        <v>6056</v>
      </c>
      <c r="G2518" s="2" t="str">
        <f>HYPERLINK("https://forum.finance.ua/topic209265.html?p=4337026#p4337026")</f>
        <v>https://forum.finance.ua/topic209265.html?p=4337026#p4337026</v>
      </c>
      <c r="H2518" t="s">
        <v>6062</v>
      </c>
      <c r="I2518" t="s">
        <v>5062</v>
      </c>
      <c r="J2518" s="2" t="str">
        <f>HYPERLINK("https://forum.finance.ua/memberlist.php?mode=viewprofile&amp;u=22279")</f>
        <v>https://forum.finance.ua/memberlist.php?mode=viewprofile&amp;u=22279</v>
      </c>
      <c r="N2518" t="s">
        <v>70</v>
      </c>
      <c r="O2518" t="s">
        <v>4</v>
      </c>
      <c r="P2518" s="2" t="str">
        <f>HYPERLINK("https://forum.finance.ua/topic209265.html?p=4337026#p4337026")</f>
        <v>https://forum.finance.ua/topic209265.html?p=4337026#p4337026</v>
      </c>
      <c r="R2518" t="s">
        <v>6066</v>
      </c>
      <c r="S2518" t="s">
        <v>6073</v>
      </c>
    </row>
    <row r="2519" spans="1:19" ht="14.25" customHeight="1" x14ac:dyDescent="0.3">
      <c r="A2519" t="s">
        <v>4439</v>
      </c>
      <c r="B2519" t="s">
        <v>621</v>
      </c>
      <c r="C2519" t="s">
        <v>3538</v>
      </c>
      <c r="D2519" t="s">
        <v>179</v>
      </c>
      <c r="E2519" t="s">
        <v>4976</v>
      </c>
      <c r="F2519" t="s">
        <v>6056</v>
      </c>
      <c r="G2519" s="2" t="str">
        <f>HYPERLINK("https://forum.finance.ua/topic209265.html?p=4337150#p4337150")</f>
        <v>https://forum.finance.ua/topic209265.html?p=4337150#p4337150</v>
      </c>
      <c r="H2519" t="s">
        <v>6062</v>
      </c>
      <c r="I2519" t="s">
        <v>4977</v>
      </c>
      <c r="J2519" s="2" t="str">
        <f>HYPERLINK("https://forum.finance.ua/memberlist.php?mode=viewprofile&amp;u=77226")</f>
        <v>https://forum.finance.ua/memberlist.php?mode=viewprofile&amp;u=77226</v>
      </c>
      <c r="N2519" t="s">
        <v>70</v>
      </c>
      <c r="O2519" t="s">
        <v>4</v>
      </c>
      <c r="P2519" s="2" t="str">
        <f>HYPERLINK("https://forum.finance.ua/topic209265.html?p=4337150#p4337150")</f>
        <v>https://forum.finance.ua/topic209265.html?p=4337150#p4337150</v>
      </c>
      <c r="R2519" t="s">
        <v>6066</v>
      </c>
      <c r="S2519" t="s">
        <v>6073</v>
      </c>
    </row>
    <row r="2520" spans="1:19" ht="14.25" customHeight="1" x14ac:dyDescent="0.3">
      <c r="A2520" t="s">
        <v>1</v>
      </c>
      <c r="B2520" t="s">
        <v>320</v>
      </c>
      <c r="C2520" t="s">
        <v>95</v>
      </c>
      <c r="D2520" t="s">
        <v>179</v>
      </c>
      <c r="E2520" t="s">
        <v>322</v>
      </c>
      <c r="F2520" t="s">
        <v>6056</v>
      </c>
      <c r="G2520" s="2" t="str">
        <f>HYPERLINK("https://forum.finance.ua/topic209265.html?p=4340453#p4340453")</f>
        <v>https://forum.finance.ua/topic209265.html?p=4340453#p4340453</v>
      </c>
      <c r="H2520" t="s">
        <v>6062</v>
      </c>
      <c r="I2520" t="s">
        <v>323</v>
      </c>
      <c r="J2520" s="2" t="str">
        <f>HYPERLINK("https://forum.finance.ua/memberlist.php?mode=viewprofile&amp;u=86304")</f>
        <v>https://forum.finance.ua/memberlist.php?mode=viewprofile&amp;u=86304</v>
      </c>
      <c r="N2520" t="s">
        <v>70</v>
      </c>
      <c r="O2520" t="s">
        <v>4</v>
      </c>
      <c r="P2520" s="2" t="str">
        <f>HYPERLINK("https://forum.finance.ua/topic209265.html?p=4340453#p4340453")</f>
        <v>https://forum.finance.ua/topic209265.html?p=4340453#p4340453</v>
      </c>
      <c r="R2520" t="s">
        <v>6066</v>
      </c>
      <c r="S2520" t="s">
        <v>6073</v>
      </c>
    </row>
    <row r="2521" spans="1:19" ht="14.25" customHeight="1" x14ac:dyDescent="0.3">
      <c r="A2521" t="s">
        <v>4439</v>
      </c>
      <c r="B2521" t="s">
        <v>4336</v>
      </c>
      <c r="C2521" t="s">
        <v>3538</v>
      </c>
      <c r="D2521" t="s">
        <v>179</v>
      </c>
      <c r="E2521" t="s">
        <v>4861</v>
      </c>
      <c r="F2521" t="s">
        <v>6056</v>
      </c>
      <c r="G2521" s="2" t="str">
        <f>HYPERLINK("https://forum.finance.ua/topic209265.html?p=4337183#p4337183")</f>
        <v>https://forum.finance.ua/topic209265.html?p=4337183#p4337183</v>
      </c>
      <c r="H2521" t="s">
        <v>6062</v>
      </c>
      <c r="I2521" t="s">
        <v>4862</v>
      </c>
      <c r="J2521" s="2" t="str">
        <f>HYPERLINK("https://forum.finance.ua/memberlist.php?mode=viewprofile&amp;u=112293")</f>
        <v>https://forum.finance.ua/memberlist.php?mode=viewprofile&amp;u=112293</v>
      </c>
      <c r="N2521" t="s">
        <v>70</v>
      </c>
      <c r="O2521" t="s">
        <v>4</v>
      </c>
      <c r="P2521" s="2" t="str">
        <f>HYPERLINK("https://forum.finance.ua/topic209265.html?p=4337183#p4337183")</f>
        <v>https://forum.finance.ua/topic209265.html?p=4337183#p4337183</v>
      </c>
      <c r="R2521" t="s">
        <v>6066</v>
      </c>
      <c r="S2521" t="s">
        <v>6073</v>
      </c>
    </row>
    <row r="2522" spans="1:19" ht="14.25" customHeight="1" x14ac:dyDescent="0.3">
      <c r="A2522" t="s">
        <v>5409</v>
      </c>
      <c r="B2522" t="s">
        <v>2269</v>
      </c>
      <c r="C2522" t="s">
        <v>3538</v>
      </c>
      <c r="D2522" t="s">
        <v>179</v>
      </c>
      <c r="E2522" t="s">
        <v>5424</v>
      </c>
      <c r="F2522" t="s">
        <v>6056</v>
      </c>
      <c r="G2522" s="2" t="str">
        <f>HYPERLINK("https://forum.finance.ua/topic209265.html?p=4336580#p4336580")</f>
        <v>https://forum.finance.ua/topic209265.html?p=4336580#p4336580</v>
      </c>
      <c r="H2522" t="s">
        <v>6062</v>
      </c>
      <c r="I2522" t="s">
        <v>4856</v>
      </c>
      <c r="J2522" s="2" t="str">
        <f>HYPERLINK("https://forum.finance.ua/memberlist.php?mode=viewprofile&amp;u=22932")</f>
        <v>https://forum.finance.ua/memberlist.php?mode=viewprofile&amp;u=22932</v>
      </c>
      <c r="N2522" t="s">
        <v>70</v>
      </c>
      <c r="O2522" t="s">
        <v>4</v>
      </c>
      <c r="P2522" s="2" t="str">
        <f>HYPERLINK("https://forum.finance.ua/topic209265.html?p=4336580#p4336580")</f>
        <v>https://forum.finance.ua/topic209265.html?p=4336580#p4336580</v>
      </c>
      <c r="R2522" t="s">
        <v>6066</v>
      </c>
      <c r="S2522" t="s">
        <v>6073</v>
      </c>
    </row>
    <row r="2523" spans="1:19" ht="14.25" customHeight="1" x14ac:dyDescent="0.3">
      <c r="A2523" t="s">
        <v>4439</v>
      </c>
      <c r="B2523" t="s">
        <v>1935</v>
      </c>
      <c r="C2523" t="s">
        <v>3538</v>
      </c>
      <c r="D2523" t="s">
        <v>179</v>
      </c>
      <c r="E2523" t="s">
        <v>4855</v>
      </c>
      <c r="F2523" t="s">
        <v>6056</v>
      </c>
      <c r="G2523" s="2" t="str">
        <f>HYPERLINK("https://forum.finance.ua/topic209265.html?p=4337184#p4337184")</f>
        <v>https://forum.finance.ua/topic209265.html?p=4337184#p4337184</v>
      </c>
      <c r="H2523" t="s">
        <v>6062</v>
      </c>
      <c r="I2523" t="s">
        <v>4856</v>
      </c>
      <c r="J2523" s="2" t="str">
        <f>HYPERLINK("https://forum.finance.ua/memberlist.php?mode=viewprofile&amp;u=22932")</f>
        <v>https://forum.finance.ua/memberlist.php?mode=viewprofile&amp;u=22932</v>
      </c>
      <c r="N2523" t="s">
        <v>70</v>
      </c>
      <c r="O2523" t="s">
        <v>4</v>
      </c>
      <c r="P2523" s="2" t="str">
        <f>HYPERLINK("https://forum.finance.ua/topic209265.html?p=4337184#p4337184")</f>
        <v>https://forum.finance.ua/topic209265.html?p=4337184#p4337184</v>
      </c>
      <c r="R2523" t="s">
        <v>6066</v>
      </c>
      <c r="S2523" t="s">
        <v>6073</v>
      </c>
    </row>
    <row r="2524" spans="1:19" ht="14.25" customHeight="1" x14ac:dyDescent="0.3">
      <c r="A2524" t="s">
        <v>5409</v>
      </c>
      <c r="B2524" t="s">
        <v>3562</v>
      </c>
      <c r="C2524" t="s">
        <v>3538</v>
      </c>
      <c r="D2524" t="s">
        <v>179</v>
      </c>
      <c r="E2524" t="s">
        <v>5433</v>
      </c>
      <c r="F2524" t="s">
        <v>6056</v>
      </c>
      <c r="G2524" s="2" t="str">
        <f>HYPERLINK("https://forum.finance.ua/topic209265.html?p=4336571#p4336571")</f>
        <v>https://forum.finance.ua/topic209265.html?p=4336571#p4336571</v>
      </c>
      <c r="H2524" t="s">
        <v>6062</v>
      </c>
      <c r="I2524" t="s">
        <v>4856</v>
      </c>
      <c r="J2524" s="2" t="str">
        <f>HYPERLINK("https://forum.finance.ua/memberlist.php?mode=viewprofile&amp;u=22932")</f>
        <v>https://forum.finance.ua/memberlist.php?mode=viewprofile&amp;u=22932</v>
      </c>
      <c r="N2524" t="s">
        <v>70</v>
      </c>
      <c r="O2524" t="s">
        <v>4</v>
      </c>
      <c r="P2524" s="2" t="str">
        <f>HYPERLINK("https://forum.finance.ua/topic209265.html?p=4336571#p4336571")</f>
        <v>https://forum.finance.ua/topic209265.html?p=4336571#p4336571</v>
      </c>
      <c r="R2524" t="s">
        <v>6066</v>
      </c>
      <c r="S2524" t="s">
        <v>6073</v>
      </c>
    </row>
    <row r="2525" spans="1:19" ht="14.25" customHeight="1" x14ac:dyDescent="0.3">
      <c r="A2525" t="s">
        <v>4439</v>
      </c>
      <c r="B2525" t="s">
        <v>231</v>
      </c>
      <c r="C2525" t="s">
        <v>3538</v>
      </c>
      <c r="D2525" t="s">
        <v>179</v>
      </c>
      <c r="E2525" t="s">
        <v>4730</v>
      </c>
      <c r="F2525" t="s">
        <v>6056</v>
      </c>
      <c r="G2525" s="2" t="str">
        <f>HYPERLINK("https://forum.finance.ua/topic209265.html?p=4337280#p4337280")</f>
        <v>https://forum.finance.ua/topic209265.html?p=4337280#p4337280</v>
      </c>
      <c r="H2525" t="s">
        <v>6062</v>
      </c>
      <c r="I2525" t="s">
        <v>4731</v>
      </c>
      <c r="J2525" s="2" t="str">
        <f>HYPERLINK("https://forum.finance.ua/memberlist.php?mode=viewprofile&amp;u=74397")</f>
        <v>https://forum.finance.ua/memberlist.php?mode=viewprofile&amp;u=74397</v>
      </c>
      <c r="N2525" t="s">
        <v>70</v>
      </c>
      <c r="O2525" t="s">
        <v>4</v>
      </c>
      <c r="P2525" s="2" t="str">
        <f>HYPERLINK("https://forum.finance.ua/topic209265.html?p=4337280#p4337280")</f>
        <v>https://forum.finance.ua/topic209265.html?p=4337280#p4337280</v>
      </c>
      <c r="R2525" t="s">
        <v>6066</v>
      </c>
      <c r="S2525" t="s">
        <v>6073</v>
      </c>
    </row>
    <row r="2526" spans="1:19" ht="14.25" customHeight="1" x14ac:dyDescent="0.3">
      <c r="A2526" t="s">
        <v>4439</v>
      </c>
      <c r="B2526" t="s">
        <v>3335</v>
      </c>
      <c r="C2526" t="s">
        <v>3538</v>
      </c>
      <c r="D2526" t="s">
        <v>179</v>
      </c>
      <c r="E2526" t="s">
        <v>4739</v>
      </c>
      <c r="F2526" t="s">
        <v>6056</v>
      </c>
      <c r="G2526" s="2" t="str">
        <f>HYPERLINK("https://forum.finance.ua/topic209265.html?p=4337275#p4337275")</f>
        <v>https://forum.finance.ua/topic209265.html?p=4337275#p4337275</v>
      </c>
      <c r="H2526" t="s">
        <v>6062</v>
      </c>
      <c r="I2526" t="s">
        <v>4731</v>
      </c>
      <c r="J2526" s="2" t="str">
        <f>HYPERLINK("https://forum.finance.ua/memberlist.php?mode=viewprofile&amp;u=74397")</f>
        <v>https://forum.finance.ua/memberlist.php?mode=viewprofile&amp;u=74397</v>
      </c>
      <c r="N2526" t="s">
        <v>70</v>
      </c>
      <c r="O2526" t="s">
        <v>4</v>
      </c>
      <c r="P2526" s="2" t="str">
        <f>HYPERLINK("https://forum.finance.ua/topic209265.html?p=4337275#p4337275")</f>
        <v>https://forum.finance.ua/topic209265.html?p=4337275#p4337275</v>
      </c>
      <c r="R2526" t="s">
        <v>6066</v>
      </c>
      <c r="S2526" t="s">
        <v>6073</v>
      </c>
    </row>
    <row r="2527" spans="1:19" ht="14.25" customHeight="1" x14ac:dyDescent="0.3">
      <c r="A2527" t="s">
        <v>1</v>
      </c>
      <c r="B2527" t="s">
        <v>196</v>
      </c>
      <c r="C2527" t="s">
        <v>95</v>
      </c>
      <c r="D2527" t="s">
        <v>67</v>
      </c>
      <c r="E2527" t="s">
        <v>197</v>
      </c>
      <c r="F2527" t="s">
        <v>6056</v>
      </c>
      <c r="G2527" s="2" t="str">
        <f>HYPERLINK("https://forum.finance.ua/topic214577.html?p=4340558#p4340558")</f>
        <v>https://forum.finance.ua/topic214577.html?p=4340558#p4340558</v>
      </c>
      <c r="H2527" t="s">
        <v>6062</v>
      </c>
      <c r="I2527" t="s">
        <v>198</v>
      </c>
      <c r="J2527" s="2" t="str">
        <f>HYPERLINK("https://forum.finance.ua/memberlist.php?mode=viewprofile&amp;u=114667")</f>
        <v>https://forum.finance.ua/memberlist.php?mode=viewprofile&amp;u=114667</v>
      </c>
      <c r="N2527" t="s">
        <v>70</v>
      </c>
      <c r="O2527" t="s">
        <v>4</v>
      </c>
      <c r="P2527" s="2" t="str">
        <f>HYPERLINK("https://forum.finance.ua/topic214577.html?p=4340558#p4340558")</f>
        <v>https://forum.finance.ua/topic214577.html?p=4340558#p4340558</v>
      </c>
      <c r="R2527" t="s">
        <v>6066</v>
      </c>
      <c r="S2527" t="s">
        <v>6073</v>
      </c>
    </row>
    <row r="2528" spans="1:19" ht="14.25" customHeight="1" x14ac:dyDescent="0.3">
      <c r="A2528" t="s">
        <v>1</v>
      </c>
      <c r="B2528" t="s">
        <v>265</v>
      </c>
      <c r="C2528" t="s">
        <v>95</v>
      </c>
      <c r="D2528" t="s">
        <v>179</v>
      </c>
      <c r="E2528" t="s">
        <v>269</v>
      </c>
      <c r="F2528" t="s">
        <v>6056</v>
      </c>
      <c r="G2528" s="2" t="str">
        <f>HYPERLINK("https://forum.finance.ua/topic209265.html?p=4340488#p4340488")</f>
        <v>https://forum.finance.ua/topic209265.html?p=4340488#p4340488</v>
      </c>
      <c r="H2528" t="s">
        <v>6062</v>
      </c>
      <c r="I2528" t="s">
        <v>270</v>
      </c>
      <c r="J2528" s="2" t="str">
        <f>HYPERLINK("https://forum.finance.ua/memberlist.php?mode=viewprofile&amp;u=78433")</f>
        <v>https://forum.finance.ua/memberlist.php?mode=viewprofile&amp;u=78433</v>
      </c>
      <c r="N2528" t="s">
        <v>70</v>
      </c>
      <c r="O2528" t="s">
        <v>4</v>
      </c>
      <c r="P2528" s="2" t="str">
        <f>HYPERLINK("https://forum.finance.ua/topic209265.html?p=4340488#p4340488")</f>
        <v>https://forum.finance.ua/topic209265.html?p=4340488#p4340488</v>
      </c>
      <c r="R2528" t="s">
        <v>6066</v>
      </c>
      <c r="S2528" t="s">
        <v>6073</v>
      </c>
    </row>
    <row r="2529" spans="1:19" ht="14.25" customHeight="1" x14ac:dyDescent="0.3">
      <c r="A2529" t="s">
        <v>3527</v>
      </c>
      <c r="B2529" t="s">
        <v>2680</v>
      </c>
      <c r="C2529" t="s">
        <v>95</v>
      </c>
      <c r="D2529" t="s">
        <v>179</v>
      </c>
      <c r="E2529" t="s">
        <v>3703</v>
      </c>
      <c r="F2529" t="s">
        <v>6056</v>
      </c>
      <c r="G2529" s="2" t="str">
        <f>HYPERLINK("https://forum.finance.ua/topic209265.html?p=4338453#p4338453")</f>
        <v>https://forum.finance.ua/topic209265.html?p=4338453#p4338453</v>
      </c>
      <c r="H2529" t="s">
        <v>6062</v>
      </c>
      <c r="I2529" t="s">
        <v>270</v>
      </c>
      <c r="J2529" s="2" t="str">
        <f>HYPERLINK("https://forum.finance.ua/memberlist.php?mode=viewprofile&amp;u=78433")</f>
        <v>https://forum.finance.ua/memberlist.php?mode=viewprofile&amp;u=78433</v>
      </c>
      <c r="N2529" t="s">
        <v>70</v>
      </c>
      <c r="O2529" t="s">
        <v>4</v>
      </c>
      <c r="P2529" s="2" t="str">
        <f>HYPERLINK("https://forum.finance.ua/topic209265.html?p=4338453#p4338453")</f>
        <v>https://forum.finance.ua/topic209265.html?p=4338453#p4338453</v>
      </c>
      <c r="R2529" t="s">
        <v>6066</v>
      </c>
      <c r="S2529" t="s">
        <v>6073</v>
      </c>
    </row>
    <row r="2530" spans="1:19" ht="14.25" customHeight="1" x14ac:dyDescent="0.3">
      <c r="A2530" t="s">
        <v>5409</v>
      </c>
      <c r="B2530" t="s">
        <v>2685</v>
      </c>
      <c r="C2530" t="s">
        <v>3538</v>
      </c>
      <c r="D2530" t="s">
        <v>179</v>
      </c>
      <c r="E2530" t="s">
        <v>5475</v>
      </c>
      <c r="F2530" t="s">
        <v>6056</v>
      </c>
      <c r="G2530" s="2" t="str">
        <f>HYPERLINK("https://forum.finance.ua/topic209265.html?p=4336502#p4336502")</f>
        <v>https://forum.finance.ua/topic209265.html?p=4336502#p4336502</v>
      </c>
      <c r="H2530" t="s">
        <v>6062</v>
      </c>
      <c r="I2530" t="s">
        <v>4951</v>
      </c>
      <c r="J2530" s="2" t="str">
        <f>HYPERLINK("https://forum.finance.ua/memberlist.php?mode=viewprofile&amp;u=14412")</f>
        <v>https://forum.finance.ua/memberlist.php?mode=viewprofile&amp;u=14412</v>
      </c>
      <c r="N2530" t="s">
        <v>70</v>
      </c>
      <c r="O2530" t="s">
        <v>4</v>
      </c>
      <c r="P2530" s="2" t="str">
        <f>HYPERLINK("https://forum.finance.ua/topic209265.html?p=4336502#p4336502")</f>
        <v>https://forum.finance.ua/topic209265.html?p=4336502#p4336502</v>
      </c>
      <c r="R2530" t="s">
        <v>6066</v>
      </c>
      <c r="S2530" t="s">
        <v>6073</v>
      </c>
    </row>
    <row r="2531" spans="1:19" ht="14.25" customHeight="1" x14ac:dyDescent="0.3">
      <c r="A2531" t="s">
        <v>4439</v>
      </c>
      <c r="B2531" t="s">
        <v>583</v>
      </c>
      <c r="C2531" t="s">
        <v>3538</v>
      </c>
      <c r="D2531" t="s">
        <v>179</v>
      </c>
      <c r="E2531" t="s">
        <v>4950</v>
      </c>
      <c r="F2531" t="s">
        <v>6056</v>
      </c>
      <c r="G2531" s="2" t="str">
        <f>HYPERLINK("https://forum.finance.ua/topic209265.html?p=4337159#p4337159")</f>
        <v>https://forum.finance.ua/topic209265.html?p=4337159#p4337159</v>
      </c>
      <c r="H2531" t="s">
        <v>6062</v>
      </c>
      <c r="I2531" t="s">
        <v>4951</v>
      </c>
      <c r="J2531" s="2" t="str">
        <f>HYPERLINK("https://forum.finance.ua/memberlist.php?mode=viewprofile&amp;u=14412")</f>
        <v>https://forum.finance.ua/memberlist.php?mode=viewprofile&amp;u=14412</v>
      </c>
      <c r="N2531" t="s">
        <v>70</v>
      </c>
      <c r="O2531" t="s">
        <v>4</v>
      </c>
      <c r="P2531" s="2" t="str">
        <f>HYPERLINK("https://forum.finance.ua/topic209265.html?p=4337159#p4337159")</f>
        <v>https://forum.finance.ua/topic209265.html?p=4337159#p4337159</v>
      </c>
      <c r="R2531" t="s">
        <v>6066</v>
      </c>
      <c r="S2531" t="s">
        <v>6073</v>
      </c>
    </row>
    <row r="2532" spans="1:19" ht="14.25" customHeight="1" x14ac:dyDescent="0.3">
      <c r="A2532" t="s">
        <v>5409</v>
      </c>
      <c r="B2532" t="s">
        <v>1466</v>
      </c>
      <c r="C2532" t="s">
        <v>3538</v>
      </c>
      <c r="D2532" t="s">
        <v>179</v>
      </c>
      <c r="E2532" t="s">
        <v>5804</v>
      </c>
      <c r="F2532" t="s">
        <v>6056</v>
      </c>
      <c r="G2532" s="2" t="str">
        <f>HYPERLINK("https://forum.finance.ua/topic209265.html?p=4335983#p4335983")</f>
        <v>https://forum.finance.ua/topic209265.html?p=4335983#p4335983</v>
      </c>
      <c r="H2532" t="s">
        <v>6062</v>
      </c>
      <c r="I2532" t="s">
        <v>772</v>
      </c>
      <c r="J2532" s="2" t="str">
        <f t="shared" ref="J2532:J2542" si="69">HYPERLINK("https://forum.finance.ua/memberlist.php?mode=viewprofile&amp;u=46832")</f>
        <v>https://forum.finance.ua/memberlist.php?mode=viewprofile&amp;u=46832</v>
      </c>
      <c r="N2532" t="s">
        <v>70</v>
      </c>
      <c r="O2532" t="s">
        <v>4</v>
      </c>
      <c r="P2532" s="2" t="str">
        <f>HYPERLINK("https://forum.finance.ua/topic209265.html?p=4335983#p4335983")</f>
        <v>https://forum.finance.ua/topic209265.html?p=4335983#p4335983</v>
      </c>
      <c r="R2532" t="s">
        <v>6066</v>
      </c>
      <c r="S2532" t="s">
        <v>6073</v>
      </c>
    </row>
    <row r="2533" spans="1:19" ht="14.25" customHeight="1" x14ac:dyDescent="0.3">
      <c r="A2533" t="s">
        <v>5409</v>
      </c>
      <c r="B2533" t="s">
        <v>26</v>
      </c>
      <c r="C2533" t="s">
        <v>3538</v>
      </c>
      <c r="D2533" t="s">
        <v>179</v>
      </c>
      <c r="E2533" t="s">
        <v>5691</v>
      </c>
      <c r="F2533" t="s">
        <v>6056</v>
      </c>
      <c r="G2533" s="2" t="str">
        <f>HYPERLINK("https://forum.finance.ua/topic209265.html?p=4336193#p4336193")</f>
        <v>https://forum.finance.ua/topic209265.html?p=4336193#p4336193</v>
      </c>
      <c r="H2533" t="s">
        <v>6062</v>
      </c>
      <c r="I2533" t="s">
        <v>772</v>
      </c>
      <c r="J2533" s="2" t="str">
        <f t="shared" si="69"/>
        <v>https://forum.finance.ua/memberlist.php?mode=viewprofile&amp;u=46832</v>
      </c>
      <c r="N2533" t="s">
        <v>70</v>
      </c>
      <c r="O2533" t="s">
        <v>4</v>
      </c>
      <c r="P2533" s="2" t="str">
        <f>HYPERLINK("https://forum.finance.ua/topic209265.html?p=4336193#p4336193")</f>
        <v>https://forum.finance.ua/topic209265.html?p=4336193#p4336193</v>
      </c>
      <c r="R2533" t="s">
        <v>6066</v>
      </c>
      <c r="S2533" t="s">
        <v>6073</v>
      </c>
    </row>
    <row r="2534" spans="1:19" ht="14.25" customHeight="1" x14ac:dyDescent="0.3">
      <c r="A2534" t="s">
        <v>4995</v>
      </c>
      <c r="B2534" t="s">
        <v>2428</v>
      </c>
      <c r="C2534" t="s">
        <v>3538</v>
      </c>
      <c r="D2534" t="s">
        <v>179</v>
      </c>
      <c r="E2534" t="s">
        <v>5035</v>
      </c>
      <c r="F2534" t="s">
        <v>6056</v>
      </c>
      <c r="G2534" s="2" t="str">
        <f>HYPERLINK("https://forum.finance.ua/topic209265.html?p=4337068#p4337068")</f>
        <v>https://forum.finance.ua/topic209265.html?p=4337068#p4337068</v>
      </c>
      <c r="H2534" t="s">
        <v>6062</v>
      </c>
      <c r="I2534" t="s">
        <v>772</v>
      </c>
      <c r="J2534" s="2" t="str">
        <f t="shared" si="69"/>
        <v>https://forum.finance.ua/memberlist.php?mode=viewprofile&amp;u=46832</v>
      </c>
      <c r="N2534" t="s">
        <v>70</v>
      </c>
      <c r="O2534" t="s">
        <v>4</v>
      </c>
      <c r="P2534" s="2" t="str">
        <f>HYPERLINK("https://forum.finance.ua/topic209265.html?p=4337068#p4337068")</f>
        <v>https://forum.finance.ua/topic209265.html?p=4337068#p4337068</v>
      </c>
      <c r="R2534" t="s">
        <v>6066</v>
      </c>
      <c r="S2534" t="s">
        <v>6073</v>
      </c>
    </row>
    <row r="2535" spans="1:19" ht="14.25" customHeight="1" x14ac:dyDescent="0.3">
      <c r="A2535" t="s">
        <v>4995</v>
      </c>
      <c r="B2535" t="s">
        <v>695</v>
      </c>
      <c r="C2535" t="s">
        <v>3538</v>
      </c>
      <c r="D2535" t="s">
        <v>179</v>
      </c>
      <c r="E2535" t="s">
        <v>5022</v>
      </c>
      <c r="F2535" t="s">
        <v>6056</v>
      </c>
      <c r="G2535" s="2" t="str">
        <f>HYPERLINK("https://forum.finance.ua/topic209265.html?p=4337100#p4337100")</f>
        <v>https://forum.finance.ua/topic209265.html?p=4337100#p4337100</v>
      </c>
      <c r="H2535" t="s">
        <v>6062</v>
      </c>
      <c r="I2535" t="s">
        <v>772</v>
      </c>
      <c r="J2535" s="2" t="str">
        <f t="shared" si="69"/>
        <v>https://forum.finance.ua/memberlist.php?mode=viewprofile&amp;u=46832</v>
      </c>
      <c r="N2535" t="s">
        <v>70</v>
      </c>
      <c r="O2535" t="s">
        <v>4</v>
      </c>
      <c r="P2535" s="2" t="str">
        <f>HYPERLINK("https://forum.finance.ua/topic209265.html?p=4337100#p4337100")</f>
        <v>https://forum.finance.ua/topic209265.html?p=4337100#p4337100</v>
      </c>
      <c r="R2535" t="s">
        <v>6066</v>
      </c>
      <c r="S2535" t="s">
        <v>6073</v>
      </c>
    </row>
    <row r="2536" spans="1:19" ht="14.25" customHeight="1" x14ac:dyDescent="0.3">
      <c r="A2536" t="s">
        <v>4995</v>
      </c>
      <c r="B2536" t="s">
        <v>657</v>
      </c>
      <c r="C2536" t="s">
        <v>3538</v>
      </c>
      <c r="D2536" t="s">
        <v>179</v>
      </c>
      <c r="E2536" t="s">
        <v>5008</v>
      </c>
      <c r="F2536" t="s">
        <v>6056</v>
      </c>
      <c r="G2536" s="2" t="str">
        <f>HYPERLINK("https://forum.finance.ua/topic209265.html?p=4337122#p4337122")</f>
        <v>https://forum.finance.ua/topic209265.html?p=4337122#p4337122</v>
      </c>
      <c r="H2536" t="s">
        <v>6062</v>
      </c>
      <c r="I2536" t="s">
        <v>772</v>
      </c>
      <c r="J2536" s="2" t="str">
        <f t="shared" si="69"/>
        <v>https://forum.finance.ua/memberlist.php?mode=viewprofile&amp;u=46832</v>
      </c>
      <c r="N2536" t="s">
        <v>70</v>
      </c>
      <c r="O2536" t="s">
        <v>4</v>
      </c>
      <c r="P2536" s="2" t="str">
        <f>HYPERLINK("https://forum.finance.ua/topic209265.html?p=4337122#p4337122")</f>
        <v>https://forum.finance.ua/topic209265.html?p=4337122#p4337122</v>
      </c>
      <c r="R2536" t="s">
        <v>6066</v>
      </c>
      <c r="S2536" t="s">
        <v>6073</v>
      </c>
    </row>
    <row r="2537" spans="1:19" ht="14.25" customHeight="1" x14ac:dyDescent="0.3">
      <c r="A2537" t="s">
        <v>4439</v>
      </c>
      <c r="B2537" t="s">
        <v>572</v>
      </c>
      <c r="C2537" t="s">
        <v>3538</v>
      </c>
      <c r="D2537" t="s">
        <v>179</v>
      </c>
      <c r="E2537" t="s">
        <v>4948</v>
      </c>
      <c r="F2537" t="s">
        <v>6056</v>
      </c>
      <c r="G2537" s="2" t="str">
        <f>HYPERLINK("https://forum.finance.ua/topic209265.html?p=4337161#p4337161")</f>
        <v>https://forum.finance.ua/topic209265.html?p=4337161#p4337161</v>
      </c>
      <c r="H2537" t="s">
        <v>6062</v>
      </c>
      <c r="I2537" t="s">
        <v>772</v>
      </c>
      <c r="J2537" s="2" t="str">
        <f t="shared" si="69"/>
        <v>https://forum.finance.ua/memberlist.php?mode=viewprofile&amp;u=46832</v>
      </c>
      <c r="N2537" t="s">
        <v>70</v>
      </c>
      <c r="O2537" t="s">
        <v>4</v>
      </c>
      <c r="P2537" s="2" t="str">
        <f>HYPERLINK("https://forum.finance.ua/topic209265.html?p=4337161#p4337161")</f>
        <v>https://forum.finance.ua/topic209265.html?p=4337161#p4337161</v>
      </c>
      <c r="R2537" t="s">
        <v>6066</v>
      </c>
      <c r="S2537" t="s">
        <v>6073</v>
      </c>
    </row>
    <row r="2538" spans="1:19" ht="14.25" customHeight="1" x14ac:dyDescent="0.3">
      <c r="A2538" t="s">
        <v>4439</v>
      </c>
      <c r="B2538" t="s">
        <v>2348</v>
      </c>
      <c r="C2538" t="s">
        <v>3538</v>
      </c>
      <c r="D2538" t="s">
        <v>179</v>
      </c>
      <c r="E2538" t="s">
        <v>4472</v>
      </c>
      <c r="F2538" t="s">
        <v>6056</v>
      </c>
      <c r="G2538" s="2" t="str">
        <f>HYPERLINK("https://forum.finance.ua/topic209265.html?p=4337634#p4337634")</f>
        <v>https://forum.finance.ua/topic209265.html?p=4337634#p4337634</v>
      </c>
      <c r="H2538" t="s">
        <v>6062</v>
      </c>
      <c r="I2538" t="s">
        <v>772</v>
      </c>
      <c r="J2538" s="2" t="str">
        <f t="shared" si="69"/>
        <v>https://forum.finance.ua/memberlist.php?mode=viewprofile&amp;u=46832</v>
      </c>
      <c r="N2538" t="s">
        <v>70</v>
      </c>
      <c r="O2538" t="s">
        <v>4</v>
      </c>
      <c r="P2538" s="2" t="str">
        <f>HYPERLINK("https://forum.finance.ua/topic209265.html?p=4337634#p4337634")</f>
        <v>https://forum.finance.ua/topic209265.html?p=4337634#p4337634</v>
      </c>
      <c r="R2538" t="s">
        <v>6066</v>
      </c>
      <c r="S2538" t="s">
        <v>6073</v>
      </c>
    </row>
    <row r="2539" spans="1:19" ht="14.25" customHeight="1" x14ac:dyDescent="0.3">
      <c r="A2539" t="s">
        <v>2225</v>
      </c>
      <c r="B2539" t="s">
        <v>2916</v>
      </c>
      <c r="C2539" t="s">
        <v>95</v>
      </c>
      <c r="D2539" t="s">
        <v>179</v>
      </c>
      <c r="E2539" t="s">
        <v>2918</v>
      </c>
      <c r="F2539" t="s">
        <v>6056</v>
      </c>
      <c r="G2539" s="2" t="str">
        <f>HYPERLINK("https://forum.finance.ua/topic209265.html?p=4339337#p4339337")</f>
        <v>https://forum.finance.ua/topic209265.html?p=4339337#p4339337</v>
      </c>
      <c r="H2539" t="s">
        <v>6062</v>
      </c>
      <c r="I2539" t="s">
        <v>772</v>
      </c>
      <c r="J2539" s="2" t="str">
        <f t="shared" si="69"/>
        <v>https://forum.finance.ua/memberlist.php?mode=viewprofile&amp;u=46832</v>
      </c>
      <c r="N2539" t="s">
        <v>70</v>
      </c>
      <c r="O2539" t="s">
        <v>4</v>
      </c>
      <c r="P2539" s="2" t="str">
        <f>HYPERLINK("https://forum.finance.ua/topic209265.html?p=4339337#p4339337")</f>
        <v>https://forum.finance.ua/topic209265.html?p=4339337#p4339337</v>
      </c>
      <c r="R2539" t="s">
        <v>6066</v>
      </c>
      <c r="S2539" t="s">
        <v>6073</v>
      </c>
    </row>
    <row r="2540" spans="1:19" ht="14.25" customHeight="1" x14ac:dyDescent="0.3">
      <c r="A2540" t="s">
        <v>2225</v>
      </c>
      <c r="B2540" t="s">
        <v>793</v>
      </c>
      <c r="C2540" t="s">
        <v>95</v>
      </c>
      <c r="D2540" t="s">
        <v>179</v>
      </c>
      <c r="E2540" t="s">
        <v>2919</v>
      </c>
      <c r="F2540" t="s">
        <v>6056</v>
      </c>
      <c r="G2540" s="2" t="str">
        <f>HYPERLINK("https://forum.finance.ua/topic209265.html?p=4339331#p4339331")</f>
        <v>https://forum.finance.ua/topic209265.html?p=4339331#p4339331</v>
      </c>
      <c r="H2540" t="s">
        <v>6062</v>
      </c>
      <c r="I2540" t="s">
        <v>772</v>
      </c>
      <c r="J2540" s="2" t="str">
        <f t="shared" si="69"/>
        <v>https://forum.finance.ua/memberlist.php?mode=viewprofile&amp;u=46832</v>
      </c>
      <c r="N2540" t="s">
        <v>70</v>
      </c>
      <c r="O2540" t="s">
        <v>4</v>
      </c>
      <c r="P2540" s="2" t="str">
        <f>HYPERLINK("https://forum.finance.ua/topic209265.html?p=4339331#p4339331")</f>
        <v>https://forum.finance.ua/topic209265.html?p=4339331#p4339331</v>
      </c>
      <c r="R2540" t="s">
        <v>6066</v>
      </c>
      <c r="S2540" t="s">
        <v>6073</v>
      </c>
    </row>
    <row r="2541" spans="1:19" ht="14.25" customHeight="1" x14ac:dyDescent="0.3">
      <c r="A2541" t="s">
        <v>2225</v>
      </c>
      <c r="B2541" t="s">
        <v>2381</v>
      </c>
      <c r="C2541" t="s">
        <v>95</v>
      </c>
      <c r="D2541" t="s">
        <v>179</v>
      </c>
      <c r="E2541" t="s">
        <v>2382</v>
      </c>
      <c r="F2541" t="s">
        <v>6056</v>
      </c>
      <c r="G2541" s="2" t="str">
        <f>HYPERLINK("https://forum.finance.ua/topic209265.html?p=4339385#p4339385")</f>
        <v>https://forum.finance.ua/topic209265.html?p=4339385#p4339385</v>
      </c>
      <c r="H2541" t="s">
        <v>6062</v>
      </c>
      <c r="I2541" t="s">
        <v>772</v>
      </c>
      <c r="J2541" s="2" t="str">
        <f t="shared" si="69"/>
        <v>https://forum.finance.ua/memberlist.php?mode=viewprofile&amp;u=46832</v>
      </c>
      <c r="N2541" t="s">
        <v>70</v>
      </c>
      <c r="O2541" t="s">
        <v>4</v>
      </c>
      <c r="P2541" s="2" t="str">
        <f>HYPERLINK("https://forum.finance.ua/topic209265.html?p=4339385#p4339385")</f>
        <v>https://forum.finance.ua/topic209265.html?p=4339385#p4339385</v>
      </c>
      <c r="R2541" t="s">
        <v>6066</v>
      </c>
      <c r="S2541" t="s">
        <v>6073</v>
      </c>
    </row>
    <row r="2542" spans="1:19" ht="14.25" customHeight="1" x14ac:dyDescent="0.3">
      <c r="A2542" t="s">
        <v>4995</v>
      </c>
      <c r="B2542" t="s">
        <v>2994</v>
      </c>
      <c r="C2542" t="s">
        <v>3538</v>
      </c>
      <c r="D2542" t="s">
        <v>179</v>
      </c>
      <c r="E2542" t="s">
        <v>5092</v>
      </c>
      <c r="F2542" t="s">
        <v>6056</v>
      </c>
      <c r="G2542" s="2" t="str">
        <f>HYPERLINK("https://forum.finance.ua/topic209265.html?p=4336997#p4336997")</f>
        <v>https://forum.finance.ua/topic209265.html?p=4336997#p4336997</v>
      </c>
      <c r="H2542" t="s">
        <v>6062</v>
      </c>
      <c r="I2542" t="s">
        <v>772</v>
      </c>
      <c r="J2542" s="2" t="str">
        <f t="shared" si="69"/>
        <v>https://forum.finance.ua/memberlist.php?mode=viewprofile&amp;u=46832</v>
      </c>
      <c r="N2542" t="s">
        <v>70</v>
      </c>
      <c r="O2542" t="s">
        <v>4</v>
      </c>
      <c r="P2542" s="2" t="str">
        <f>HYPERLINK("https://forum.finance.ua/topic209265.html?p=4336997#p4336997")</f>
        <v>https://forum.finance.ua/topic209265.html?p=4336997#p4336997</v>
      </c>
      <c r="R2542" t="s">
        <v>6066</v>
      </c>
      <c r="S2542" t="s">
        <v>6073</v>
      </c>
    </row>
    <row r="2543" spans="1:19" ht="14.25" customHeight="1" x14ac:dyDescent="0.3">
      <c r="A2543" t="s">
        <v>4439</v>
      </c>
      <c r="B2543" t="s">
        <v>3077</v>
      </c>
      <c r="C2543" t="s">
        <v>3538</v>
      </c>
      <c r="D2543" t="s">
        <v>179</v>
      </c>
      <c r="E2543" t="s">
        <v>4604</v>
      </c>
      <c r="F2543" t="s">
        <v>6056</v>
      </c>
      <c r="G2543" s="2" t="str">
        <f>HYPERLINK("https://forum.finance.ua/topic209265.html?p=4337459#p4337459")</f>
        <v>https://forum.finance.ua/topic209265.html?p=4337459#p4337459</v>
      </c>
      <c r="H2543" t="s">
        <v>6062</v>
      </c>
      <c r="I2543" t="s">
        <v>4008</v>
      </c>
      <c r="J2543" s="2" t="str">
        <f>HYPERLINK("https://forum.finance.ua/memberlist.php?mode=viewprofile&amp;u=112341")</f>
        <v>https://forum.finance.ua/memberlist.php?mode=viewprofile&amp;u=112341</v>
      </c>
      <c r="N2543" t="s">
        <v>70</v>
      </c>
      <c r="O2543" t="s">
        <v>4</v>
      </c>
      <c r="P2543" s="2" t="str">
        <f>HYPERLINK("https://forum.finance.ua/topic209265.html?p=4337459#p4337459")</f>
        <v>https://forum.finance.ua/topic209265.html?p=4337459#p4337459</v>
      </c>
      <c r="R2543" t="s">
        <v>6066</v>
      </c>
      <c r="S2543" t="s">
        <v>6073</v>
      </c>
    </row>
    <row r="2544" spans="1:19" ht="14.25" customHeight="1" x14ac:dyDescent="0.3">
      <c r="A2544" t="s">
        <v>4439</v>
      </c>
      <c r="B2544" t="s">
        <v>3516</v>
      </c>
      <c r="C2544" t="s">
        <v>3538</v>
      </c>
      <c r="D2544" t="s">
        <v>179</v>
      </c>
      <c r="E2544" t="s">
        <v>4982</v>
      </c>
      <c r="F2544" t="s">
        <v>6056</v>
      </c>
      <c r="G2544" s="2" t="str">
        <f>HYPERLINK("https://forum.finance.ua/topic209265.html?p=4337146#p4337146")</f>
        <v>https://forum.finance.ua/topic209265.html?p=4337146#p4337146</v>
      </c>
      <c r="H2544" t="s">
        <v>6062</v>
      </c>
      <c r="I2544" t="s">
        <v>4008</v>
      </c>
      <c r="J2544" s="2" t="str">
        <f>HYPERLINK("https://forum.finance.ua/memberlist.php?mode=viewprofile&amp;u=112341")</f>
        <v>https://forum.finance.ua/memberlist.php?mode=viewprofile&amp;u=112341</v>
      </c>
      <c r="N2544" t="s">
        <v>70</v>
      </c>
      <c r="O2544" t="s">
        <v>4</v>
      </c>
      <c r="P2544" s="2" t="str">
        <f>HYPERLINK("https://forum.finance.ua/topic209265.html?p=4337146#p4337146")</f>
        <v>https://forum.finance.ua/topic209265.html?p=4337146#p4337146</v>
      </c>
      <c r="R2544" t="s">
        <v>6066</v>
      </c>
      <c r="S2544" t="s">
        <v>6073</v>
      </c>
    </row>
    <row r="2545" spans="1:19" ht="14.25" customHeight="1" x14ac:dyDescent="0.3">
      <c r="A2545" t="s">
        <v>5409</v>
      </c>
      <c r="B2545" t="s">
        <v>661</v>
      </c>
      <c r="C2545" t="s">
        <v>3538</v>
      </c>
      <c r="D2545" t="s">
        <v>179</v>
      </c>
      <c r="E2545" t="s">
        <v>5428</v>
      </c>
      <c r="F2545" t="s">
        <v>6056</v>
      </c>
      <c r="G2545" s="2" t="str">
        <f>HYPERLINK("https://forum.finance.ua/topic209265.html?p=4336576#p4336576")</f>
        <v>https://forum.finance.ua/topic209265.html?p=4336576#p4336576</v>
      </c>
      <c r="H2545" t="s">
        <v>6062</v>
      </c>
      <c r="I2545" t="s">
        <v>4008</v>
      </c>
      <c r="J2545" s="2" t="str">
        <f>HYPERLINK("https://forum.finance.ua/memberlist.php?mode=viewprofile&amp;u=112341")</f>
        <v>https://forum.finance.ua/memberlist.php?mode=viewprofile&amp;u=112341</v>
      </c>
      <c r="N2545" t="s">
        <v>70</v>
      </c>
      <c r="O2545" t="s">
        <v>4</v>
      </c>
      <c r="P2545" s="2" t="str">
        <f>HYPERLINK("https://forum.finance.ua/topic209265.html?p=4336576#p4336576")</f>
        <v>https://forum.finance.ua/topic209265.html?p=4336576#p4336576</v>
      </c>
      <c r="R2545" t="s">
        <v>6066</v>
      </c>
      <c r="S2545" t="s">
        <v>6073</v>
      </c>
    </row>
    <row r="2546" spans="1:19" ht="14.25" customHeight="1" x14ac:dyDescent="0.3">
      <c r="A2546" t="s">
        <v>3527</v>
      </c>
      <c r="B2546" t="s">
        <v>977</v>
      </c>
      <c r="C2546" t="s">
        <v>95</v>
      </c>
      <c r="D2546" t="s">
        <v>179</v>
      </c>
      <c r="E2546" t="s">
        <v>4007</v>
      </c>
      <c r="F2546" t="s">
        <v>6056</v>
      </c>
      <c r="G2546" s="2" t="str">
        <f>HYPERLINK("https://forum.finance.ua/topic209265.html?p=4338278#p4338278")</f>
        <v>https://forum.finance.ua/topic209265.html?p=4338278#p4338278</v>
      </c>
      <c r="H2546" t="s">
        <v>6062</v>
      </c>
      <c r="I2546" t="s">
        <v>4008</v>
      </c>
      <c r="J2546" s="2" t="str">
        <f>HYPERLINK("https://forum.finance.ua/memberlist.php?mode=viewprofile&amp;u=112341")</f>
        <v>https://forum.finance.ua/memberlist.php?mode=viewprofile&amp;u=112341</v>
      </c>
      <c r="N2546" t="s">
        <v>70</v>
      </c>
      <c r="O2546" t="s">
        <v>4</v>
      </c>
      <c r="P2546" s="2" t="str">
        <f>HYPERLINK("https://forum.finance.ua/topic209265.html?p=4338278#p4338278")</f>
        <v>https://forum.finance.ua/topic209265.html?p=4338278#p4338278</v>
      </c>
      <c r="R2546" t="s">
        <v>6066</v>
      </c>
      <c r="S2546" t="s">
        <v>6073</v>
      </c>
    </row>
    <row r="2547" spans="1:19" ht="14.25" customHeight="1" x14ac:dyDescent="0.3">
      <c r="A2547" t="s">
        <v>5409</v>
      </c>
      <c r="B2547" t="s">
        <v>700</v>
      </c>
      <c r="C2547" t="s">
        <v>3538</v>
      </c>
      <c r="D2547" t="s">
        <v>179</v>
      </c>
      <c r="E2547" t="s">
        <v>5446</v>
      </c>
      <c r="F2547" t="s">
        <v>6056</v>
      </c>
      <c r="G2547" s="2" t="str">
        <f>HYPERLINK("https://forum.finance.ua/topic209265.html?p=4336548#p4336548")</f>
        <v>https://forum.finance.ua/topic209265.html?p=4336548#p4336548</v>
      </c>
      <c r="H2547" t="s">
        <v>6062</v>
      </c>
      <c r="I2547" t="s">
        <v>5447</v>
      </c>
      <c r="J2547" s="2" t="str">
        <f>HYPERLINK("https://forum.finance.ua/memberlist.php?mode=viewprofile&amp;u=59980")</f>
        <v>https://forum.finance.ua/memberlist.php?mode=viewprofile&amp;u=59980</v>
      </c>
      <c r="N2547" t="s">
        <v>70</v>
      </c>
      <c r="O2547" t="s">
        <v>4</v>
      </c>
      <c r="P2547" s="2" t="str">
        <f>HYPERLINK("https://forum.finance.ua/topic209265.html?p=4336548#p4336548")</f>
        <v>https://forum.finance.ua/topic209265.html?p=4336548#p4336548</v>
      </c>
      <c r="R2547" t="s">
        <v>6066</v>
      </c>
      <c r="S2547" t="s">
        <v>6073</v>
      </c>
    </row>
    <row r="2548" spans="1:19" ht="14.25" customHeight="1" x14ac:dyDescent="0.3">
      <c r="A2548" t="s">
        <v>4439</v>
      </c>
      <c r="B2548" t="s">
        <v>4617</v>
      </c>
      <c r="C2548" t="s">
        <v>3538</v>
      </c>
      <c r="D2548" t="s">
        <v>179</v>
      </c>
      <c r="E2548" t="s">
        <v>4618</v>
      </c>
      <c r="F2548" t="s">
        <v>6056</v>
      </c>
      <c r="G2548" s="2" t="str">
        <f>HYPERLINK("https://forum.finance.ua/topic209265.html?p=4337421#p4337421")</f>
        <v>https://forum.finance.ua/topic209265.html?p=4337421#p4337421</v>
      </c>
      <c r="H2548" t="s">
        <v>6062</v>
      </c>
      <c r="I2548" t="s">
        <v>4347</v>
      </c>
      <c r="J2548" s="2" t="str">
        <f>HYPERLINK("https://forum.finance.ua/memberlist.php?mode=viewprofile&amp;u=34051")</f>
        <v>https://forum.finance.ua/memberlist.php?mode=viewprofile&amp;u=34051</v>
      </c>
      <c r="N2548" t="s">
        <v>70</v>
      </c>
      <c r="O2548" t="s">
        <v>4</v>
      </c>
      <c r="P2548" s="2" t="str">
        <f>HYPERLINK("https://forum.finance.ua/topic209265.html?p=4337421#p4337421")</f>
        <v>https://forum.finance.ua/topic209265.html?p=4337421#p4337421</v>
      </c>
      <c r="R2548" t="s">
        <v>6066</v>
      </c>
      <c r="S2548" t="s">
        <v>6073</v>
      </c>
    </row>
    <row r="2549" spans="1:19" ht="14.25" customHeight="1" x14ac:dyDescent="0.3">
      <c r="A2549" t="s">
        <v>3527</v>
      </c>
      <c r="B2549" t="s">
        <v>4344</v>
      </c>
      <c r="C2549" t="s">
        <v>3538</v>
      </c>
      <c r="D2549" t="s">
        <v>179</v>
      </c>
      <c r="E2549" t="s">
        <v>4346</v>
      </c>
      <c r="F2549" t="s">
        <v>6056</v>
      </c>
      <c r="G2549" s="2" t="str">
        <f>HYPERLINK("https://forum.finance.ua/topic209265.html?p=4337747#p4337747")</f>
        <v>https://forum.finance.ua/topic209265.html?p=4337747#p4337747</v>
      </c>
      <c r="H2549" t="s">
        <v>6062</v>
      </c>
      <c r="I2549" t="s">
        <v>4347</v>
      </c>
      <c r="J2549" s="2" t="str">
        <f>HYPERLINK("https://forum.finance.ua/memberlist.php?mode=viewprofile&amp;u=34051")</f>
        <v>https://forum.finance.ua/memberlist.php?mode=viewprofile&amp;u=34051</v>
      </c>
      <c r="N2549" t="s">
        <v>70</v>
      </c>
      <c r="O2549" t="s">
        <v>4</v>
      </c>
      <c r="P2549" s="2" t="str">
        <f>HYPERLINK("https://forum.finance.ua/topic209265.html?p=4337747#p4337747")</f>
        <v>https://forum.finance.ua/topic209265.html?p=4337747#p4337747</v>
      </c>
      <c r="R2549" t="s">
        <v>6066</v>
      </c>
      <c r="S2549" t="s">
        <v>6073</v>
      </c>
    </row>
    <row r="2550" spans="1:19" ht="14.25" customHeight="1" x14ac:dyDescent="0.3">
      <c r="A2550" t="s">
        <v>4439</v>
      </c>
      <c r="B2550" t="s">
        <v>57</v>
      </c>
      <c r="C2550" t="s">
        <v>3538</v>
      </c>
      <c r="D2550" t="s">
        <v>179</v>
      </c>
      <c r="E2550" t="s">
        <v>4661</v>
      </c>
      <c r="F2550" t="s">
        <v>6056</v>
      </c>
      <c r="G2550" s="2" t="str">
        <f>HYPERLINK("https://forum.finance.ua/topic209265.html?p=4337352#p4337352")</f>
        <v>https://forum.finance.ua/topic209265.html?p=4337352#p4337352</v>
      </c>
      <c r="H2550" t="s">
        <v>6062</v>
      </c>
      <c r="I2550" t="s">
        <v>2236</v>
      </c>
      <c r="J2550" s="2" t="str">
        <f>HYPERLINK("https://forum.finance.ua/memberlist.php?mode=viewprofile&amp;u=50405")</f>
        <v>https://forum.finance.ua/memberlist.php?mode=viewprofile&amp;u=50405</v>
      </c>
      <c r="N2550" t="s">
        <v>70</v>
      </c>
      <c r="O2550" t="s">
        <v>4</v>
      </c>
      <c r="P2550" s="2" t="str">
        <f>HYPERLINK("https://forum.finance.ua/topic209265.html?p=4337352#p4337352")</f>
        <v>https://forum.finance.ua/topic209265.html?p=4337352#p4337352</v>
      </c>
      <c r="R2550" t="s">
        <v>6066</v>
      </c>
      <c r="S2550" t="s">
        <v>6073</v>
      </c>
    </row>
    <row r="2551" spans="1:19" ht="14.25" customHeight="1" x14ac:dyDescent="0.3">
      <c r="A2551" t="s">
        <v>2225</v>
      </c>
      <c r="B2551" t="s">
        <v>2234</v>
      </c>
      <c r="C2551" t="s">
        <v>95</v>
      </c>
      <c r="D2551" t="s">
        <v>179</v>
      </c>
      <c r="E2551" t="s">
        <v>2235</v>
      </c>
      <c r="F2551" t="s">
        <v>6056</v>
      </c>
      <c r="G2551" s="2" t="str">
        <f>HYPERLINK("https://forum.finance.ua/topic209265.html?p=4339459#p4339459")</f>
        <v>https://forum.finance.ua/topic209265.html?p=4339459#p4339459</v>
      </c>
      <c r="H2551" t="s">
        <v>6062</v>
      </c>
      <c r="I2551" t="s">
        <v>2236</v>
      </c>
      <c r="J2551" s="2" t="str">
        <f>HYPERLINK("https://forum.finance.ua/memberlist.php?mode=viewprofile&amp;u=50405")</f>
        <v>https://forum.finance.ua/memberlist.php?mode=viewprofile&amp;u=50405</v>
      </c>
      <c r="N2551" t="s">
        <v>70</v>
      </c>
      <c r="O2551" t="s">
        <v>4</v>
      </c>
      <c r="P2551" s="2" t="str">
        <f>HYPERLINK("https://forum.finance.ua/topic209265.html?p=4339459#p4339459")</f>
        <v>https://forum.finance.ua/topic209265.html?p=4339459#p4339459</v>
      </c>
      <c r="R2551" t="s">
        <v>6066</v>
      </c>
      <c r="S2551" t="s">
        <v>6073</v>
      </c>
    </row>
    <row r="2552" spans="1:19" ht="14.25" customHeight="1" x14ac:dyDescent="0.3">
      <c r="A2552" t="s">
        <v>4439</v>
      </c>
      <c r="B2552" t="s">
        <v>2628</v>
      </c>
      <c r="C2552" t="s">
        <v>3538</v>
      </c>
      <c r="D2552" t="s">
        <v>179</v>
      </c>
      <c r="E2552" t="s">
        <v>4499</v>
      </c>
      <c r="F2552" t="s">
        <v>6056</v>
      </c>
      <c r="G2552" s="2" t="str">
        <f>HYPERLINK("https://forum.finance.ua/topic209265.html?p=4337596#p4337596")</f>
        <v>https://forum.finance.ua/topic209265.html?p=4337596#p4337596</v>
      </c>
      <c r="H2552" t="s">
        <v>6062</v>
      </c>
      <c r="I2552" t="s">
        <v>4500</v>
      </c>
      <c r="J2552" s="2" t="str">
        <f>HYPERLINK("https://forum.finance.ua/memberlist.php?mode=viewprofile&amp;u=56947")</f>
        <v>https://forum.finance.ua/memberlist.php?mode=viewprofile&amp;u=56947</v>
      </c>
      <c r="N2552" t="s">
        <v>70</v>
      </c>
      <c r="O2552" t="s">
        <v>4</v>
      </c>
      <c r="P2552" s="2" t="str">
        <f>HYPERLINK("https://forum.finance.ua/topic209265.html?p=4337596#p4337596")</f>
        <v>https://forum.finance.ua/topic209265.html?p=4337596#p4337596</v>
      </c>
      <c r="R2552" t="s">
        <v>6066</v>
      </c>
      <c r="S2552" t="s">
        <v>6073</v>
      </c>
    </row>
    <row r="2553" spans="1:19" ht="14.25" customHeight="1" x14ac:dyDescent="0.3">
      <c r="A2553" t="s">
        <v>2225</v>
      </c>
      <c r="B2553" t="s">
        <v>2422</v>
      </c>
      <c r="C2553" t="s">
        <v>95</v>
      </c>
      <c r="D2553" t="s">
        <v>179</v>
      </c>
      <c r="E2553" t="s">
        <v>2424</v>
      </c>
      <c r="F2553" t="s">
        <v>6056</v>
      </c>
      <c r="G2553" s="2" t="str">
        <f>HYPERLINK("https://forum.finance.ua/topic209265.html?p=4339380#p4339380")</f>
        <v>https://forum.finance.ua/topic209265.html?p=4339380#p4339380</v>
      </c>
      <c r="H2553" t="s">
        <v>6062</v>
      </c>
      <c r="I2553" t="s">
        <v>2425</v>
      </c>
      <c r="J2553" s="2" t="str">
        <f>HYPERLINK("https://forum.finance.ua/memberlist.php?mode=viewprofile&amp;u=77355")</f>
        <v>https://forum.finance.ua/memberlist.php?mode=viewprofile&amp;u=77355</v>
      </c>
      <c r="N2553" t="s">
        <v>70</v>
      </c>
      <c r="O2553" t="s">
        <v>4</v>
      </c>
      <c r="P2553" s="2" t="str">
        <f>HYPERLINK("https://forum.finance.ua/topic209265.html?p=4339380#p4339380")</f>
        <v>https://forum.finance.ua/topic209265.html?p=4339380#p4339380</v>
      </c>
      <c r="R2553" t="s">
        <v>6066</v>
      </c>
      <c r="S2553" t="s">
        <v>6073</v>
      </c>
    </row>
    <row r="2554" spans="1:19" ht="14.25" customHeight="1" x14ac:dyDescent="0.3">
      <c r="A2554" t="s">
        <v>3527</v>
      </c>
      <c r="B2554" t="s">
        <v>2933</v>
      </c>
      <c r="C2554" t="s">
        <v>95</v>
      </c>
      <c r="D2554" t="s">
        <v>179</v>
      </c>
      <c r="E2554" t="s">
        <v>3771</v>
      </c>
      <c r="F2554" t="s">
        <v>6056</v>
      </c>
      <c r="G2554" s="2" t="str">
        <f>HYPERLINK("https://forum.finance.ua/topic209265.html?p=4338413#p4338413")</f>
        <v>https://forum.finance.ua/topic209265.html?p=4338413#p4338413</v>
      </c>
      <c r="H2554" t="s">
        <v>6062</v>
      </c>
      <c r="I2554" t="s">
        <v>3772</v>
      </c>
      <c r="J2554" s="2" t="str">
        <f>HYPERLINK("https://forum.finance.ua/memberlist.php?mode=viewprofile&amp;u=100339")</f>
        <v>https://forum.finance.ua/memberlist.php?mode=viewprofile&amp;u=100339</v>
      </c>
      <c r="N2554" t="s">
        <v>70</v>
      </c>
      <c r="O2554" t="s">
        <v>4</v>
      </c>
      <c r="P2554" s="2" t="str">
        <f>HYPERLINK("https://forum.finance.ua/topic209265.html?p=4338413#p4338413")</f>
        <v>https://forum.finance.ua/topic209265.html?p=4338413#p4338413</v>
      </c>
      <c r="R2554" t="s">
        <v>6066</v>
      </c>
      <c r="S2554" t="s">
        <v>6073</v>
      </c>
    </row>
    <row r="2555" spans="1:19" ht="14.25" customHeight="1" x14ac:dyDescent="0.3">
      <c r="A2555" t="s">
        <v>4439</v>
      </c>
      <c r="B2555" t="s">
        <v>390</v>
      </c>
      <c r="C2555" t="s">
        <v>3538</v>
      </c>
      <c r="D2555" t="s">
        <v>179</v>
      </c>
      <c r="E2555" t="s">
        <v>4823</v>
      </c>
      <c r="F2555" t="s">
        <v>6056</v>
      </c>
      <c r="G2555" s="2" t="str">
        <f>HYPERLINK("https://forum.finance.ua/topic209265.html?p=4337213#p4337213")</f>
        <v>https://forum.finance.ua/topic209265.html?p=4337213#p4337213</v>
      </c>
      <c r="H2555" t="s">
        <v>6062</v>
      </c>
      <c r="I2555" t="s">
        <v>205</v>
      </c>
      <c r="J2555" s="2" t="str">
        <f>HYPERLINK("https://forum.finance.ua/memberlist.php?mode=viewprofile&amp;u=63899")</f>
        <v>https://forum.finance.ua/memberlist.php?mode=viewprofile&amp;u=63899</v>
      </c>
      <c r="N2555" t="s">
        <v>70</v>
      </c>
      <c r="O2555" t="s">
        <v>4</v>
      </c>
      <c r="P2555" s="2" t="str">
        <f>HYPERLINK("https://forum.finance.ua/topic209265.html?p=4337213#p4337213")</f>
        <v>https://forum.finance.ua/topic209265.html?p=4337213#p4337213</v>
      </c>
      <c r="R2555" t="s">
        <v>6066</v>
      </c>
      <c r="S2555" t="s">
        <v>6073</v>
      </c>
    </row>
    <row r="2556" spans="1:19" ht="14.25" customHeight="1" x14ac:dyDescent="0.3">
      <c r="A2556" t="s">
        <v>4439</v>
      </c>
      <c r="B2556" t="s">
        <v>1089</v>
      </c>
      <c r="C2556" t="s">
        <v>3538</v>
      </c>
      <c r="D2556" t="s">
        <v>179</v>
      </c>
      <c r="E2556" t="s">
        <v>4622</v>
      </c>
      <c r="F2556" t="s">
        <v>6056</v>
      </c>
      <c r="G2556" s="2" t="str">
        <f>HYPERLINK("https://forum.finance.ua/topic209265.html?p=4337412#p4337412")</f>
        <v>https://forum.finance.ua/topic209265.html?p=4337412#p4337412</v>
      </c>
      <c r="H2556" t="s">
        <v>6062</v>
      </c>
      <c r="I2556" t="s">
        <v>205</v>
      </c>
      <c r="J2556" s="2" t="str">
        <f>HYPERLINK("https://forum.finance.ua/memberlist.php?mode=viewprofile&amp;u=63899")</f>
        <v>https://forum.finance.ua/memberlist.php?mode=viewprofile&amp;u=63899</v>
      </c>
      <c r="N2556" t="s">
        <v>70</v>
      </c>
      <c r="O2556" t="s">
        <v>4</v>
      </c>
      <c r="P2556" s="2" t="str">
        <f>HYPERLINK("https://forum.finance.ua/topic209265.html?p=4337412#p4337412")</f>
        <v>https://forum.finance.ua/topic209265.html?p=4337412#p4337412</v>
      </c>
      <c r="R2556" t="s">
        <v>6066</v>
      </c>
      <c r="S2556" t="s">
        <v>6073</v>
      </c>
    </row>
    <row r="2557" spans="1:19" ht="14.25" customHeight="1" x14ac:dyDescent="0.3">
      <c r="A2557" t="s">
        <v>3527</v>
      </c>
      <c r="B2557" t="s">
        <v>2824</v>
      </c>
      <c r="C2557" t="s">
        <v>95</v>
      </c>
      <c r="D2557" t="s">
        <v>3710</v>
      </c>
      <c r="E2557" t="s">
        <v>3711</v>
      </c>
      <c r="F2557" t="s">
        <v>6056</v>
      </c>
      <c r="G2557" s="2" t="str">
        <f>HYPERLINK("https://forum.finance.ua/topic4897.html?p=4338441#p4338441")</f>
        <v>https://forum.finance.ua/topic4897.html?p=4338441#p4338441</v>
      </c>
      <c r="H2557" t="s">
        <v>6062</v>
      </c>
      <c r="I2557" t="s">
        <v>205</v>
      </c>
      <c r="J2557" s="2" t="str">
        <f>HYPERLINK("https://forum.finance.ua/memberlist.php?mode=viewprofile&amp;u=63899")</f>
        <v>https://forum.finance.ua/memberlist.php?mode=viewprofile&amp;u=63899</v>
      </c>
      <c r="N2557" t="s">
        <v>70</v>
      </c>
      <c r="O2557" t="s">
        <v>4</v>
      </c>
      <c r="P2557" s="2" t="str">
        <f>HYPERLINK("https://forum.finance.ua/topic4897.html?p=4338441#p4338441")</f>
        <v>https://forum.finance.ua/topic4897.html?p=4338441#p4338441</v>
      </c>
      <c r="R2557" t="s">
        <v>6066</v>
      </c>
      <c r="S2557" t="s">
        <v>6073</v>
      </c>
    </row>
    <row r="2558" spans="1:19" ht="14.25" customHeight="1" x14ac:dyDescent="0.3">
      <c r="A2558" t="s">
        <v>2225</v>
      </c>
      <c r="B2558" t="s">
        <v>3245</v>
      </c>
      <c r="C2558" t="s">
        <v>95</v>
      </c>
      <c r="D2558" t="s">
        <v>179</v>
      </c>
      <c r="E2558" t="s">
        <v>3246</v>
      </c>
      <c r="F2558" t="s">
        <v>6056</v>
      </c>
      <c r="G2558" s="2" t="str">
        <f>HYPERLINK("https://forum.finance.ua/topic209265.html?p=4339005#p4339005")</f>
        <v>https://forum.finance.ua/topic209265.html?p=4339005#p4339005</v>
      </c>
      <c r="H2558" t="s">
        <v>6062</v>
      </c>
      <c r="I2558" t="s">
        <v>205</v>
      </c>
      <c r="J2558" s="2" t="str">
        <f>HYPERLINK("https://forum.finance.ua/memberlist.php?mode=viewprofile&amp;u=63899")</f>
        <v>https://forum.finance.ua/memberlist.php?mode=viewprofile&amp;u=63899</v>
      </c>
      <c r="N2558" t="s">
        <v>70</v>
      </c>
      <c r="O2558" t="s">
        <v>4</v>
      </c>
      <c r="P2558" s="2" t="str">
        <f>HYPERLINK("https://forum.finance.ua/topic209265.html?p=4339005#p4339005")</f>
        <v>https://forum.finance.ua/topic209265.html?p=4339005#p4339005</v>
      </c>
      <c r="R2558" t="s">
        <v>6066</v>
      </c>
      <c r="S2558" t="s">
        <v>6073</v>
      </c>
    </row>
    <row r="2559" spans="1:19" ht="14.25" customHeight="1" x14ac:dyDescent="0.3">
      <c r="A2559" t="s">
        <v>629</v>
      </c>
      <c r="B2559" t="s">
        <v>2164</v>
      </c>
      <c r="C2559" t="s">
        <v>95</v>
      </c>
      <c r="D2559" t="s">
        <v>179</v>
      </c>
      <c r="E2559" t="s">
        <v>2165</v>
      </c>
      <c r="F2559" t="s">
        <v>6056</v>
      </c>
      <c r="G2559" s="2" t="str">
        <f>HYPERLINK("https://forum.finance.ua/topic209265.html?p=4339485#p4339485")</f>
        <v>https://forum.finance.ua/topic209265.html?p=4339485#p4339485</v>
      </c>
      <c r="H2559" t="s">
        <v>6062</v>
      </c>
      <c r="I2559" t="s">
        <v>902</v>
      </c>
      <c r="J2559" s="2" t="str">
        <f>HYPERLINK("https://forum.finance.ua/memberlist.php?mode=viewprofile&amp;u=87437")</f>
        <v>https://forum.finance.ua/memberlist.php?mode=viewprofile&amp;u=87437</v>
      </c>
      <c r="N2559" t="s">
        <v>70</v>
      </c>
      <c r="O2559" t="s">
        <v>4</v>
      </c>
      <c r="P2559" s="2" t="str">
        <f>HYPERLINK("https://forum.finance.ua/topic209265.html?p=4339485#p4339485")</f>
        <v>https://forum.finance.ua/topic209265.html?p=4339485#p4339485</v>
      </c>
      <c r="R2559" t="s">
        <v>6066</v>
      </c>
      <c r="S2559" t="s">
        <v>6073</v>
      </c>
    </row>
    <row r="2560" spans="1:19" ht="14.25" customHeight="1" x14ac:dyDescent="0.3">
      <c r="A2560" t="s">
        <v>2225</v>
      </c>
      <c r="B2560" t="s">
        <v>2306</v>
      </c>
      <c r="C2560" t="s">
        <v>95</v>
      </c>
      <c r="D2560" t="s">
        <v>179</v>
      </c>
      <c r="E2560" t="s">
        <v>2311</v>
      </c>
      <c r="F2560" t="s">
        <v>6056</v>
      </c>
      <c r="G2560" s="2" t="str">
        <f>HYPERLINK("https://forum.finance.ua/topic209265.html?p=4339407#p4339407")</f>
        <v>https://forum.finance.ua/topic209265.html?p=4339407#p4339407</v>
      </c>
      <c r="H2560" t="s">
        <v>6062</v>
      </c>
      <c r="I2560" t="s">
        <v>902</v>
      </c>
      <c r="J2560" s="2" t="str">
        <f>HYPERLINK("https://forum.finance.ua/memberlist.php?mode=viewprofile&amp;u=87437")</f>
        <v>https://forum.finance.ua/memberlist.php?mode=viewprofile&amp;u=87437</v>
      </c>
      <c r="N2560" t="s">
        <v>70</v>
      </c>
      <c r="O2560" t="s">
        <v>4</v>
      </c>
      <c r="P2560" s="2" t="str">
        <f>HYPERLINK("https://forum.finance.ua/topic209265.html?p=4339407#p4339407")</f>
        <v>https://forum.finance.ua/topic209265.html?p=4339407#p4339407</v>
      </c>
      <c r="R2560" t="s">
        <v>6066</v>
      </c>
      <c r="S2560" t="s">
        <v>6073</v>
      </c>
    </row>
    <row r="2561" spans="1:19" ht="14.25" customHeight="1" x14ac:dyDescent="0.3">
      <c r="A2561" t="s">
        <v>4995</v>
      </c>
      <c r="B2561" t="s">
        <v>5104</v>
      </c>
      <c r="C2561" t="s">
        <v>3538</v>
      </c>
      <c r="D2561" t="s">
        <v>179</v>
      </c>
      <c r="E2561" t="s">
        <v>5105</v>
      </c>
      <c r="F2561" t="s">
        <v>6056</v>
      </c>
      <c r="G2561" s="2" t="str">
        <f>HYPERLINK("https://forum.finance.ua/topic209265.html?p=4336976#p4336976")</f>
        <v>https://forum.finance.ua/topic209265.html?p=4336976#p4336976</v>
      </c>
      <c r="H2561" t="s">
        <v>6062</v>
      </c>
      <c r="I2561" t="s">
        <v>4463</v>
      </c>
      <c r="J2561" s="2" t="str">
        <f>HYPERLINK("https://forum.finance.ua/memberlist.php?mode=viewprofile&amp;u=23400")</f>
        <v>https://forum.finance.ua/memberlist.php?mode=viewprofile&amp;u=23400</v>
      </c>
      <c r="N2561" t="s">
        <v>70</v>
      </c>
      <c r="O2561" t="s">
        <v>4</v>
      </c>
      <c r="P2561" s="2" t="str">
        <f>HYPERLINK("https://forum.finance.ua/topic209265.html?p=4336976#p4336976")</f>
        <v>https://forum.finance.ua/topic209265.html?p=4336976#p4336976</v>
      </c>
      <c r="R2561" t="s">
        <v>6066</v>
      </c>
      <c r="S2561" t="s">
        <v>6073</v>
      </c>
    </row>
    <row r="2562" spans="1:19" ht="14.25" customHeight="1" x14ac:dyDescent="0.3">
      <c r="A2562" t="s">
        <v>4439</v>
      </c>
      <c r="B2562" t="s">
        <v>4888</v>
      </c>
      <c r="C2562" t="s">
        <v>3538</v>
      </c>
      <c r="D2562" t="s">
        <v>179</v>
      </c>
      <c r="E2562" t="s">
        <v>4889</v>
      </c>
      <c r="F2562" t="s">
        <v>6056</v>
      </c>
      <c r="G2562" s="2" t="str">
        <f>HYPERLINK("https://forum.finance.ua/topic209265.html?p=4337172#p4337172")</f>
        <v>https://forum.finance.ua/topic209265.html?p=4337172#p4337172</v>
      </c>
      <c r="H2562" t="s">
        <v>6062</v>
      </c>
      <c r="I2562" t="s">
        <v>4463</v>
      </c>
      <c r="J2562" s="2" t="str">
        <f>HYPERLINK("https://forum.finance.ua/memberlist.php?mode=viewprofile&amp;u=23400")</f>
        <v>https://forum.finance.ua/memberlist.php?mode=viewprofile&amp;u=23400</v>
      </c>
      <c r="N2562" t="s">
        <v>70</v>
      </c>
      <c r="O2562" t="s">
        <v>4</v>
      </c>
      <c r="P2562" s="2" t="str">
        <f>HYPERLINK("https://forum.finance.ua/topic209265.html?p=4337172#p4337172")</f>
        <v>https://forum.finance.ua/topic209265.html?p=4337172#p4337172</v>
      </c>
      <c r="R2562" t="s">
        <v>6066</v>
      </c>
      <c r="S2562" t="s">
        <v>6073</v>
      </c>
    </row>
    <row r="2563" spans="1:19" ht="14.25" customHeight="1" x14ac:dyDescent="0.3">
      <c r="A2563" t="s">
        <v>3527</v>
      </c>
      <c r="B2563" t="s">
        <v>1074</v>
      </c>
      <c r="C2563" t="s">
        <v>95</v>
      </c>
      <c r="D2563" t="s">
        <v>179</v>
      </c>
      <c r="E2563" t="s">
        <v>4075</v>
      </c>
      <c r="F2563" t="s">
        <v>6056</v>
      </c>
      <c r="G2563" s="2" t="str">
        <f>HYPERLINK("https://forum.finance.ua/topic209265.html?p=4338193#p4338193")</f>
        <v>https://forum.finance.ua/topic209265.html?p=4338193#p4338193</v>
      </c>
      <c r="H2563" t="s">
        <v>6062</v>
      </c>
      <c r="I2563" t="s">
        <v>4076</v>
      </c>
      <c r="J2563" s="2" t="str">
        <f>HYPERLINK("https://forum.finance.ua/memberlist.php?mode=viewprofile&amp;u=58312")</f>
        <v>https://forum.finance.ua/memberlist.php?mode=viewprofile&amp;u=58312</v>
      </c>
      <c r="N2563" t="s">
        <v>70</v>
      </c>
      <c r="O2563" t="s">
        <v>4</v>
      </c>
      <c r="P2563" s="2" t="str">
        <f>HYPERLINK("https://forum.finance.ua/topic209265.html?p=4338193#p4338193")</f>
        <v>https://forum.finance.ua/topic209265.html?p=4338193#p4338193</v>
      </c>
      <c r="R2563" t="s">
        <v>6066</v>
      </c>
      <c r="S2563" t="s">
        <v>6073</v>
      </c>
    </row>
    <row r="2564" spans="1:19" ht="14.25" customHeight="1" x14ac:dyDescent="0.3">
      <c r="A2564" t="s">
        <v>4439</v>
      </c>
      <c r="B2564" t="s">
        <v>1452</v>
      </c>
      <c r="C2564" t="s">
        <v>3538</v>
      </c>
      <c r="D2564" t="s">
        <v>179</v>
      </c>
      <c r="E2564" t="s">
        <v>4737</v>
      </c>
      <c r="F2564" t="s">
        <v>6056</v>
      </c>
      <c r="G2564" s="2" t="str">
        <f>HYPERLINK("https://forum.finance.ua/topic209265.html?p=4337276#p4337276")</f>
        <v>https://forum.finance.ua/topic209265.html?p=4337276#p4337276</v>
      </c>
      <c r="H2564" t="s">
        <v>6062</v>
      </c>
      <c r="I2564" t="s">
        <v>4738</v>
      </c>
      <c r="J2564" s="2" t="str">
        <f>HYPERLINK("https://forum.finance.ua/memberlist.php?mode=viewprofile&amp;u=101235")</f>
        <v>https://forum.finance.ua/memberlist.php?mode=viewprofile&amp;u=101235</v>
      </c>
      <c r="N2564" t="s">
        <v>70</v>
      </c>
      <c r="O2564" t="s">
        <v>4</v>
      </c>
      <c r="P2564" s="2" t="str">
        <f>HYPERLINK("https://forum.finance.ua/topic209265.html?p=4337276#p4337276")</f>
        <v>https://forum.finance.ua/topic209265.html?p=4337276#p4337276</v>
      </c>
      <c r="R2564" t="s">
        <v>6066</v>
      </c>
      <c r="S2564" t="s">
        <v>6073</v>
      </c>
    </row>
    <row r="2565" spans="1:19" ht="14.25" customHeight="1" x14ac:dyDescent="0.3">
      <c r="A2565" t="s">
        <v>4439</v>
      </c>
      <c r="B2565" t="s">
        <v>3340</v>
      </c>
      <c r="C2565" t="s">
        <v>3538</v>
      </c>
      <c r="D2565" t="s">
        <v>179</v>
      </c>
      <c r="E2565" t="s">
        <v>4750</v>
      </c>
      <c r="F2565" t="s">
        <v>6056</v>
      </c>
      <c r="G2565" s="2" t="str">
        <f>HYPERLINK("https://forum.finance.ua/topic209265.html?p=4337264#p4337264")</f>
        <v>https://forum.finance.ua/topic209265.html?p=4337264#p4337264</v>
      </c>
      <c r="H2565" t="s">
        <v>6062</v>
      </c>
      <c r="I2565" t="s">
        <v>4738</v>
      </c>
      <c r="J2565" s="2" t="str">
        <f>HYPERLINK("https://forum.finance.ua/memberlist.php?mode=viewprofile&amp;u=101235")</f>
        <v>https://forum.finance.ua/memberlist.php?mode=viewprofile&amp;u=101235</v>
      </c>
      <c r="N2565" t="s">
        <v>70</v>
      </c>
      <c r="O2565" t="s">
        <v>4</v>
      </c>
      <c r="P2565" s="2" t="str">
        <f>HYPERLINK("https://forum.finance.ua/topic209265.html?p=4337264#p4337264")</f>
        <v>https://forum.finance.ua/topic209265.html?p=4337264#p4337264</v>
      </c>
      <c r="R2565" t="s">
        <v>6066</v>
      </c>
      <c r="S2565" t="s">
        <v>6073</v>
      </c>
    </row>
    <row r="2566" spans="1:19" ht="14.25" customHeight="1" x14ac:dyDescent="0.3">
      <c r="A2566" t="s">
        <v>3527</v>
      </c>
      <c r="B2566" t="s">
        <v>4253</v>
      </c>
      <c r="C2566" t="s">
        <v>3538</v>
      </c>
      <c r="D2566" t="s">
        <v>179</v>
      </c>
      <c r="E2566" t="s">
        <v>4254</v>
      </c>
      <c r="F2566" t="s">
        <v>6056</v>
      </c>
      <c r="G2566" s="2" t="str">
        <f>HYPERLINK("https://forum.finance.ua/topic209265.html?p=4337922#p4337922")</f>
        <v>https://forum.finance.ua/topic209265.html?p=4337922#p4337922</v>
      </c>
      <c r="H2566" t="s">
        <v>6062</v>
      </c>
      <c r="I2566" t="s">
        <v>4255</v>
      </c>
      <c r="J2566" s="2" t="str">
        <f>HYPERLINK("https://forum.finance.ua/memberlist.php?mode=viewprofile&amp;u=73383")</f>
        <v>https://forum.finance.ua/memberlist.php?mode=viewprofile&amp;u=73383</v>
      </c>
      <c r="N2566" t="s">
        <v>70</v>
      </c>
      <c r="O2566" t="s">
        <v>4</v>
      </c>
      <c r="P2566" s="2" t="str">
        <f>HYPERLINK("https://forum.finance.ua/topic209265.html?p=4337922#p4337922")</f>
        <v>https://forum.finance.ua/topic209265.html?p=4337922#p4337922</v>
      </c>
      <c r="R2566" t="s">
        <v>6066</v>
      </c>
      <c r="S2566" t="s">
        <v>6073</v>
      </c>
    </row>
    <row r="2567" spans="1:19" ht="14.25" customHeight="1" x14ac:dyDescent="0.3">
      <c r="A2567" t="s">
        <v>3527</v>
      </c>
      <c r="B2567" t="s">
        <v>1577</v>
      </c>
      <c r="C2567" t="s">
        <v>3538</v>
      </c>
      <c r="D2567" t="s">
        <v>179</v>
      </c>
      <c r="E2567" t="s">
        <v>4293</v>
      </c>
      <c r="F2567" t="s">
        <v>6056</v>
      </c>
      <c r="G2567" s="2" t="str">
        <f>HYPERLINK("https://forum.finance.ua/topic209265.html?p=4337833#p4337833")</f>
        <v>https://forum.finance.ua/topic209265.html?p=4337833#p4337833</v>
      </c>
      <c r="H2567" t="s">
        <v>6062</v>
      </c>
      <c r="I2567" t="s">
        <v>4255</v>
      </c>
      <c r="J2567" s="2" t="str">
        <f>HYPERLINK("https://forum.finance.ua/memberlist.php?mode=viewprofile&amp;u=73383")</f>
        <v>https://forum.finance.ua/memberlist.php?mode=viewprofile&amp;u=73383</v>
      </c>
      <c r="N2567" t="s">
        <v>70</v>
      </c>
      <c r="O2567" t="s">
        <v>4</v>
      </c>
      <c r="P2567" s="2" t="str">
        <f>HYPERLINK("https://forum.finance.ua/topic209265.html?p=4337833#p4337833")</f>
        <v>https://forum.finance.ua/topic209265.html?p=4337833#p4337833</v>
      </c>
      <c r="R2567" t="s">
        <v>6066</v>
      </c>
      <c r="S2567" t="s">
        <v>6073</v>
      </c>
    </row>
    <row r="2568" spans="1:19" ht="14.25" customHeight="1" x14ac:dyDescent="0.3">
      <c r="A2568" t="s">
        <v>629</v>
      </c>
      <c r="B2568" t="s">
        <v>2204</v>
      </c>
      <c r="C2568" t="s">
        <v>95</v>
      </c>
      <c r="D2568" t="s">
        <v>179</v>
      </c>
      <c r="E2568" t="s">
        <v>2205</v>
      </c>
      <c r="F2568" t="s">
        <v>6056</v>
      </c>
      <c r="G2568" s="2" t="str">
        <f>HYPERLINK("https://forum.finance.ua/topic209265.html?p=4339476#p4339476")</f>
        <v>https://forum.finance.ua/topic209265.html?p=4339476#p4339476</v>
      </c>
      <c r="H2568" t="s">
        <v>6062</v>
      </c>
      <c r="I2568" t="s">
        <v>2206</v>
      </c>
      <c r="J2568" s="2" t="str">
        <f>HYPERLINK("https://forum.finance.ua/memberlist.php?mode=viewprofile&amp;u=92112")</f>
        <v>https://forum.finance.ua/memberlist.php?mode=viewprofile&amp;u=92112</v>
      </c>
      <c r="N2568" t="s">
        <v>70</v>
      </c>
      <c r="O2568" t="s">
        <v>4</v>
      </c>
      <c r="P2568" s="2" t="str">
        <f>HYPERLINK("https://forum.finance.ua/topic209265.html?p=4339476#p4339476")</f>
        <v>https://forum.finance.ua/topic209265.html?p=4339476#p4339476</v>
      </c>
      <c r="R2568" t="s">
        <v>6066</v>
      </c>
      <c r="S2568" t="s">
        <v>6073</v>
      </c>
    </row>
    <row r="2569" spans="1:19" ht="14.25" customHeight="1" x14ac:dyDescent="0.3">
      <c r="A2569" t="s">
        <v>4439</v>
      </c>
      <c r="B2569" t="s">
        <v>2217</v>
      </c>
      <c r="C2569" t="s">
        <v>3538</v>
      </c>
      <c r="D2569" t="s">
        <v>179</v>
      </c>
      <c r="E2569" t="s">
        <v>4986</v>
      </c>
      <c r="F2569" t="s">
        <v>6056</v>
      </c>
      <c r="G2569" s="2" t="str">
        <f>HYPERLINK("https://forum.finance.ua/topic209265.html?p=4337141#p4337141")</f>
        <v>https://forum.finance.ua/topic209265.html?p=4337141#p4337141</v>
      </c>
      <c r="H2569" t="s">
        <v>6062</v>
      </c>
      <c r="I2569" t="s">
        <v>4163</v>
      </c>
      <c r="J2569" s="2" t="str">
        <f t="shared" ref="J2569:J2576" si="70">HYPERLINK("https://forum.finance.ua/memberlist.php?mode=viewprofile&amp;u=28029")</f>
        <v>https://forum.finance.ua/memberlist.php?mode=viewprofile&amp;u=28029</v>
      </c>
      <c r="N2569" t="s">
        <v>70</v>
      </c>
      <c r="O2569" t="s">
        <v>4</v>
      </c>
      <c r="P2569" s="2" t="str">
        <f>HYPERLINK("https://forum.finance.ua/topic209265.html?p=4337141#p4337141")</f>
        <v>https://forum.finance.ua/topic209265.html?p=4337141#p4337141</v>
      </c>
      <c r="R2569" t="s">
        <v>6066</v>
      </c>
      <c r="S2569" t="s">
        <v>6073</v>
      </c>
    </row>
    <row r="2570" spans="1:19" ht="14.25" customHeight="1" x14ac:dyDescent="0.3">
      <c r="A2570" t="s">
        <v>4439</v>
      </c>
      <c r="B2570" t="s">
        <v>4971</v>
      </c>
      <c r="C2570" t="s">
        <v>3538</v>
      </c>
      <c r="D2570" t="s">
        <v>179</v>
      </c>
      <c r="E2570" t="s">
        <v>4972</v>
      </c>
      <c r="F2570" t="s">
        <v>6056</v>
      </c>
      <c r="G2570" s="2" t="str">
        <f>HYPERLINK("https://forum.finance.ua/topic209265.html?p=4337153#p4337153")</f>
        <v>https://forum.finance.ua/topic209265.html?p=4337153#p4337153</v>
      </c>
      <c r="H2570" t="s">
        <v>6062</v>
      </c>
      <c r="I2570" t="s">
        <v>4163</v>
      </c>
      <c r="J2570" s="2" t="str">
        <f t="shared" si="70"/>
        <v>https://forum.finance.ua/memberlist.php?mode=viewprofile&amp;u=28029</v>
      </c>
      <c r="N2570" t="s">
        <v>70</v>
      </c>
      <c r="O2570" t="s">
        <v>4</v>
      </c>
      <c r="P2570" s="2" t="str">
        <f>HYPERLINK("https://forum.finance.ua/topic209265.html?p=4337153#p4337153")</f>
        <v>https://forum.finance.ua/topic209265.html?p=4337153#p4337153</v>
      </c>
      <c r="R2570" t="s">
        <v>6066</v>
      </c>
      <c r="S2570" t="s">
        <v>6073</v>
      </c>
    </row>
    <row r="2571" spans="1:19" ht="14.25" customHeight="1" x14ac:dyDescent="0.3">
      <c r="A2571" t="s">
        <v>3527</v>
      </c>
      <c r="B2571" t="s">
        <v>4161</v>
      </c>
      <c r="C2571" t="s">
        <v>95</v>
      </c>
      <c r="D2571" t="s">
        <v>179</v>
      </c>
      <c r="E2571" t="s">
        <v>4162</v>
      </c>
      <c r="F2571" t="s">
        <v>6056</v>
      </c>
      <c r="G2571" s="2" t="str">
        <f>HYPERLINK("https://forum.finance.ua/topic209265.html?p=4338054#p4338054")</f>
        <v>https://forum.finance.ua/topic209265.html?p=4338054#p4338054</v>
      </c>
      <c r="H2571" t="s">
        <v>6062</v>
      </c>
      <c r="I2571" t="s">
        <v>4163</v>
      </c>
      <c r="J2571" s="2" t="str">
        <f t="shared" si="70"/>
        <v>https://forum.finance.ua/memberlist.php?mode=viewprofile&amp;u=28029</v>
      </c>
      <c r="N2571" t="s">
        <v>70</v>
      </c>
      <c r="O2571" t="s">
        <v>4</v>
      </c>
      <c r="P2571" s="2" t="str">
        <f>HYPERLINK("https://forum.finance.ua/topic209265.html?p=4338054#p4338054")</f>
        <v>https://forum.finance.ua/topic209265.html?p=4338054#p4338054</v>
      </c>
      <c r="R2571" t="s">
        <v>6066</v>
      </c>
      <c r="S2571" t="s">
        <v>6073</v>
      </c>
    </row>
    <row r="2572" spans="1:19" ht="14.25" customHeight="1" x14ac:dyDescent="0.3">
      <c r="A2572" t="s">
        <v>3527</v>
      </c>
      <c r="B2572" t="s">
        <v>311</v>
      </c>
      <c r="C2572" t="s">
        <v>3538</v>
      </c>
      <c r="D2572" t="s">
        <v>179</v>
      </c>
      <c r="E2572" t="s">
        <v>4285</v>
      </c>
      <c r="F2572" t="s">
        <v>6056</v>
      </c>
      <c r="G2572" s="2" t="str">
        <f>HYPERLINK("https://forum.finance.ua/topic209265.html?p=4337863#p4337863")</f>
        <v>https://forum.finance.ua/topic209265.html?p=4337863#p4337863</v>
      </c>
      <c r="H2572" t="s">
        <v>6062</v>
      </c>
      <c r="I2572" t="s">
        <v>4163</v>
      </c>
      <c r="J2572" s="2" t="str">
        <f t="shared" si="70"/>
        <v>https://forum.finance.ua/memberlist.php?mode=viewprofile&amp;u=28029</v>
      </c>
      <c r="N2572" t="s">
        <v>70</v>
      </c>
      <c r="O2572" t="s">
        <v>4</v>
      </c>
      <c r="P2572" s="2" t="str">
        <f>HYPERLINK("https://forum.finance.ua/topic209265.html?p=4337863#p4337863")</f>
        <v>https://forum.finance.ua/topic209265.html?p=4337863#p4337863</v>
      </c>
      <c r="R2572" t="s">
        <v>6066</v>
      </c>
      <c r="S2572" t="s">
        <v>6073</v>
      </c>
    </row>
    <row r="2573" spans="1:19" ht="14.25" customHeight="1" x14ac:dyDescent="0.3">
      <c r="A2573" t="s">
        <v>3527</v>
      </c>
      <c r="B2573" t="s">
        <v>92</v>
      </c>
      <c r="C2573" t="s">
        <v>95</v>
      </c>
      <c r="D2573" t="s">
        <v>179</v>
      </c>
      <c r="E2573" t="s">
        <v>4165</v>
      </c>
      <c r="F2573" t="s">
        <v>6056</v>
      </c>
      <c r="G2573" s="2" t="str">
        <f>HYPERLINK("https://forum.finance.ua/topic209265.html?p=4338051#p4338051")</f>
        <v>https://forum.finance.ua/topic209265.html?p=4338051#p4338051</v>
      </c>
      <c r="H2573" t="s">
        <v>6062</v>
      </c>
      <c r="I2573" t="s">
        <v>4163</v>
      </c>
      <c r="J2573" s="2" t="str">
        <f t="shared" si="70"/>
        <v>https://forum.finance.ua/memberlist.php?mode=viewprofile&amp;u=28029</v>
      </c>
      <c r="N2573" t="s">
        <v>70</v>
      </c>
      <c r="O2573" t="s">
        <v>4</v>
      </c>
      <c r="P2573" s="2" t="str">
        <f>HYPERLINK("https://forum.finance.ua/topic209265.html?p=4338051#p4338051")</f>
        <v>https://forum.finance.ua/topic209265.html?p=4338051#p4338051</v>
      </c>
      <c r="R2573" t="s">
        <v>6066</v>
      </c>
      <c r="S2573" t="s">
        <v>6073</v>
      </c>
    </row>
    <row r="2574" spans="1:19" ht="14.25" customHeight="1" x14ac:dyDescent="0.3">
      <c r="A2574" t="s">
        <v>4439</v>
      </c>
      <c r="B2574" t="s">
        <v>2191</v>
      </c>
      <c r="C2574" t="s">
        <v>3538</v>
      </c>
      <c r="D2574" t="s">
        <v>179</v>
      </c>
      <c r="E2574" t="s">
        <v>4965</v>
      </c>
      <c r="F2574" t="s">
        <v>6056</v>
      </c>
      <c r="G2574" s="2" t="str">
        <f>HYPERLINK("https://forum.finance.ua/topic209265.html?p=4337155#p4337155")</f>
        <v>https://forum.finance.ua/topic209265.html?p=4337155#p4337155</v>
      </c>
      <c r="H2574" t="s">
        <v>6062</v>
      </c>
      <c r="I2574" t="s">
        <v>4163</v>
      </c>
      <c r="J2574" s="2" t="str">
        <f t="shared" si="70"/>
        <v>https://forum.finance.ua/memberlist.php?mode=viewprofile&amp;u=28029</v>
      </c>
      <c r="N2574" t="s">
        <v>70</v>
      </c>
      <c r="O2574" t="s">
        <v>4</v>
      </c>
      <c r="P2574" s="2" t="str">
        <f>HYPERLINK("https://forum.finance.ua/topic209265.html?p=4337155#p4337155")</f>
        <v>https://forum.finance.ua/topic209265.html?p=4337155#p4337155</v>
      </c>
      <c r="R2574" t="s">
        <v>6066</v>
      </c>
      <c r="S2574" t="s">
        <v>6073</v>
      </c>
    </row>
    <row r="2575" spans="1:19" ht="14.25" customHeight="1" x14ac:dyDescent="0.3">
      <c r="A2575" t="s">
        <v>3527</v>
      </c>
      <c r="B2575" t="s">
        <v>4241</v>
      </c>
      <c r="C2575" t="s">
        <v>3538</v>
      </c>
      <c r="D2575" t="s">
        <v>179</v>
      </c>
      <c r="E2575" t="s">
        <v>4242</v>
      </c>
      <c r="F2575" t="s">
        <v>6056</v>
      </c>
      <c r="G2575" s="2" t="str">
        <f>HYPERLINK("https://forum.finance.ua/topic209265.html?p=4337940#p4337940")</f>
        <v>https://forum.finance.ua/topic209265.html?p=4337940#p4337940</v>
      </c>
      <c r="H2575" t="s">
        <v>6062</v>
      </c>
      <c r="I2575" t="s">
        <v>4163</v>
      </c>
      <c r="J2575" s="2" t="str">
        <f t="shared" si="70"/>
        <v>https://forum.finance.ua/memberlist.php?mode=viewprofile&amp;u=28029</v>
      </c>
      <c r="N2575" t="s">
        <v>70</v>
      </c>
      <c r="O2575" t="s">
        <v>4</v>
      </c>
      <c r="P2575" s="2" t="str">
        <f>HYPERLINK("https://forum.finance.ua/topic209265.html?p=4337940#p4337940")</f>
        <v>https://forum.finance.ua/topic209265.html?p=4337940#p4337940</v>
      </c>
      <c r="R2575" t="s">
        <v>6066</v>
      </c>
      <c r="S2575" t="s">
        <v>6073</v>
      </c>
    </row>
    <row r="2576" spans="1:19" ht="14.25" customHeight="1" x14ac:dyDescent="0.3">
      <c r="A2576" t="s">
        <v>3527</v>
      </c>
      <c r="B2576" t="s">
        <v>1360</v>
      </c>
      <c r="C2576" t="s">
        <v>95</v>
      </c>
      <c r="D2576" t="s">
        <v>179</v>
      </c>
      <c r="E2576" t="s">
        <v>4180</v>
      </c>
      <c r="F2576" t="s">
        <v>6056</v>
      </c>
      <c r="G2576" s="2" t="str">
        <f>HYPERLINK("https://forum.finance.ua/topic209265.html?p=4338039#p4338039")</f>
        <v>https://forum.finance.ua/topic209265.html?p=4338039#p4338039</v>
      </c>
      <c r="H2576" t="s">
        <v>6062</v>
      </c>
      <c r="I2576" t="s">
        <v>4163</v>
      </c>
      <c r="J2576" s="2" t="str">
        <f t="shared" si="70"/>
        <v>https://forum.finance.ua/memberlist.php?mode=viewprofile&amp;u=28029</v>
      </c>
      <c r="N2576" t="s">
        <v>70</v>
      </c>
      <c r="O2576" t="s">
        <v>4</v>
      </c>
      <c r="P2576" s="2" t="str">
        <f>HYPERLINK("https://forum.finance.ua/topic209265.html?p=4338039#p4338039")</f>
        <v>https://forum.finance.ua/topic209265.html?p=4338039#p4338039</v>
      </c>
      <c r="R2576" t="s">
        <v>6066</v>
      </c>
      <c r="S2576" t="s">
        <v>6073</v>
      </c>
    </row>
    <row r="2577" spans="1:19" ht="14.25" customHeight="1" x14ac:dyDescent="0.3">
      <c r="A2577" t="s">
        <v>3527</v>
      </c>
      <c r="B2577" t="s">
        <v>1072</v>
      </c>
      <c r="C2577" t="s">
        <v>95</v>
      </c>
      <c r="D2577" t="s">
        <v>179</v>
      </c>
      <c r="E2577" t="s">
        <v>4069</v>
      </c>
      <c r="F2577" t="s">
        <v>6056</v>
      </c>
      <c r="G2577" s="2" t="str">
        <f>HYPERLINK("https://forum.finance.ua/topic209265.html?p=4338195#p4338195")</f>
        <v>https://forum.finance.ua/topic209265.html?p=4338195#p4338195</v>
      </c>
      <c r="H2577" t="s">
        <v>6062</v>
      </c>
      <c r="I2577" t="s">
        <v>4070</v>
      </c>
      <c r="J2577" s="2" t="str">
        <f>HYPERLINK("https://forum.finance.ua/memberlist.php?mode=viewprofile&amp;u=11942")</f>
        <v>https://forum.finance.ua/memberlist.php?mode=viewprofile&amp;u=11942</v>
      </c>
      <c r="N2577" t="s">
        <v>70</v>
      </c>
      <c r="O2577" t="s">
        <v>4</v>
      </c>
      <c r="P2577" s="2" t="str">
        <f>HYPERLINK("https://forum.finance.ua/topic209265.html?p=4338195#p4338195")</f>
        <v>https://forum.finance.ua/topic209265.html?p=4338195#p4338195</v>
      </c>
      <c r="R2577" t="s">
        <v>6066</v>
      </c>
      <c r="S2577" t="s">
        <v>6073</v>
      </c>
    </row>
    <row r="2578" spans="1:19" ht="14.25" customHeight="1" x14ac:dyDescent="0.3">
      <c r="A2578" t="s">
        <v>5409</v>
      </c>
      <c r="B2578" t="s">
        <v>3247</v>
      </c>
      <c r="C2578" t="s">
        <v>3538</v>
      </c>
      <c r="D2578" t="s">
        <v>179</v>
      </c>
      <c r="E2578" t="s">
        <v>5722</v>
      </c>
      <c r="F2578" t="s">
        <v>6056</v>
      </c>
      <c r="G2578" s="2" t="str">
        <f>HYPERLINK("https://forum.finance.ua/topic209265.html?p=4336130#p4336130")</f>
        <v>https://forum.finance.ua/topic209265.html?p=4336130#p4336130</v>
      </c>
      <c r="H2578" t="s">
        <v>6062</v>
      </c>
      <c r="I2578" t="s">
        <v>1364</v>
      </c>
      <c r="J2578" s="2" t="str">
        <f>HYPERLINK("https://forum.finance.ua/memberlist.php?mode=viewprofile&amp;u=11096")</f>
        <v>https://forum.finance.ua/memberlist.php?mode=viewprofile&amp;u=11096</v>
      </c>
      <c r="N2578" t="s">
        <v>70</v>
      </c>
      <c r="O2578" t="s">
        <v>4</v>
      </c>
      <c r="P2578" s="2" t="str">
        <f>HYPERLINK("https://forum.finance.ua/topic209265.html?p=4336130#p4336130")</f>
        <v>https://forum.finance.ua/topic209265.html?p=4336130#p4336130</v>
      </c>
      <c r="R2578" t="s">
        <v>6066</v>
      </c>
      <c r="S2578" t="s">
        <v>6073</v>
      </c>
    </row>
    <row r="2579" spans="1:19" ht="14.25" customHeight="1" x14ac:dyDescent="0.3">
      <c r="A2579" t="s">
        <v>2225</v>
      </c>
      <c r="B2579" t="s">
        <v>709</v>
      </c>
      <c r="C2579" t="s">
        <v>95</v>
      </c>
      <c r="D2579" t="s">
        <v>179</v>
      </c>
      <c r="E2579" t="s">
        <v>2333</v>
      </c>
      <c r="F2579" t="s">
        <v>6056</v>
      </c>
      <c r="G2579" s="2" t="str">
        <f>HYPERLINK("https://forum.finance.ua/topic209265.html?p=4339401#p4339401")</f>
        <v>https://forum.finance.ua/topic209265.html?p=4339401#p4339401</v>
      </c>
      <c r="H2579" t="s">
        <v>6062</v>
      </c>
      <c r="I2579" t="s">
        <v>2334</v>
      </c>
      <c r="J2579" s="2" t="str">
        <f>HYPERLINK("https://forum.finance.ua/memberlist.php?mode=viewprofile&amp;u=61898")</f>
        <v>https://forum.finance.ua/memberlist.php?mode=viewprofile&amp;u=61898</v>
      </c>
      <c r="N2579" t="s">
        <v>70</v>
      </c>
      <c r="O2579" t="s">
        <v>4</v>
      </c>
      <c r="P2579" s="2" t="str">
        <f>HYPERLINK("https://forum.finance.ua/topic209265.html?p=4339401#p4339401")</f>
        <v>https://forum.finance.ua/topic209265.html?p=4339401#p4339401</v>
      </c>
      <c r="R2579" t="s">
        <v>6066</v>
      </c>
      <c r="S2579" t="s">
        <v>6073</v>
      </c>
    </row>
    <row r="2580" spans="1:19" ht="14.25" customHeight="1" x14ac:dyDescent="0.3">
      <c r="A2580" t="s">
        <v>4995</v>
      </c>
      <c r="B2580" t="s">
        <v>3604</v>
      </c>
      <c r="C2580" t="s">
        <v>3538</v>
      </c>
      <c r="D2580" t="s">
        <v>179</v>
      </c>
      <c r="E2580" t="s">
        <v>5026</v>
      </c>
      <c r="F2580" t="s">
        <v>6056</v>
      </c>
      <c r="G2580" s="2" t="str">
        <f>HYPERLINK("https://forum.finance.ua/topic209265.html?p=4337092#p4337092")</f>
        <v>https://forum.finance.ua/topic209265.html?p=4337092#p4337092</v>
      </c>
      <c r="H2580" t="s">
        <v>6062</v>
      </c>
      <c r="I2580" t="s">
        <v>2334</v>
      </c>
      <c r="J2580" s="2" t="str">
        <f>HYPERLINK("https://forum.finance.ua/memberlist.php?mode=viewprofile&amp;u=61898")</f>
        <v>https://forum.finance.ua/memberlist.php?mode=viewprofile&amp;u=61898</v>
      </c>
      <c r="N2580" t="s">
        <v>70</v>
      </c>
      <c r="O2580" t="s">
        <v>4</v>
      </c>
      <c r="P2580" s="2" t="str">
        <f>HYPERLINK("https://forum.finance.ua/topic209265.html?p=4337092#p4337092")</f>
        <v>https://forum.finance.ua/topic209265.html?p=4337092#p4337092</v>
      </c>
      <c r="R2580" t="s">
        <v>6066</v>
      </c>
      <c r="S2580" t="s">
        <v>6073</v>
      </c>
    </row>
    <row r="2581" spans="1:19" ht="14.25" customHeight="1" x14ac:dyDescent="0.3">
      <c r="A2581" t="s">
        <v>4439</v>
      </c>
      <c r="B2581" t="s">
        <v>2659</v>
      </c>
      <c r="C2581" t="s">
        <v>3538</v>
      </c>
      <c r="D2581" t="s">
        <v>179</v>
      </c>
      <c r="E2581" t="s">
        <v>4505</v>
      </c>
      <c r="F2581" t="s">
        <v>6056</v>
      </c>
      <c r="G2581" s="2" t="str">
        <f>HYPERLINK("https://forum.finance.ua/topic209265.html?p=4337592#p4337592")</f>
        <v>https://forum.finance.ua/topic209265.html?p=4337592#p4337592</v>
      </c>
      <c r="H2581" t="s">
        <v>6062</v>
      </c>
      <c r="I2581" t="s">
        <v>2334</v>
      </c>
      <c r="J2581" s="2" t="str">
        <f>HYPERLINK("https://forum.finance.ua/memberlist.php?mode=viewprofile&amp;u=61898")</f>
        <v>https://forum.finance.ua/memberlist.php?mode=viewprofile&amp;u=61898</v>
      </c>
      <c r="N2581" t="s">
        <v>70</v>
      </c>
      <c r="O2581" t="s">
        <v>4</v>
      </c>
      <c r="P2581" s="2" t="str">
        <f>HYPERLINK("https://forum.finance.ua/topic209265.html?p=4337592#p4337592")</f>
        <v>https://forum.finance.ua/topic209265.html?p=4337592#p4337592</v>
      </c>
      <c r="R2581" t="s">
        <v>6066</v>
      </c>
      <c r="S2581" t="s">
        <v>6073</v>
      </c>
    </row>
    <row r="2582" spans="1:19" ht="14.25" customHeight="1" x14ac:dyDescent="0.3">
      <c r="A2582" t="s">
        <v>4439</v>
      </c>
      <c r="B2582" t="s">
        <v>4979</v>
      </c>
      <c r="C2582" t="s">
        <v>3538</v>
      </c>
      <c r="D2582" t="s">
        <v>179</v>
      </c>
      <c r="E2582" t="s">
        <v>4981</v>
      </c>
      <c r="F2582" t="s">
        <v>6056</v>
      </c>
      <c r="G2582" s="2" t="str">
        <f>HYPERLINK("https://forum.finance.ua/topic209265.html?p=4337147#p4337147")</f>
        <v>https://forum.finance.ua/topic209265.html?p=4337147#p4337147</v>
      </c>
      <c r="H2582" t="s">
        <v>6062</v>
      </c>
      <c r="I2582" t="s">
        <v>4160</v>
      </c>
      <c r="J2582" s="2" t="str">
        <f t="shared" ref="J2582:J2589" si="71">HYPERLINK("https://forum.finance.ua/memberlist.php?mode=viewprofile&amp;u=47319")</f>
        <v>https://forum.finance.ua/memberlist.php?mode=viewprofile&amp;u=47319</v>
      </c>
      <c r="N2582" t="s">
        <v>70</v>
      </c>
      <c r="O2582" t="s">
        <v>4</v>
      </c>
      <c r="P2582" s="2" t="str">
        <f>HYPERLINK("https://forum.finance.ua/topic209265.html?p=4337147#p4337147")</f>
        <v>https://forum.finance.ua/topic209265.html?p=4337147#p4337147</v>
      </c>
      <c r="R2582" t="s">
        <v>6066</v>
      </c>
      <c r="S2582" t="s">
        <v>6073</v>
      </c>
    </row>
    <row r="2583" spans="1:19" ht="14.25" customHeight="1" x14ac:dyDescent="0.3">
      <c r="A2583" t="s">
        <v>3527</v>
      </c>
      <c r="B2583" t="s">
        <v>4264</v>
      </c>
      <c r="C2583" t="s">
        <v>3538</v>
      </c>
      <c r="D2583" t="s">
        <v>179</v>
      </c>
      <c r="E2583" t="s">
        <v>4265</v>
      </c>
      <c r="F2583" t="s">
        <v>6056</v>
      </c>
      <c r="G2583" s="2" t="str">
        <f>HYPERLINK("https://forum.finance.ua/topic209265.html?p=4337912#p4337912")</f>
        <v>https://forum.finance.ua/topic209265.html?p=4337912#p4337912</v>
      </c>
      <c r="H2583" t="s">
        <v>6062</v>
      </c>
      <c r="I2583" t="s">
        <v>4160</v>
      </c>
      <c r="J2583" s="2" t="str">
        <f t="shared" si="71"/>
        <v>https://forum.finance.ua/memberlist.php?mode=viewprofile&amp;u=47319</v>
      </c>
      <c r="N2583" t="s">
        <v>70</v>
      </c>
      <c r="O2583" t="s">
        <v>4</v>
      </c>
      <c r="P2583" s="2" t="str">
        <f>HYPERLINK("https://forum.finance.ua/topic209265.html?p=4337912#p4337912")</f>
        <v>https://forum.finance.ua/topic209265.html?p=4337912#p4337912</v>
      </c>
      <c r="R2583" t="s">
        <v>6066</v>
      </c>
      <c r="S2583" t="s">
        <v>6073</v>
      </c>
    </row>
    <row r="2584" spans="1:19" ht="14.25" customHeight="1" x14ac:dyDescent="0.3">
      <c r="A2584" t="s">
        <v>3527</v>
      </c>
      <c r="B2584" t="s">
        <v>1391</v>
      </c>
      <c r="C2584" t="s">
        <v>95</v>
      </c>
      <c r="D2584" t="s">
        <v>179</v>
      </c>
      <c r="E2584" t="s">
        <v>4223</v>
      </c>
      <c r="F2584" t="s">
        <v>6056</v>
      </c>
      <c r="G2584" s="2" t="str">
        <f>HYPERLINK("https://forum.finance.ua/topic209265.html?p=4338001#p4338001")</f>
        <v>https://forum.finance.ua/topic209265.html?p=4338001#p4338001</v>
      </c>
      <c r="H2584" t="s">
        <v>6062</v>
      </c>
      <c r="I2584" t="s">
        <v>4160</v>
      </c>
      <c r="J2584" s="2" t="str">
        <f t="shared" si="71"/>
        <v>https://forum.finance.ua/memberlist.php?mode=viewprofile&amp;u=47319</v>
      </c>
      <c r="N2584" t="s">
        <v>70</v>
      </c>
      <c r="O2584" t="s">
        <v>4</v>
      </c>
      <c r="P2584" s="2" t="str">
        <f>HYPERLINK("https://forum.finance.ua/topic209265.html?p=4338001#p4338001")</f>
        <v>https://forum.finance.ua/topic209265.html?p=4338001#p4338001</v>
      </c>
      <c r="R2584" t="s">
        <v>6066</v>
      </c>
      <c r="S2584" t="s">
        <v>6073</v>
      </c>
    </row>
    <row r="2585" spans="1:19" ht="14.25" customHeight="1" x14ac:dyDescent="0.3">
      <c r="A2585" t="s">
        <v>3527</v>
      </c>
      <c r="B2585" t="s">
        <v>4167</v>
      </c>
      <c r="C2585" t="s">
        <v>95</v>
      </c>
      <c r="D2585" t="s">
        <v>179</v>
      </c>
      <c r="E2585" t="s">
        <v>4168</v>
      </c>
      <c r="F2585" t="s">
        <v>6056</v>
      </c>
      <c r="G2585" s="2" t="str">
        <f>HYPERLINK("https://forum.finance.ua/topic209265.html?p=4338043#p4338043")</f>
        <v>https://forum.finance.ua/topic209265.html?p=4338043#p4338043</v>
      </c>
      <c r="H2585" t="s">
        <v>6062</v>
      </c>
      <c r="I2585" t="s">
        <v>4160</v>
      </c>
      <c r="J2585" s="2" t="str">
        <f t="shared" si="71"/>
        <v>https://forum.finance.ua/memberlist.php?mode=viewprofile&amp;u=47319</v>
      </c>
      <c r="N2585" t="s">
        <v>70</v>
      </c>
      <c r="O2585" t="s">
        <v>4</v>
      </c>
      <c r="P2585" s="2" t="str">
        <f>HYPERLINK("https://forum.finance.ua/topic209265.html?p=4338043#p4338043")</f>
        <v>https://forum.finance.ua/topic209265.html?p=4338043#p4338043</v>
      </c>
      <c r="R2585" t="s">
        <v>6066</v>
      </c>
      <c r="S2585" t="s">
        <v>6073</v>
      </c>
    </row>
    <row r="2586" spans="1:19" ht="14.25" customHeight="1" x14ac:dyDescent="0.3">
      <c r="A2586" t="s">
        <v>3527</v>
      </c>
      <c r="B2586" t="s">
        <v>4157</v>
      </c>
      <c r="C2586" t="s">
        <v>95</v>
      </c>
      <c r="D2586" t="s">
        <v>179</v>
      </c>
      <c r="E2586" t="s">
        <v>4159</v>
      </c>
      <c r="F2586" t="s">
        <v>6056</v>
      </c>
      <c r="G2586" s="2" t="str">
        <f>HYPERLINK("https://forum.finance.ua/topic209265.html?p=4338063#p4338063")</f>
        <v>https://forum.finance.ua/topic209265.html?p=4338063#p4338063</v>
      </c>
      <c r="H2586" t="s">
        <v>6062</v>
      </c>
      <c r="I2586" t="s">
        <v>4160</v>
      </c>
      <c r="J2586" s="2" t="str">
        <f t="shared" si="71"/>
        <v>https://forum.finance.ua/memberlist.php?mode=viewprofile&amp;u=47319</v>
      </c>
      <c r="N2586" t="s">
        <v>70</v>
      </c>
      <c r="O2586" t="s">
        <v>4</v>
      </c>
      <c r="P2586" s="2" t="str">
        <f>HYPERLINK("https://forum.finance.ua/topic209265.html?p=4338063#p4338063")</f>
        <v>https://forum.finance.ua/topic209265.html?p=4338063#p4338063</v>
      </c>
      <c r="R2586" t="s">
        <v>6066</v>
      </c>
      <c r="S2586" t="s">
        <v>6073</v>
      </c>
    </row>
    <row r="2587" spans="1:19" ht="14.25" customHeight="1" x14ac:dyDescent="0.3">
      <c r="A2587" t="s">
        <v>4439</v>
      </c>
      <c r="B2587" t="s">
        <v>2207</v>
      </c>
      <c r="C2587" t="s">
        <v>3538</v>
      </c>
      <c r="D2587" t="s">
        <v>179</v>
      </c>
      <c r="E2587" t="s">
        <v>4970</v>
      </c>
      <c r="F2587" t="s">
        <v>6056</v>
      </c>
      <c r="G2587" s="2" t="str">
        <f>HYPERLINK("https://forum.finance.ua/topic209265.html?p=4337154#p4337154")</f>
        <v>https://forum.finance.ua/topic209265.html?p=4337154#p4337154</v>
      </c>
      <c r="H2587" t="s">
        <v>6062</v>
      </c>
      <c r="I2587" t="s">
        <v>4160</v>
      </c>
      <c r="J2587" s="2" t="str">
        <f t="shared" si="71"/>
        <v>https://forum.finance.ua/memberlist.php?mode=viewprofile&amp;u=47319</v>
      </c>
      <c r="N2587" t="s">
        <v>70</v>
      </c>
      <c r="O2587" t="s">
        <v>4</v>
      </c>
      <c r="P2587" s="2" t="str">
        <f>HYPERLINK("https://forum.finance.ua/topic209265.html?p=4337154#p4337154")</f>
        <v>https://forum.finance.ua/topic209265.html?p=4337154#p4337154</v>
      </c>
      <c r="R2587" t="s">
        <v>6066</v>
      </c>
      <c r="S2587" t="s">
        <v>6073</v>
      </c>
    </row>
    <row r="2588" spans="1:19" ht="14.25" customHeight="1" x14ac:dyDescent="0.3">
      <c r="A2588" t="s">
        <v>4439</v>
      </c>
      <c r="B2588" t="s">
        <v>4433</v>
      </c>
      <c r="C2588" t="s">
        <v>3538</v>
      </c>
      <c r="D2588" t="s">
        <v>179</v>
      </c>
      <c r="E2588" t="s">
        <v>4984</v>
      </c>
      <c r="F2588" t="s">
        <v>6056</v>
      </c>
      <c r="G2588" s="2" t="str">
        <f>HYPERLINK("https://forum.finance.ua/topic209265.html?p=4337143#p4337143")</f>
        <v>https://forum.finance.ua/topic209265.html?p=4337143#p4337143</v>
      </c>
      <c r="H2588" t="s">
        <v>6062</v>
      </c>
      <c r="I2588" t="s">
        <v>4160</v>
      </c>
      <c r="J2588" s="2" t="str">
        <f t="shared" si="71"/>
        <v>https://forum.finance.ua/memberlist.php?mode=viewprofile&amp;u=47319</v>
      </c>
      <c r="N2588" t="s">
        <v>70</v>
      </c>
      <c r="O2588" t="s">
        <v>4</v>
      </c>
      <c r="P2588" s="2" t="str">
        <f>HYPERLINK("https://forum.finance.ua/topic209265.html?p=4337143#p4337143")</f>
        <v>https://forum.finance.ua/topic209265.html?p=4337143#p4337143</v>
      </c>
      <c r="R2588" t="s">
        <v>6066</v>
      </c>
      <c r="S2588" t="s">
        <v>6073</v>
      </c>
    </row>
    <row r="2589" spans="1:19" ht="14.25" customHeight="1" x14ac:dyDescent="0.3">
      <c r="A2589" t="s">
        <v>4439</v>
      </c>
      <c r="B2589" t="s">
        <v>4927</v>
      </c>
      <c r="C2589" t="s">
        <v>3538</v>
      </c>
      <c r="D2589" t="s">
        <v>179</v>
      </c>
      <c r="E2589" t="s">
        <v>4928</v>
      </c>
      <c r="F2589" t="s">
        <v>6056</v>
      </c>
      <c r="G2589" s="2" t="str">
        <f>HYPERLINK("https://forum.finance.ua/topic209265.html?p=4337165#p4337165")</f>
        <v>https://forum.finance.ua/topic209265.html?p=4337165#p4337165</v>
      </c>
      <c r="H2589" t="s">
        <v>6062</v>
      </c>
      <c r="I2589" t="s">
        <v>4160</v>
      </c>
      <c r="J2589" s="2" t="str">
        <f t="shared" si="71"/>
        <v>https://forum.finance.ua/memberlist.php?mode=viewprofile&amp;u=47319</v>
      </c>
      <c r="N2589" t="s">
        <v>70</v>
      </c>
      <c r="O2589" t="s">
        <v>4</v>
      </c>
      <c r="P2589" s="2" t="str">
        <f>HYPERLINK("https://forum.finance.ua/topic209265.html?p=4337165#p4337165")</f>
        <v>https://forum.finance.ua/topic209265.html?p=4337165#p4337165</v>
      </c>
      <c r="R2589" t="s">
        <v>6066</v>
      </c>
      <c r="S2589" t="s">
        <v>6073</v>
      </c>
    </row>
    <row r="2590" spans="1:19" ht="14.25" customHeight="1" x14ac:dyDescent="0.3">
      <c r="A2590" t="s">
        <v>4995</v>
      </c>
      <c r="B2590" t="s">
        <v>789</v>
      </c>
      <c r="C2590" t="s">
        <v>3538</v>
      </c>
      <c r="D2590" t="s">
        <v>179</v>
      </c>
      <c r="E2590" t="s">
        <v>5063</v>
      </c>
      <c r="F2590" t="s">
        <v>6056</v>
      </c>
      <c r="G2590" s="2" t="str">
        <f>HYPERLINK("https://forum.finance.ua/topic209265.html?p=4337023#p4337023")</f>
        <v>https://forum.finance.ua/topic209265.html?p=4337023#p4337023</v>
      </c>
      <c r="H2590" t="s">
        <v>6062</v>
      </c>
      <c r="I2590" t="s">
        <v>247</v>
      </c>
      <c r="J2590" s="2" t="str">
        <f t="shared" ref="J2590:J2607" si="72">HYPERLINK("https://forum.finance.ua/memberlist.php?mode=viewprofile&amp;u=48446")</f>
        <v>https://forum.finance.ua/memberlist.php?mode=viewprofile&amp;u=48446</v>
      </c>
      <c r="N2590" t="s">
        <v>70</v>
      </c>
      <c r="O2590" t="s">
        <v>4</v>
      </c>
      <c r="P2590" s="2" t="str">
        <f>HYPERLINK("https://forum.finance.ua/topic209265.html?p=4337023#p4337023")</f>
        <v>https://forum.finance.ua/topic209265.html?p=4337023#p4337023</v>
      </c>
      <c r="R2590" t="s">
        <v>6066</v>
      </c>
      <c r="S2590" t="s">
        <v>6073</v>
      </c>
    </row>
    <row r="2591" spans="1:19" ht="14.25" customHeight="1" x14ac:dyDescent="0.3">
      <c r="A2591" t="s">
        <v>4995</v>
      </c>
      <c r="B2591" t="s">
        <v>759</v>
      </c>
      <c r="C2591" t="s">
        <v>3538</v>
      </c>
      <c r="D2591" t="s">
        <v>179</v>
      </c>
      <c r="E2591" t="s">
        <v>5048</v>
      </c>
      <c r="F2591" t="s">
        <v>6056</v>
      </c>
      <c r="G2591" s="2" t="str">
        <f>HYPERLINK("https://forum.finance.ua/topic209265.html?p=4337047#p4337047")</f>
        <v>https://forum.finance.ua/topic209265.html?p=4337047#p4337047</v>
      </c>
      <c r="H2591" t="s">
        <v>6062</v>
      </c>
      <c r="I2591" t="s">
        <v>247</v>
      </c>
      <c r="J2591" s="2" t="str">
        <f t="shared" si="72"/>
        <v>https://forum.finance.ua/memberlist.php?mode=viewprofile&amp;u=48446</v>
      </c>
      <c r="N2591" t="s">
        <v>70</v>
      </c>
      <c r="O2591" t="s">
        <v>4</v>
      </c>
      <c r="P2591" s="2" t="str">
        <f>HYPERLINK("https://forum.finance.ua/topic209265.html?p=4337047#p4337047")</f>
        <v>https://forum.finance.ua/topic209265.html?p=4337047#p4337047</v>
      </c>
      <c r="R2591" t="s">
        <v>6066</v>
      </c>
      <c r="S2591" t="s">
        <v>6073</v>
      </c>
    </row>
    <row r="2592" spans="1:19" ht="14.25" customHeight="1" x14ac:dyDescent="0.3">
      <c r="A2592" t="s">
        <v>4995</v>
      </c>
      <c r="B2592" t="s">
        <v>5016</v>
      </c>
      <c r="C2592" t="s">
        <v>3538</v>
      </c>
      <c r="D2592" t="s">
        <v>179</v>
      </c>
      <c r="E2592" t="s">
        <v>5020</v>
      </c>
      <c r="F2592" t="s">
        <v>6056</v>
      </c>
      <c r="G2592" s="2" t="str">
        <f>HYPERLINK("https://forum.finance.ua/topic209265.html?p=4337106#p4337106")</f>
        <v>https://forum.finance.ua/topic209265.html?p=4337106#p4337106</v>
      </c>
      <c r="H2592" t="s">
        <v>6062</v>
      </c>
      <c r="I2592" t="s">
        <v>247</v>
      </c>
      <c r="J2592" s="2" t="str">
        <f t="shared" si="72"/>
        <v>https://forum.finance.ua/memberlist.php?mode=viewprofile&amp;u=48446</v>
      </c>
      <c r="N2592" t="s">
        <v>70</v>
      </c>
      <c r="O2592" t="s">
        <v>4</v>
      </c>
      <c r="P2592" s="2" t="str">
        <f>HYPERLINK("https://forum.finance.ua/topic209265.html?p=4337106#p4337106")</f>
        <v>https://forum.finance.ua/topic209265.html?p=4337106#p4337106</v>
      </c>
      <c r="R2592" t="s">
        <v>6066</v>
      </c>
      <c r="S2592" t="s">
        <v>6073</v>
      </c>
    </row>
    <row r="2593" spans="1:19" ht="14.25" customHeight="1" x14ac:dyDescent="0.3">
      <c r="A2593" t="s">
        <v>4439</v>
      </c>
      <c r="B2593" t="s">
        <v>1640</v>
      </c>
      <c r="C2593" t="s">
        <v>3538</v>
      </c>
      <c r="D2593" t="s">
        <v>179</v>
      </c>
      <c r="E2593" t="s">
        <v>4808</v>
      </c>
      <c r="F2593" t="s">
        <v>6056</v>
      </c>
      <c r="G2593" s="2" t="str">
        <f>HYPERLINK("https://forum.finance.ua/topic209265.html?p=4337223#p4337223")</f>
        <v>https://forum.finance.ua/topic209265.html?p=4337223#p4337223</v>
      </c>
      <c r="H2593" t="s">
        <v>6062</v>
      </c>
      <c r="I2593" t="s">
        <v>247</v>
      </c>
      <c r="J2593" s="2" t="str">
        <f t="shared" si="72"/>
        <v>https://forum.finance.ua/memberlist.php?mode=viewprofile&amp;u=48446</v>
      </c>
      <c r="N2593" t="s">
        <v>70</v>
      </c>
      <c r="O2593" t="s">
        <v>4</v>
      </c>
      <c r="P2593" s="2" t="str">
        <f>HYPERLINK("https://forum.finance.ua/topic209265.html?p=4337223#p4337223")</f>
        <v>https://forum.finance.ua/topic209265.html?p=4337223#p4337223</v>
      </c>
      <c r="R2593" t="s">
        <v>6066</v>
      </c>
      <c r="S2593" t="s">
        <v>6073</v>
      </c>
    </row>
    <row r="2594" spans="1:19" ht="14.25" customHeight="1" x14ac:dyDescent="0.3">
      <c r="A2594" t="s">
        <v>4439</v>
      </c>
      <c r="B2594" t="s">
        <v>245</v>
      </c>
      <c r="C2594" t="s">
        <v>3538</v>
      </c>
      <c r="D2594" t="s">
        <v>179</v>
      </c>
      <c r="E2594" t="s">
        <v>4740</v>
      </c>
      <c r="F2594" t="s">
        <v>6056</v>
      </c>
      <c r="G2594" s="2" t="str">
        <f>HYPERLINK("https://forum.finance.ua/topic209265.html?p=4337273#p4337273")</f>
        <v>https://forum.finance.ua/topic209265.html?p=4337273#p4337273</v>
      </c>
      <c r="H2594" t="s">
        <v>6062</v>
      </c>
      <c r="I2594" t="s">
        <v>247</v>
      </c>
      <c r="J2594" s="2" t="str">
        <f t="shared" si="72"/>
        <v>https://forum.finance.ua/memberlist.php?mode=viewprofile&amp;u=48446</v>
      </c>
      <c r="N2594" t="s">
        <v>70</v>
      </c>
      <c r="O2594" t="s">
        <v>4</v>
      </c>
      <c r="P2594" s="2" t="str">
        <f>HYPERLINK("https://forum.finance.ua/topic209265.html?p=4337273#p4337273")</f>
        <v>https://forum.finance.ua/topic209265.html?p=4337273#p4337273</v>
      </c>
      <c r="R2594" t="s">
        <v>6066</v>
      </c>
      <c r="S2594" t="s">
        <v>6073</v>
      </c>
    </row>
    <row r="2595" spans="1:19" ht="14.25" customHeight="1" x14ac:dyDescent="0.3">
      <c r="A2595" t="s">
        <v>2225</v>
      </c>
      <c r="B2595" t="s">
        <v>107</v>
      </c>
      <c r="C2595" t="s">
        <v>95</v>
      </c>
      <c r="D2595" t="s">
        <v>179</v>
      </c>
      <c r="E2595" t="s">
        <v>3275</v>
      </c>
      <c r="F2595" t="s">
        <v>6056</v>
      </c>
      <c r="G2595" s="2" t="str">
        <f>HYPERLINK("https://forum.finance.ua/topic209265.html?p=4338940#p4338940")</f>
        <v>https://forum.finance.ua/topic209265.html?p=4338940#p4338940</v>
      </c>
      <c r="H2595" t="s">
        <v>6062</v>
      </c>
      <c r="I2595" t="s">
        <v>247</v>
      </c>
      <c r="J2595" s="2" t="str">
        <f t="shared" si="72"/>
        <v>https://forum.finance.ua/memberlist.php?mode=viewprofile&amp;u=48446</v>
      </c>
      <c r="N2595" t="s">
        <v>70</v>
      </c>
      <c r="O2595" t="s">
        <v>4</v>
      </c>
      <c r="P2595" s="2" t="str">
        <f>HYPERLINK("https://forum.finance.ua/topic209265.html?p=4338940#p4338940")</f>
        <v>https://forum.finance.ua/topic209265.html?p=4338940#p4338940</v>
      </c>
      <c r="R2595" t="s">
        <v>6066</v>
      </c>
      <c r="S2595" t="s">
        <v>6073</v>
      </c>
    </row>
    <row r="2596" spans="1:19" ht="14.25" customHeight="1" x14ac:dyDescent="0.3">
      <c r="A2596" t="s">
        <v>2225</v>
      </c>
      <c r="B2596" t="s">
        <v>32</v>
      </c>
      <c r="C2596" t="s">
        <v>95</v>
      </c>
      <c r="D2596" t="s">
        <v>179</v>
      </c>
      <c r="E2596" t="s">
        <v>3208</v>
      </c>
      <c r="F2596" t="s">
        <v>6056</v>
      </c>
      <c r="G2596" s="2" t="str">
        <f>HYPERLINK("https://forum.finance.ua/topic209265.html?p=4339063#p4339063")</f>
        <v>https://forum.finance.ua/topic209265.html?p=4339063#p4339063</v>
      </c>
      <c r="H2596" t="s">
        <v>6062</v>
      </c>
      <c r="I2596" t="s">
        <v>247</v>
      </c>
      <c r="J2596" s="2" t="str">
        <f t="shared" si="72"/>
        <v>https://forum.finance.ua/memberlist.php?mode=viewprofile&amp;u=48446</v>
      </c>
      <c r="N2596" t="s">
        <v>70</v>
      </c>
      <c r="O2596" t="s">
        <v>4</v>
      </c>
      <c r="P2596" s="2" t="str">
        <f>HYPERLINK("https://forum.finance.ua/topic209265.html?p=4339063#p4339063")</f>
        <v>https://forum.finance.ua/topic209265.html?p=4339063#p4339063</v>
      </c>
      <c r="R2596" t="s">
        <v>6066</v>
      </c>
      <c r="S2596" t="s">
        <v>6073</v>
      </c>
    </row>
    <row r="2597" spans="1:19" ht="14.25" customHeight="1" x14ac:dyDescent="0.3">
      <c r="A2597" t="s">
        <v>1</v>
      </c>
      <c r="B2597" t="s">
        <v>324</v>
      </c>
      <c r="C2597" t="s">
        <v>95</v>
      </c>
      <c r="D2597" t="s">
        <v>179</v>
      </c>
      <c r="E2597" t="s">
        <v>325</v>
      </c>
      <c r="F2597" t="s">
        <v>6056</v>
      </c>
      <c r="G2597" s="2" t="str">
        <f>HYPERLINK("https://forum.finance.ua/topic209265.html?p=4340452#p4340452")</f>
        <v>https://forum.finance.ua/topic209265.html?p=4340452#p4340452</v>
      </c>
      <c r="H2597" t="s">
        <v>6062</v>
      </c>
      <c r="I2597" t="s">
        <v>247</v>
      </c>
      <c r="J2597" s="2" t="str">
        <f t="shared" si="72"/>
        <v>https://forum.finance.ua/memberlist.php?mode=viewprofile&amp;u=48446</v>
      </c>
      <c r="N2597" t="s">
        <v>70</v>
      </c>
      <c r="O2597" t="s">
        <v>4</v>
      </c>
      <c r="P2597" s="2" t="str">
        <f>HYPERLINK("https://forum.finance.ua/topic209265.html?p=4340452#p4340452")</f>
        <v>https://forum.finance.ua/topic209265.html?p=4340452#p4340452</v>
      </c>
      <c r="R2597" t="s">
        <v>6066</v>
      </c>
      <c r="S2597" t="s">
        <v>6073</v>
      </c>
    </row>
    <row r="2598" spans="1:19" ht="14.25" customHeight="1" x14ac:dyDescent="0.3">
      <c r="A2598" t="s">
        <v>1</v>
      </c>
      <c r="B2598" t="s">
        <v>288</v>
      </c>
      <c r="C2598" t="s">
        <v>95</v>
      </c>
      <c r="D2598" t="s">
        <v>179</v>
      </c>
      <c r="E2598" t="s">
        <v>289</v>
      </c>
      <c r="F2598" t="s">
        <v>6056</v>
      </c>
      <c r="G2598" s="2" t="str">
        <f>HYPERLINK("https://forum.finance.ua/topic209265.html?p=4340471#p4340471")</f>
        <v>https://forum.finance.ua/topic209265.html?p=4340471#p4340471</v>
      </c>
      <c r="H2598" t="s">
        <v>6062</v>
      </c>
      <c r="I2598" t="s">
        <v>247</v>
      </c>
      <c r="J2598" s="2" t="str">
        <f t="shared" si="72"/>
        <v>https://forum.finance.ua/memberlist.php?mode=viewprofile&amp;u=48446</v>
      </c>
      <c r="N2598" t="s">
        <v>70</v>
      </c>
      <c r="O2598" t="s">
        <v>4</v>
      </c>
      <c r="P2598" s="2" t="str">
        <f>HYPERLINK("https://forum.finance.ua/topic209265.html?p=4340471#p4340471")</f>
        <v>https://forum.finance.ua/topic209265.html?p=4340471#p4340471</v>
      </c>
      <c r="R2598" t="s">
        <v>6066</v>
      </c>
      <c r="S2598" t="s">
        <v>6073</v>
      </c>
    </row>
    <row r="2599" spans="1:19" ht="14.25" customHeight="1" x14ac:dyDescent="0.3">
      <c r="A2599" t="s">
        <v>1</v>
      </c>
      <c r="B2599" t="s">
        <v>279</v>
      </c>
      <c r="C2599" t="s">
        <v>95</v>
      </c>
      <c r="D2599" t="s">
        <v>179</v>
      </c>
      <c r="E2599" t="s">
        <v>280</v>
      </c>
      <c r="F2599" t="s">
        <v>6056</v>
      </c>
      <c r="G2599" s="2" t="str">
        <f>HYPERLINK("https://forum.finance.ua/topic209265.html?p=4340479#p4340479")</f>
        <v>https://forum.finance.ua/topic209265.html?p=4340479#p4340479</v>
      </c>
      <c r="H2599" t="s">
        <v>6062</v>
      </c>
      <c r="I2599" t="s">
        <v>247</v>
      </c>
      <c r="J2599" s="2" t="str">
        <f t="shared" si="72"/>
        <v>https://forum.finance.ua/memberlist.php?mode=viewprofile&amp;u=48446</v>
      </c>
      <c r="N2599" t="s">
        <v>70</v>
      </c>
      <c r="O2599" t="s">
        <v>4</v>
      </c>
      <c r="P2599" s="2" t="str">
        <f>HYPERLINK("https://forum.finance.ua/topic209265.html?p=4340479#p4340479")</f>
        <v>https://forum.finance.ua/topic209265.html?p=4340479#p4340479</v>
      </c>
      <c r="R2599" t="s">
        <v>6066</v>
      </c>
      <c r="S2599" t="s">
        <v>6073</v>
      </c>
    </row>
    <row r="2600" spans="1:19" ht="14.25" customHeight="1" x14ac:dyDescent="0.3">
      <c r="A2600" t="s">
        <v>1</v>
      </c>
      <c r="B2600" t="s">
        <v>275</v>
      </c>
      <c r="C2600" t="s">
        <v>95</v>
      </c>
      <c r="D2600" t="s">
        <v>179</v>
      </c>
      <c r="E2600" t="s">
        <v>276</v>
      </c>
      <c r="F2600" t="s">
        <v>6056</v>
      </c>
      <c r="G2600" s="2" t="str">
        <f>HYPERLINK("https://forum.finance.ua/topic209265.html?p=4340482#p4340482")</f>
        <v>https://forum.finance.ua/topic209265.html?p=4340482#p4340482</v>
      </c>
      <c r="H2600" t="s">
        <v>6062</v>
      </c>
      <c r="I2600" t="s">
        <v>247</v>
      </c>
      <c r="J2600" s="2" t="str">
        <f t="shared" si="72"/>
        <v>https://forum.finance.ua/memberlist.php?mode=viewprofile&amp;u=48446</v>
      </c>
      <c r="N2600" t="s">
        <v>70</v>
      </c>
      <c r="O2600" t="s">
        <v>4</v>
      </c>
      <c r="P2600" s="2" t="str">
        <f>HYPERLINK("https://forum.finance.ua/topic209265.html?p=4340482#p4340482")</f>
        <v>https://forum.finance.ua/topic209265.html?p=4340482#p4340482</v>
      </c>
      <c r="R2600" t="s">
        <v>6066</v>
      </c>
      <c r="S2600" t="s">
        <v>6073</v>
      </c>
    </row>
    <row r="2601" spans="1:19" ht="14.25" customHeight="1" x14ac:dyDescent="0.3">
      <c r="A2601" t="s">
        <v>1</v>
      </c>
      <c r="B2601" t="s">
        <v>263</v>
      </c>
      <c r="C2601" t="s">
        <v>95</v>
      </c>
      <c r="D2601" t="s">
        <v>179</v>
      </c>
      <c r="E2601" t="s">
        <v>264</v>
      </c>
      <c r="F2601" t="s">
        <v>6056</v>
      </c>
      <c r="G2601" s="2" t="str">
        <f>HYPERLINK("https://forum.finance.ua/topic209265.html?p=4340489#p4340489")</f>
        <v>https://forum.finance.ua/topic209265.html?p=4340489#p4340489</v>
      </c>
      <c r="H2601" t="s">
        <v>6062</v>
      </c>
      <c r="I2601" t="s">
        <v>247</v>
      </c>
      <c r="J2601" s="2" t="str">
        <f t="shared" si="72"/>
        <v>https://forum.finance.ua/memberlist.php?mode=viewprofile&amp;u=48446</v>
      </c>
      <c r="N2601" t="s">
        <v>70</v>
      </c>
      <c r="O2601" t="s">
        <v>4</v>
      </c>
      <c r="P2601" s="2" t="str">
        <f>HYPERLINK("https://forum.finance.ua/topic209265.html?p=4340489#p4340489")</f>
        <v>https://forum.finance.ua/topic209265.html?p=4340489#p4340489</v>
      </c>
      <c r="R2601" t="s">
        <v>6066</v>
      </c>
      <c r="S2601" t="s">
        <v>6073</v>
      </c>
    </row>
    <row r="2602" spans="1:19" ht="14.25" customHeight="1" x14ac:dyDescent="0.3">
      <c r="A2602" t="s">
        <v>629</v>
      </c>
      <c r="B2602" t="s">
        <v>764</v>
      </c>
      <c r="C2602" t="s">
        <v>95</v>
      </c>
      <c r="D2602" t="s">
        <v>179</v>
      </c>
      <c r="E2602" t="s">
        <v>766</v>
      </c>
      <c r="F2602" t="s">
        <v>6056</v>
      </c>
      <c r="G2602" s="2" t="str">
        <f>HYPERLINK("https://forum.finance.ua/topic209265.html?p=4340189#p4340189")</f>
        <v>https://forum.finance.ua/topic209265.html?p=4340189#p4340189</v>
      </c>
      <c r="H2602" t="s">
        <v>6062</v>
      </c>
      <c r="I2602" t="s">
        <v>247</v>
      </c>
      <c r="J2602" s="2" t="str">
        <f t="shared" si="72"/>
        <v>https://forum.finance.ua/memberlist.php?mode=viewprofile&amp;u=48446</v>
      </c>
      <c r="N2602" t="s">
        <v>70</v>
      </c>
      <c r="O2602" t="s">
        <v>4</v>
      </c>
      <c r="P2602" s="2" t="str">
        <f>HYPERLINK("https://forum.finance.ua/topic209265.html?p=4340189#p4340189")</f>
        <v>https://forum.finance.ua/topic209265.html?p=4340189#p4340189</v>
      </c>
      <c r="R2602" t="s">
        <v>6066</v>
      </c>
      <c r="S2602" t="s">
        <v>6073</v>
      </c>
    </row>
    <row r="2603" spans="1:19" ht="14.25" customHeight="1" x14ac:dyDescent="0.3">
      <c r="A2603" t="s">
        <v>4995</v>
      </c>
      <c r="B2603" t="s">
        <v>793</v>
      </c>
      <c r="C2603" t="s">
        <v>3538</v>
      </c>
      <c r="D2603" t="s">
        <v>179</v>
      </c>
      <c r="E2603" t="s">
        <v>5069</v>
      </c>
      <c r="F2603" t="s">
        <v>6056</v>
      </c>
      <c r="G2603" s="2" t="str">
        <f>HYPERLINK("https://forum.finance.ua/topic209265.html?p=4337018#p4337018")</f>
        <v>https://forum.finance.ua/topic209265.html?p=4337018#p4337018</v>
      </c>
      <c r="H2603" t="s">
        <v>6062</v>
      </c>
      <c r="I2603" t="s">
        <v>247</v>
      </c>
      <c r="J2603" s="2" t="str">
        <f t="shared" si="72"/>
        <v>https://forum.finance.ua/memberlist.php?mode=viewprofile&amp;u=48446</v>
      </c>
      <c r="N2603" t="s">
        <v>70</v>
      </c>
      <c r="O2603" t="s">
        <v>4</v>
      </c>
      <c r="P2603" s="2" t="str">
        <f>HYPERLINK("https://forum.finance.ua/topic209265.html?p=4337018#p4337018")</f>
        <v>https://forum.finance.ua/topic209265.html?p=4337018#p4337018</v>
      </c>
      <c r="R2603" t="s">
        <v>6066</v>
      </c>
      <c r="S2603" t="s">
        <v>6073</v>
      </c>
    </row>
    <row r="2604" spans="1:19" ht="14.25" customHeight="1" x14ac:dyDescent="0.3">
      <c r="A2604" t="s">
        <v>4995</v>
      </c>
      <c r="B2604" t="s">
        <v>2750</v>
      </c>
      <c r="C2604" t="s">
        <v>3538</v>
      </c>
      <c r="D2604" t="s">
        <v>179</v>
      </c>
      <c r="E2604" t="s">
        <v>5052</v>
      </c>
      <c r="F2604" t="s">
        <v>6056</v>
      </c>
      <c r="G2604" s="2" t="str">
        <f>HYPERLINK("https://forum.finance.ua/topic209265.html?p=4337044#p4337044")</f>
        <v>https://forum.finance.ua/topic209265.html?p=4337044#p4337044</v>
      </c>
      <c r="H2604" t="s">
        <v>6062</v>
      </c>
      <c r="I2604" t="s">
        <v>247</v>
      </c>
      <c r="J2604" s="2" t="str">
        <f t="shared" si="72"/>
        <v>https://forum.finance.ua/memberlist.php?mode=viewprofile&amp;u=48446</v>
      </c>
      <c r="N2604" t="s">
        <v>70</v>
      </c>
      <c r="O2604" t="s">
        <v>4</v>
      </c>
      <c r="P2604" s="2" t="str">
        <f>HYPERLINK("https://forum.finance.ua/topic209265.html?p=4337044#p4337044")</f>
        <v>https://forum.finance.ua/topic209265.html?p=4337044#p4337044</v>
      </c>
      <c r="R2604" t="s">
        <v>6066</v>
      </c>
      <c r="S2604" t="s">
        <v>6073</v>
      </c>
    </row>
    <row r="2605" spans="1:19" ht="14.25" customHeight="1" x14ac:dyDescent="0.3">
      <c r="A2605" t="s">
        <v>4439</v>
      </c>
      <c r="B2605" t="s">
        <v>1468</v>
      </c>
      <c r="C2605" t="s">
        <v>3538</v>
      </c>
      <c r="D2605" t="s">
        <v>179</v>
      </c>
      <c r="E2605" t="s">
        <v>4758</v>
      </c>
      <c r="F2605" t="s">
        <v>6056</v>
      </c>
      <c r="G2605" s="2" t="str">
        <f>HYPERLINK("https://forum.finance.ua/topic209265.html?p=4337262#p4337262")</f>
        <v>https://forum.finance.ua/topic209265.html?p=4337262#p4337262</v>
      </c>
      <c r="H2605" t="s">
        <v>6062</v>
      </c>
      <c r="I2605" t="s">
        <v>247</v>
      </c>
      <c r="J2605" s="2" t="str">
        <f t="shared" si="72"/>
        <v>https://forum.finance.ua/memberlist.php?mode=viewprofile&amp;u=48446</v>
      </c>
      <c r="N2605" t="s">
        <v>70</v>
      </c>
      <c r="O2605" t="s">
        <v>4</v>
      </c>
      <c r="P2605" s="2" t="str">
        <f>HYPERLINK("https://forum.finance.ua/topic209265.html?p=4337262#p4337262")</f>
        <v>https://forum.finance.ua/topic209265.html?p=4337262#p4337262</v>
      </c>
      <c r="R2605" t="s">
        <v>6066</v>
      </c>
      <c r="S2605" t="s">
        <v>6073</v>
      </c>
    </row>
    <row r="2606" spans="1:19" ht="14.25" customHeight="1" x14ac:dyDescent="0.3">
      <c r="A2606" t="s">
        <v>4439</v>
      </c>
      <c r="B2606" t="s">
        <v>417</v>
      </c>
      <c r="C2606" t="s">
        <v>3538</v>
      </c>
      <c r="D2606" t="s">
        <v>179</v>
      </c>
      <c r="E2606" t="s">
        <v>4835</v>
      </c>
      <c r="F2606" t="s">
        <v>6056</v>
      </c>
      <c r="G2606" s="2" t="str">
        <f>HYPERLINK("https://forum.finance.ua/topic209265.html?p=4337196#p4337196")</f>
        <v>https://forum.finance.ua/topic209265.html?p=4337196#p4337196</v>
      </c>
      <c r="H2606" t="s">
        <v>6062</v>
      </c>
      <c r="I2606" t="s">
        <v>247</v>
      </c>
      <c r="J2606" s="2" t="str">
        <f t="shared" si="72"/>
        <v>https://forum.finance.ua/memberlist.php?mode=viewprofile&amp;u=48446</v>
      </c>
      <c r="N2606" t="s">
        <v>70</v>
      </c>
      <c r="O2606" t="s">
        <v>4</v>
      </c>
      <c r="P2606" s="2" t="str">
        <f>HYPERLINK("https://forum.finance.ua/topic209265.html?p=4337196#p4337196")</f>
        <v>https://forum.finance.ua/topic209265.html?p=4337196#p4337196</v>
      </c>
      <c r="R2606" t="s">
        <v>6066</v>
      </c>
      <c r="S2606" t="s">
        <v>6073</v>
      </c>
    </row>
    <row r="2607" spans="1:19" ht="14.25" customHeight="1" x14ac:dyDescent="0.3">
      <c r="A2607" t="s">
        <v>3527</v>
      </c>
      <c r="B2607" t="s">
        <v>4236</v>
      </c>
      <c r="C2607" t="s">
        <v>3538</v>
      </c>
      <c r="D2607" t="s">
        <v>179</v>
      </c>
      <c r="E2607" t="s">
        <v>4237</v>
      </c>
      <c r="F2607" t="s">
        <v>6056</v>
      </c>
      <c r="G2607" s="2" t="str">
        <f>HYPERLINK("https://forum.finance.ua/topic209265.html?p=4337947#p4337947")</f>
        <v>https://forum.finance.ua/topic209265.html?p=4337947#p4337947</v>
      </c>
      <c r="H2607" t="s">
        <v>6062</v>
      </c>
      <c r="I2607" t="s">
        <v>247</v>
      </c>
      <c r="J2607" s="2" t="str">
        <f t="shared" si="72"/>
        <v>https://forum.finance.ua/memberlist.php?mode=viewprofile&amp;u=48446</v>
      </c>
      <c r="N2607" t="s">
        <v>70</v>
      </c>
      <c r="O2607" t="s">
        <v>4</v>
      </c>
      <c r="P2607" s="2" t="str">
        <f>HYPERLINK("https://forum.finance.ua/topic209265.html?p=4337947#p4337947")</f>
        <v>https://forum.finance.ua/topic209265.html?p=4337947#p4337947</v>
      </c>
      <c r="R2607" t="s">
        <v>6066</v>
      </c>
      <c r="S2607" t="s">
        <v>6073</v>
      </c>
    </row>
    <row r="2608" spans="1:19" ht="14.25" customHeight="1" x14ac:dyDescent="0.3">
      <c r="A2608" t="s">
        <v>4439</v>
      </c>
      <c r="B2608" t="s">
        <v>444</v>
      </c>
      <c r="C2608" t="s">
        <v>3538</v>
      </c>
      <c r="D2608" t="s">
        <v>179</v>
      </c>
      <c r="E2608" t="s">
        <v>4847</v>
      </c>
      <c r="F2608" t="s">
        <v>6056</v>
      </c>
      <c r="G2608" s="2" t="str">
        <f>HYPERLINK("https://forum.finance.ua/topic209265.html?p=4337189#p4337189")</f>
        <v>https://forum.finance.ua/topic209265.html?p=4337189#p4337189</v>
      </c>
      <c r="H2608" t="s">
        <v>6062</v>
      </c>
      <c r="I2608" t="s">
        <v>4599</v>
      </c>
      <c r="J2608" s="2" t="str">
        <f>HYPERLINK("https://forum.finance.ua/memberlist.php?mode=viewprofile&amp;u=109156")</f>
        <v>https://forum.finance.ua/memberlist.php?mode=viewprofile&amp;u=109156</v>
      </c>
      <c r="N2608" t="s">
        <v>70</v>
      </c>
      <c r="O2608" t="s">
        <v>4</v>
      </c>
      <c r="P2608" s="2" t="str">
        <f>HYPERLINK("https://forum.finance.ua/topic209265.html?p=4337189#p4337189")</f>
        <v>https://forum.finance.ua/topic209265.html?p=4337189#p4337189</v>
      </c>
      <c r="R2608" t="s">
        <v>6066</v>
      </c>
      <c r="S2608" t="s">
        <v>6073</v>
      </c>
    </row>
    <row r="2609" spans="1:19" ht="14.25" customHeight="1" x14ac:dyDescent="0.3">
      <c r="A2609" t="s">
        <v>4439</v>
      </c>
      <c r="B2609" t="s">
        <v>986</v>
      </c>
      <c r="C2609" t="s">
        <v>3538</v>
      </c>
      <c r="D2609" t="s">
        <v>179</v>
      </c>
      <c r="E2609" t="s">
        <v>4603</v>
      </c>
      <c r="F2609" t="s">
        <v>6056</v>
      </c>
      <c r="G2609" s="2" t="str">
        <f>HYPERLINK("https://forum.finance.ua/topic209265.html?p=4337461#p4337461")</f>
        <v>https://forum.finance.ua/topic209265.html?p=4337461#p4337461</v>
      </c>
      <c r="H2609" t="s">
        <v>6062</v>
      </c>
      <c r="I2609" t="s">
        <v>4599</v>
      </c>
      <c r="J2609" s="2" t="str">
        <f>HYPERLINK("https://forum.finance.ua/memberlist.php?mode=viewprofile&amp;u=109156")</f>
        <v>https://forum.finance.ua/memberlist.php?mode=viewprofile&amp;u=109156</v>
      </c>
      <c r="N2609" t="s">
        <v>70</v>
      </c>
      <c r="O2609" t="s">
        <v>4</v>
      </c>
      <c r="P2609" s="2" t="str">
        <f>HYPERLINK("https://forum.finance.ua/topic209265.html?p=4337461#p4337461")</f>
        <v>https://forum.finance.ua/topic209265.html?p=4337461#p4337461</v>
      </c>
      <c r="R2609" t="s">
        <v>6066</v>
      </c>
      <c r="S2609" t="s">
        <v>6073</v>
      </c>
    </row>
    <row r="2610" spans="1:19" ht="14.25" customHeight="1" x14ac:dyDescent="0.3">
      <c r="A2610" t="s">
        <v>4995</v>
      </c>
      <c r="B2610" t="s">
        <v>3914</v>
      </c>
      <c r="C2610" t="s">
        <v>3538</v>
      </c>
      <c r="D2610" t="s">
        <v>179</v>
      </c>
      <c r="E2610" t="s">
        <v>5121</v>
      </c>
      <c r="F2610" t="s">
        <v>6056</v>
      </c>
      <c r="G2610" s="2" t="str">
        <f>HYPERLINK("https://forum.finance.ua/topic209265.html?p=4336975#p4336975")</f>
        <v>https://forum.finance.ua/topic209265.html?p=4336975#p4336975</v>
      </c>
      <c r="H2610" t="s">
        <v>6062</v>
      </c>
      <c r="I2610" t="s">
        <v>5122</v>
      </c>
      <c r="J2610" s="2" t="str">
        <f>HYPERLINK("https://forum.finance.ua/memberlist.php?mode=viewprofile&amp;u=22312")</f>
        <v>https://forum.finance.ua/memberlist.php?mode=viewprofile&amp;u=22312</v>
      </c>
      <c r="N2610" t="s">
        <v>70</v>
      </c>
      <c r="O2610" t="s">
        <v>4</v>
      </c>
      <c r="P2610" s="2" t="str">
        <f>HYPERLINK("https://forum.finance.ua/topic209265.html?p=4336975#p4336975")</f>
        <v>https://forum.finance.ua/topic209265.html?p=4336975#p4336975</v>
      </c>
      <c r="R2610" t="s">
        <v>6066</v>
      </c>
      <c r="S2610" t="s">
        <v>6073</v>
      </c>
    </row>
    <row r="2611" spans="1:19" ht="14.25" customHeight="1" x14ac:dyDescent="0.3">
      <c r="A2611" t="s">
        <v>4995</v>
      </c>
      <c r="B2611" t="s">
        <v>5123</v>
      </c>
      <c r="C2611" t="s">
        <v>3538</v>
      </c>
      <c r="D2611" t="s">
        <v>5093</v>
      </c>
      <c r="E2611" t="s">
        <v>5124</v>
      </c>
      <c r="F2611" t="s">
        <v>6056</v>
      </c>
      <c r="G2611" s="2" t="str">
        <f>HYPERLINK("https://forum.finance.ua/topic128828.html?p=4336973#p4336973")</f>
        <v>https://forum.finance.ua/topic128828.html?p=4336973#p4336973</v>
      </c>
      <c r="H2611" t="s">
        <v>6062</v>
      </c>
      <c r="I2611" t="s">
        <v>5122</v>
      </c>
      <c r="J2611" s="2" t="str">
        <f>HYPERLINK("https://forum.finance.ua/memberlist.php?mode=viewprofile&amp;u=22312")</f>
        <v>https://forum.finance.ua/memberlist.php?mode=viewprofile&amp;u=22312</v>
      </c>
      <c r="N2611" t="s">
        <v>70</v>
      </c>
      <c r="O2611" t="s">
        <v>4</v>
      </c>
      <c r="P2611" s="2" t="str">
        <f>HYPERLINK("https://forum.finance.ua/topic128828.html?p=4336973#p4336973")</f>
        <v>https://forum.finance.ua/topic128828.html?p=4336973#p4336973</v>
      </c>
      <c r="R2611" t="s">
        <v>6066</v>
      </c>
      <c r="S2611" t="s">
        <v>6073</v>
      </c>
    </row>
    <row r="2612" spans="1:19" ht="14.25" customHeight="1" x14ac:dyDescent="0.3">
      <c r="A2612" t="s">
        <v>4439</v>
      </c>
      <c r="B2612" t="s">
        <v>1808</v>
      </c>
      <c r="C2612" t="s">
        <v>3538</v>
      </c>
      <c r="D2612" t="s">
        <v>179</v>
      </c>
      <c r="E2612" t="s">
        <v>4836</v>
      </c>
      <c r="F2612" t="s">
        <v>6056</v>
      </c>
      <c r="G2612" s="2" t="str">
        <f>HYPERLINK("https://forum.finance.ua/topic209265.html?p=4337193#p4337193")</f>
        <v>https://forum.finance.ua/topic209265.html?p=4337193#p4337193</v>
      </c>
      <c r="H2612" t="s">
        <v>6062</v>
      </c>
      <c r="I2612" t="s">
        <v>4714</v>
      </c>
      <c r="J2612" s="2" t="str">
        <f>HYPERLINK("https://forum.finance.ua/memberlist.php?mode=viewprofile&amp;u=96358")</f>
        <v>https://forum.finance.ua/memberlist.php?mode=viewprofile&amp;u=96358</v>
      </c>
      <c r="N2612" t="s">
        <v>70</v>
      </c>
      <c r="O2612" t="s">
        <v>4</v>
      </c>
      <c r="P2612" s="2" t="str">
        <f>HYPERLINK("https://forum.finance.ua/topic209265.html?p=4337193#p4337193")</f>
        <v>https://forum.finance.ua/topic209265.html?p=4337193#p4337193</v>
      </c>
      <c r="R2612" t="s">
        <v>6066</v>
      </c>
      <c r="S2612" t="s">
        <v>6073</v>
      </c>
    </row>
    <row r="2613" spans="1:19" ht="14.25" customHeight="1" x14ac:dyDescent="0.3">
      <c r="A2613" t="s">
        <v>4439</v>
      </c>
      <c r="B2613" t="s">
        <v>4746</v>
      </c>
      <c r="C2613" t="s">
        <v>3538</v>
      </c>
      <c r="D2613" t="s">
        <v>179</v>
      </c>
      <c r="E2613" t="s">
        <v>4747</v>
      </c>
      <c r="F2613" t="s">
        <v>6056</v>
      </c>
      <c r="G2613" s="2" t="str">
        <f>HYPERLINK("https://forum.finance.ua/topic209265.html?p=4337268#p4337268")</f>
        <v>https://forum.finance.ua/topic209265.html?p=4337268#p4337268</v>
      </c>
      <c r="H2613" t="s">
        <v>6062</v>
      </c>
      <c r="I2613" t="s">
        <v>4714</v>
      </c>
      <c r="J2613" s="2" t="str">
        <f>HYPERLINK("https://forum.finance.ua/memberlist.php?mode=viewprofile&amp;u=96358")</f>
        <v>https://forum.finance.ua/memberlist.php?mode=viewprofile&amp;u=96358</v>
      </c>
      <c r="N2613" t="s">
        <v>70</v>
      </c>
      <c r="O2613" t="s">
        <v>4</v>
      </c>
      <c r="P2613" s="2" t="str">
        <f>HYPERLINK("https://forum.finance.ua/topic209265.html?p=4337268#p4337268")</f>
        <v>https://forum.finance.ua/topic209265.html?p=4337268#p4337268</v>
      </c>
      <c r="R2613" t="s">
        <v>6066</v>
      </c>
      <c r="S2613" t="s">
        <v>6073</v>
      </c>
    </row>
    <row r="2614" spans="1:19" ht="14.25" customHeight="1" x14ac:dyDescent="0.3">
      <c r="A2614" t="s">
        <v>4439</v>
      </c>
      <c r="B2614" t="s">
        <v>3320</v>
      </c>
      <c r="C2614" t="s">
        <v>3538</v>
      </c>
      <c r="D2614" t="s">
        <v>179</v>
      </c>
      <c r="E2614" t="s">
        <v>4713</v>
      </c>
      <c r="F2614" t="s">
        <v>6056</v>
      </c>
      <c r="G2614" s="2" t="str">
        <f>HYPERLINK("https://forum.finance.ua/topic209265.html?p=4337292#p4337292")</f>
        <v>https://forum.finance.ua/topic209265.html?p=4337292#p4337292</v>
      </c>
      <c r="H2614" t="s">
        <v>6062</v>
      </c>
      <c r="I2614" t="s">
        <v>4714</v>
      </c>
      <c r="J2614" s="2" t="str">
        <f>HYPERLINK("https://forum.finance.ua/memberlist.php?mode=viewprofile&amp;u=96358")</f>
        <v>https://forum.finance.ua/memberlist.php?mode=viewprofile&amp;u=96358</v>
      </c>
      <c r="N2614" t="s">
        <v>70</v>
      </c>
      <c r="O2614" t="s">
        <v>4</v>
      </c>
      <c r="P2614" s="2" t="str">
        <f>HYPERLINK("https://forum.finance.ua/topic209265.html?p=4337292#p4337292")</f>
        <v>https://forum.finance.ua/topic209265.html?p=4337292#p4337292</v>
      </c>
      <c r="R2614" t="s">
        <v>6066</v>
      </c>
      <c r="S2614" t="s">
        <v>6073</v>
      </c>
    </row>
    <row r="2615" spans="1:19" ht="14.25" customHeight="1" x14ac:dyDescent="0.3">
      <c r="A2615" t="s">
        <v>3527</v>
      </c>
      <c r="B2615" t="s">
        <v>1966</v>
      </c>
      <c r="C2615" t="s">
        <v>3538</v>
      </c>
      <c r="D2615" t="s">
        <v>179</v>
      </c>
      <c r="E2615" t="s">
        <v>4338</v>
      </c>
      <c r="F2615" t="s">
        <v>6056</v>
      </c>
      <c r="G2615" s="2" t="str">
        <f>HYPERLINK("https://forum.finance.ua/topic209265.html?p=4337761#p4337761")</f>
        <v>https://forum.finance.ua/topic209265.html?p=4337761#p4337761</v>
      </c>
      <c r="H2615" t="s">
        <v>6062</v>
      </c>
      <c r="I2615" t="s">
        <v>827</v>
      </c>
      <c r="J2615" s="2" t="str">
        <f>HYPERLINK("https://forum.finance.ua/memberlist.php?mode=viewprofile&amp;u=37918")</f>
        <v>https://forum.finance.ua/memberlist.php?mode=viewprofile&amp;u=37918</v>
      </c>
      <c r="N2615" t="s">
        <v>70</v>
      </c>
      <c r="O2615" t="s">
        <v>4</v>
      </c>
      <c r="P2615" s="2" t="str">
        <f>HYPERLINK("https://forum.finance.ua/topic209265.html?p=4337761#p4337761")</f>
        <v>https://forum.finance.ua/topic209265.html?p=4337761#p4337761</v>
      </c>
      <c r="R2615" t="s">
        <v>6066</v>
      </c>
      <c r="S2615" t="s">
        <v>6073</v>
      </c>
    </row>
    <row r="2616" spans="1:19" ht="14.25" customHeight="1" x14ac:dyDescent="0.3">
      <c r="A2616" t="s">
        <v>629</v>
      </c>
      <c r="B2616" t="s">
        <v>824</v>
      </c>
      <c r="C2616" t="s">
        <v>95</v>
      </c>
      <c r="D2616" t="s">
        <v>179</v>
      </c>
      <c r="E2616" t="s">
        <v>826</v>
      </c>
      <c r="F2616" t="s">
        <v>6056</v>
      </c>
      <c r="G2616" s="2" t="str">
        <f>HYPERLINK("https://forum.finance.ua/topic209265.html?p=4340166#p4340166")</f>
        <v>https://forum.finance.ua/topic209265.html?p=4340166#p4340166</v>
      </c>
      <c r="H2616" t="s">
        <v>6062</v>
      </c>
      <c r="I2616" t="s">
        <v>827</v>
      </c>
      <c r="J2616" s="2" t="str">
        <f>HYPERLINK("https://forum.finance.ua/memberlist.php?mode=viewprofile&amp;u=37918")</f>
        <v>https://forum.finance.ua/memberlist.php?mode=viewprofile&amp;u=37918</v>
      </c>
      <c r="N2616" t="s">
        <v>70</v>
      </c>
      <c r="O2616" t="s">
        <v>4</v>
      </c>
      <c r="P2616" s="2" t="str">
        <f>HYPERLINK("https://forum.finance.ua/topic209265.html?p=4340166#p4340166")</f>
        <v>https://forum.finance.ua/topic209265.html?p=4340166#p4340166</v>
      </c>
      <c r="R2616" t="s">
        <v>6066</v>
      </c>
      <c r="S2616" t="s">
        <v>6073</v>
      </c>
    </row>
    <row r="2617" spans="1:19" ht="14.25" customHeight="1" x14ac:dyDescent="0.3">
      <c r="A2617" t="s">
        <v>4995</v>
      </c>
      <c r="B2617" t="s">
        <v>2164</v>
      </c>
      <c r="C2617" t="s">
        <v>3538</v>
      </c>
      <c r="D2617" t="s">
        <v>179</v>
      </c>
      <c r="E2617" t="s">
        <v>5397</v>
      </c>
      <c r="F2617" t="s">
        <v>6056</v>
      </c>
      <c r="G2617" s="2" t="str">
        <f>HYPERLINK("https://forum.finance.ua/topic209265.html?p=4336608#p4336608")</f>
        <v>https://forum.finance.ua/topic209265.html?p=4336608#p4336608</v>
      </c>
      <c r="H2617" t="s">
        <v>6062</v>
      </c>
      <c r="I2617" t="s">
        <v>827</v>
      </c>
      <c r="J2617" s="2" t="str">
        <f>HYPERLINK("https://forum.finance.ua/memberlist.php?mode=viewprofile&amp;u=37918")</f>
        <v>https://forum.finance.ua/memberlist.php?mode=viewprofile&amp;u=37918</v>
      </c>
      <c r="N2617" t="s">
        <v>70</v>
      </c>
      <c r="O2617" t="s">
        <v>4</v>
      </c>
      <c r="P2617" s="2" t="str">
        <f>HYPERLINK("https://forum.finance.ua/topic209265.html?p=4336608#p4336608")</f>
        <v>https://forum.finance.ua/topic209265.html?p=4336608#p4336608</v>
      </c>
      <c r="R2617" t="s">
        <v>6066</v>
      </c>
      <c r="S2617" t="s">
        <v>6073</v>
      </c>
    </row>
    <row r="2618" spans="1:19" ht="14.25" customHeight="1" x14ac:dyDescent="0.3">
      <c r="A2618" t="s">
        <v>4439</v>
      </c>
      <c r="B2618" t="s">
        <v>4682</v>
      </c>
      <c r="C2618" t="s">
        <v>3538</v>
      </c>
      <c r="D2618" t="s">
        <v>179</v>
      </c>
      <c r="E2618" t="s">
        <v>4683</v>
      </c>
      <c r="F2618" t="s">
        <v>6056</v>
      </c>
      <c r="G2618" s="2" t="str">
        <f>HYPERLINK("https://forum.finance.ua/topic209265.html?p=4337316#p4337316")</f>
        <v>https://forum.finance.ua/topic209265.html?p=4337316#p4337316</v>
      </c>
      <c r="H2618" t="s">
        <v>6062</v>
      </c>
      <c r="I2618" t="s">
        <v>827</v>
      </c>
      <c r="J2618" s="2" t="str">
        <f>HYPERLINK("https://forum.finance.ua/memberlist.php?mode=viewprofile&amp;u=37918")</f>
        <v>https://forum.finance.ua/memberlist.php?mode=viewprofile&amp;u=37918</v>
      </c>
      <c r="N2618" t="s">
        <v>70</v>
      </c>
      <c r="O2618" t="s">
        <v>4</v>
      </c>
      <c r="P2618" s="2" t="str">
        <f>HYPERLINK("https://forum.finance.ua/topic209265.html?p=4337316#p4337316")</f>
        <v>https://forum.finance.ua/topic209265.html?p=4337316#p4337316</v>
      </c>
      <c r="R2618" t="s">
        <v>6066</v>
      </c>
      <c r="S2618" t="s">
        <v>6073</v>
      </c>
    </row>
    <row r="2619" spans="1:19" ht="14.25" customHeight="1" x14ac:dyDescent="0.3">
      <c r="A2619" t="s">
        <v>4439</v>
      </c>
      <c r="B2619" t="s">
        <v>361</v>
      </c>
      <c r="C2619" t="s">
        <v>3538</v>
      </c>
      <c r="D2619" t="s">
        <v>179</v>
      </c>
      <c r="E2619" t="s">
        <v>4810</v>
      </c>
      <c r="F2619" t="s">
        <v>6056</v>
      </c>
      <c r="G2619" s="2" t="str">
        <f>HYPERLINK("https://forum.finance.ua/topic209265.html?p=4337221#p4337221")</f>
        <v>https://forum.finance.ua/topic209265.html?p=4337221#p4337221</v>
      </c>
      <c r="H2619" t="s">
        <v>6062</v>
      </c>
      <c r="I2619" t="s">
        <v>4669</v>
      </c>
      <c r="J2619" s="2" t="str">
        <f>HYPERLINK("https://forum.finance.ua/memberlist.php?mode=viewprofile&amp;u=29763")</f>
        <v>https://forum.finance.ua/memberlist.php?mode=viewprofile&amp;u=29763</v>
      </c>
      <c r="N2619" t="s">
        <v>70</v>
      </c>
      <c r="O2619" t="s">
        <v>4</v>
      </c>
      <c r="P2619" s="2" t="str">
        <f>HYPERLINK("https://forum.finance.ua/topic209265.html?p=4337221#p4337221")</f>
        <v>https://forum.finance.ua/topic209265.html?p=4337221#p4337221</v>
      </c>
      <c r="R2619" t="s">
        <v>6066</v>
      </c>
      <c r="S2619" t="s">
        <v>6073</v>
      </c>
    </row>
    <row r="2620" spans="1:19" ht="14.25" customHeight="1" x14ac:dyDescent="0.3">
      <c r="A2620" t="s">
        <v>4439</v>
      </c>
      <c r="B2620" t="s">
        <v>216</v>
      </c>
      <c r="C2620" t="s">
        <v>3538</v>
      </c>
      <c r="D2620" t="s">
        <v>179</v>
      </c>
      <c r="E2620" t="s">
        <v>4729</v>
      </c>
      <c r="F2620" t="s">
        <v>6056</v>
      </c>
      <c r="G2620" s="2" t="str">
        <f>HYPERLINK("https://forum.finance.ua/topic209265.html?p=4337282#p4337282")</f>
        <v>https://forum.finance.ua/topic209265.html?p=4337282#p4337282</v>
      </c>
      <c r="H2620" t="s">
        <v>6062</v>
      </c>
      <c r="I2620" t="s">
        <v>4669</v>
      </c>
      <c r="J2620" s="2" t="str">
        <f>HYPERLINK("https://forum.finance.ua/memberlist.php?mode=viewprofile&amp;u=29763")</f>
        <v>https://forum.finance.ua/memberlist.php?mode=viewprofile&amp;u=29763</v>
      </c>
      <c r="N2620" t="s">
        <v>70</v>
      </c>
      <c r="O2620" t="s">
        <v>4</v>
      </c>
      <c r="P2620" s="2" t="str">
        <f>HYPERLINK("https://forum.finance.ua/topic209265.html?p=4337282#p4337282")</f>
        <v>https://forum.finance.ua/topic209265.html?p=4337282#p4337282</v>
      </c>
      <c r="R2620" t="s">
        <v>6066</v>
      </c>
      <c r="S2620" t="s">
        <v>6073</v>
      </c>
    </row>
    <row r="2621" spans="1:19" ht="14.25" customHeight="1" x14ac:dyDescent="0.3">
      <c r="A2621" t="s">
        <v>4995</v>
      </c>
      <c r="B2621" t="s">
        <v>795</v>
      </c>
      <c r="C2621" t="s">
        <v>3538</v>
      </c>
      <c r="D2621" t="s">
        <v>179</v>
      </c>
      <c r="E2621" t="s">
        <v>5070</v>
      </c>
      <c r="F2621" t="s">
        <v>6056</v>
      </c>
      <c r="G2621" s="2" t="str">
        <f>HYPERLINK("https://forum.finance.ua/topic209265.html?p=4337016#p4337016")</f>
        <v>https://forum.finance.ua/topic209265.html?p=4337016#p4337016</v>
      </c>
      <c r="H2621" t="s">
        <v>6062</v>
      </c>
      <c r="I2621" t="s">
        <v>4669</v>
      </c>
      <c r="J2621" s="2" t="str">
        <f>HYPERLINK("https://forum.finance.ua/memberlist.php?mode=viewprofile&amp;u=29763")</f>
        <v>https://forum.finance.ua/memberlist.php?mode=viewprofile&amp;u=29763</v>
      </c>
      <c r="N2621" t="s">
        <v>70</v>
      </c>
      <c r="O2621" t="s">
        <v>4</v>
      </c>
      <c r="P2621" s="2" t="str">
        <f>HYPERLINK("https://forum.finance.ua/topic209265.html?p=4337016#p4337016")</f>
        <v>https://forum.finance.ua/topic209265.html?p=4337016#p4337016</v>
      </c>
      <c r="R2621" t="s">
        <v>6066</v>
      </c>
      <c r="S2621" t="s">
        <v>6073</v>
      </c>
    </row>
    <row r="2622" spans="1:19" ht="14.25" customHeight="1" x14ac:dyDescent="0.3">
      <c r="A2622" t="s">
        <v>4439</v>
      </c>
      <c r="B2622" t="s">
        <v>84</v>
      </c>
      <c r="C2622" t="s">
        <v>3538</v>
      </c>
      <c r="D2622" t="s">
        <v>179</v>
      </c>
      <c r="E2622" t="s">
        <v>4668</v>
      </c>
      <c r="F2622" t="s">
        <v>6056</v>
      </c>
      <c r="G2622" s="2" t="str">
        <f>HYPERLINK("https://forum.finance.ua/topic209265.html?p=4337340#p4337340")</f>
        <v>https://forum.finance.ua/topic209265.html?p=4337340#p4337340</v>
      </c>
      <c r="H2622" t="s">
        <v>6062</v>
      </c>
      <c r="I2622" t="s">
        <v>4669</v>
      </c>
      <c r="J2622" s="2" t="str">
        <f>HYPERLINK("https://forum.finance.ua/memberlist.php?mode=viewprofile&amp;u=29763")</f>
        <v>https://forum.finance.ua/memberlist.php?mode=viewprofile&amp;u=29763</v>
      </c>
      <c r="N2622" t="s">
        <v>70</v>
      </c>
      <c r="O2622" t="s">
        <v>4</v>
      </c>
      <c r="P2622" s="2" t="str">
        <f>HYPERLINK("https://forum.finance.ua/topic209265.html?p=4337340#p4337340")</f>
        <v>https://forum.finance.ua/topic209265.html?p=4337340#p4337340</v>
      </c>
      <c r="R2622" t="s">
        <v>6066</v>
      </c>
      <c r="S2622" t="s">
        <v>6073</v>
      </c>
    </row>
    <row r="2623" spans="1:19" ht="14.25" customHeight="1" x14ac:dyDescent="0.3">
      <c r="A2623" t="s">
        <v>629</v>
      </c>
      <c r="B2623" t="s">
        <v>890</v>
      </c>
      <c r="C2623" t="s">
        <v>95</v>
      </c>
      <c r="D2623" t="s">
        <v>179</v>
      </c>
      <c r="E2623" t="s">
        <v>891</v>
      </c>
      <c r="F2623" t="s">
        <v>6056</v>
      </c>
      <c r="G2623" s="2" t="str">
        <f>HYPERLINK("https://forum.finance.ua/topic209265.html?p=4340130#p4340130")</f>
        <v>https://forum.finance.ua/topic209265.html?p=4340130#p4340130</v>
      </c>
      <c r="H2623" t="s">
        <v>6062</v>
      </c>
      <c r="I2623" t="s">
        <v>892</v>
      </c>
      <c r="J2623" s="2" t="str">
        <f>HYPERLINK("https://forum.finance.ua/memberlist.php?mode=viewprofile&amp;u=65871")</f>
        <v>https://forum.finance.ua/memberlist.php?mode=viewprofile&amp;u=65871</v>
      </c>
      <c r="N2623" t="s">
        <v>70</v>
      </c>
      <c r="O2623" t="s">
        <v>4</v>
      </c>
      <c r="P2623" s="2" t="str">
        <f>HYPERLINK("https://forum.finance.ua/topic209265.html?p=4340130#p4340130")</f>
        <v>https://forum.finance.ua/topic209265.html?p=4340130#p4340130</v>
      </c>
      <c r="R2623" t="s">
        <v>6066</v>
      </c>
      <c r="S2623" t="s">
        <v>6073</v>
      </c>
    </row>
    <row r="2624" spans="1:19" ht="14.25" customHeight="1" x14ac:dyDescent="0.3">
      <c r="A2624" t="s">
        <v>5409</v>
      </c>
      <c r="B2624" t="s">
        <v>2348</v>
      </c>
      <c r="C2624" t="s">
        <v>3538</v>
      </c>
      <c r="D2624" t="s">
        <v>179</v>
      </c>
      <c r="E2624" t="s">
        <v>5464</v>
      </c>
      <c r="F2624" t="s">
        <v>6056</v>
      </c>
      <c r="G2624" s="2" t="str">
        <f>HYPERLINK("https://forum.finance.ua/topic209265.html?p=4336535#p4336535")</f>
        <v>https://forum.finance.ua/topic209265.html?p=4336535#p4336535</v>
      </c>
      <c r="H2624" t="s">
        <v>6062</v>
      </c>
      <c r="I2624" t="s">
        <v>342</v>
      </c>
      <c r="J2624" s="2" t="str">
        <f>HYPERLINK("https://forum.finance.ua/memberlist.php?mode=viewprofile&amp;u=104987")</f>
        <v>https://forum.finance.ua/memberlist.php?mode=viewprofile&amp;u=104987</v>
      </c>
      <c r="N2624" t="s">
        <v>70</v>
      </c>
      <c r="O2624" t="s">
        <v>4</v>
      </c>
      <c r="P2624" s="2" t="str">
        <f>HYPERLINK("https://forum.finance.ua/topic209265.html?p=4336535#p4336535")</f>
        <v>https://forum.finance.ua/topic209265.html?p=4336535#p4336535</v>
      </c>
      <c r="R2624" t="s">
        <v>6066</v>
      </c>
      <c r="S2624" t="s">
        <v>6073</v>
      </c>
    </row>
    <row r="2625" spans="1:19" ht="14.25" customHeight="1" x14ac:dyDescent="0.3">
      <c r="A2625" t="s">
        <v>1</v>
      </c>
      <c r="B2625" t="s">
        <v>340</v>
      </c>
      <c r="C2625" t="s">
        <v>95</v>
      </c>
      <c r="D2625" t="s">
        <v>179</v>
      </c>
      <c r="E2625" t="s">
        <v>341</v>
      </c>
      <c r="F2625" t="s">
        <v>6056</v>
      </c>
      <c r="G2625" s="2" t="str">
        <f>HYPERLINK("https://forum.finance.ua/topic209265.html?p=4340445#p4340445")</f>
        <v>https://forum.finance.ua/topic209265.html?p=4340445#p4340445</v>
      </c>
      <c r="H2625" t="s">
        <v>6062</v>
      </c>
      <c r="I2625" t="s">
        <v>342</v>
      </c>
      <c r="J2625" s="2" t="str">
        <f>HYPERLINK("https://forum.finance.ua/memberlist.php?mode=viewprofile&amp;u=104987")</f>
        <v>https://forum.finance.ua/memberlist.php?mode=viewprofile&amp;u=104987</v>
      </c>
      <c r="N2625" t="s">
        <v>70</v>
      </c>
      <c r="O2625" t="s">
        <v>4</v>
      </c>
      <c r="P2625" s="2" t="str">
        <f>HYPERLINK("https://forum.finance.ua/topic209265.html?p=4340445#p4340445")</f>
        <v>https://forum.finance.ua/topic209265.html?p=4340445#p4340445</v>
      </c>
      <c r="R2625" t="s">
        <v>6066</v>
      </c>
      <c r="S2625" t="s">
        <v>6073</v>
      </c>
    </row>
    <row r="2626" spans="1:19" ht="14.25" customHeight="1" x14ac:dyDescent="0.3">
      <c r="A2626" t="s">
        <v>4995</v>
      </c>
      <c r="B2626" t="s">
        <v>3858</v>
      </c>
      <c r="C2626" t="s">
        <v>3538</v>
      </c>
      <c r="D2626" t="s">
        <v>5093</v>
      </c>
      <c r="E2626" t="s">
        <v>5094</v>
      </c>
      <c r="F2626" t="s">
        <v>6056</v>
      </c>
      <c r="G2626" s="2" t="str">
        <f>HYPERLINK("https://forum.finance.ua/topic128828.html?p=4336996#p4336996")</f>
        <v>https://forum.finance.ua/topic128828.html?p=4336996#p4336996</v>
      </c>
      <c r="H2626" t="s">
        <v>6062</v>
      </c>
      <c r="I2626" t="s">
        <v>4829</v>
      </c>
      <c r="J2626" s="2" t="str">
        <f t="shared" ref="J2626:J2631" si="73">HYPERLINK("https://forum.finance.ua/memberlist.php?mode=viewprofile&amp;u=81307")</f>
        <v>https://forum.finance.ua/memberlist.php?mode=viewprofile&amp;u=81307</v>
      </c>
      <c r="N2626" t="s">
        <v>70</v>
      </c>
      <c r="O2626" t="s">
        <v>4</v>
      </c>
      <c r="P2626" s="2" t="str">
        <f>HYPERLINK("https://forum.finance.ua/topic128828.html?p=4336996#p4336996")</f>
        <v>https://forum.finance.ua/topic128828.html?p=4336996#p4336996</v>
      </c>
      <c r="R2626" t="s">
        <v>6066</v>
      </c>
      <c r="S2626" t="s">
        <v>6073</v>
      </c>
    </row>
    <row r="2627" spans="1:19" ht="14.25" customHeight="1" x14ac:dyDescent="0.3">
      <c r="A2627" t="s">
        <v>4995</v>
      </c>
      <c r="B2627" t="s">
        <v>881</v>
      </c>
      <c r="C2627" t="s">
        <v>3538</v>
      </c>
      <c r="D2627" t="s">
        <v>179</v>
      </c>
      <c r="E2627" t="s">
        <v>5088</v>
      </c>
      <c r="F2627" t="s">
        <v>6056</v>
      </c>
      <c r="G2627" s="2" t="str">
        <f>HYPERLINK("https://forum.finance.ua/topic209265.html?p=4336998#p4336998")</f>
        <v>https://forum.finance.ua/topic209265.html?p=4336998#p4336998</v>
      </c>
      <c r="H2627" t="s">
        <v>6062</v>
      </c>
      <c r="I2627" t="s">
        <v>4829</v>
      </c>
      <c r="J2627" s="2" t="str">
        <f t="shared" si="73"/>
        <v>https://forum.finance.ua/memberlist.php?mode=viewprofile&amp;u=81307</v>
      </c>
      <c r="N2627" t="s">
        <v>70</v>
      </c>
      <c r="O2627" t="s">
        <v>4</v>
      </c>
      <c r="P2627" s="2" t="str">
        <f>HYPERLINK("https://forum.finance.ua/topic209265.html?p=4336998#p4336998")</f>
        <v>https://forum.finance.ua/topic209265.html?p=4336998#p4336998</v>
      </c>
      <c r="R2627" t="s">
        <v>6066</v>
      </c>
      <c r="S2627" t="s">
        <v>6073</v>
      </c>
    </row>
    <row r="2628" spans="1:19" ht="14.25" customHeight="1" x14ac:dyDescent="0.3">
      <c r="A2628" t="s">
        <v>4995</v>
      </c>
      <c r="B2628" t="s">
        <v>2370</v>
      </c>
      <c r="C2628" t="s">
        <v>3538</v>
      </c>
      <c r="D2628" t="s">
        <v>179</v>
      </c>
      <c r="E2628" t="s">
        <v>5033</v>
      </c>
      <c r="F2628" t="s">
        <v>6056</v>
      </c>
      <c r="G2628" s="2" t="str">
        <f>HYPERLINK("https://forum.finance.ua/topic209265.html?p=4337075#p4337075")</f>
        <v>https://forum.finance.ua/topic209265.html?p=4337075#p4337075</v>
      </c>
      <c r="H2628" t="s">
        <v>6062</v>
      </c>
      <c r="I2628" t="s">
        <v>4829</v>
      </c>
      <c r="J2628" s="2" t="str">
        <f t="shared" si="73"/>
        <v>https://forum.finance.ua/memberlist.php?mode=viewprofile&amp;u=81307</v>
      </c>
      <c r="N2628" t="s">
        <v>70</v>
      </c>
      <c r="O2628" t="s">
        <v>4</v>
      </c>
      <c r="P2628" s="2" t="str">
        <f>HYPERLINK("https://forum.finance.ua/topic209265.html?p=4337075#p4337075")</f>
        <v>https://forum.finance.ua/topic209265.html?p=4337075#p4337075</v>
      </c>
      <c r="R2628" t="s">
        <v>6066</v>
      </c>
      <c r="S2628" t="s">
        <v>6073</v>
      </c>
    </row>
    <row r="2629" spans="1:19" ht="14.25" customHeight="1" x14ac:dyDescent="0.3">
      <c r="A2629" t="s">
        <v>4995</v>
      </c>
      <c r="B2629" t="s">
        <v>2298</v>
      </c>
      <c r="C2629" t="s">
        <v>3538</v>
      </c>
      <c r="D2629" t="s">
        <v>179</v>
      </c>
      <c r="E2629" t="s">
        <v>5023</v>
      </c>
      <c r="F2629" t="s">
        <v>6056</v>
      </c>
      <c r="G2629" s="2" t="str">
        <f>HYPERLINK("https://forum.finance.ua/topic209265.html?p=4337096#p4337096")</f>
        <v>https://forum.finance.ua/topic209265.html?p=4337096#p4337096</v>
      </c>
      <c r="H2629" t="s">
        <v>6062</v>
      </c>
      <c r="I2629" t="s">
        <v>4829</v>
      </c>
      <c r="J2629" s="2" t="str">
        <f t="shared" si="73"/>
        <v>https://forum.finance.ua/memberlist.php?mode=viewprofile&amp;u=81307</v>
      </c>
      <c r="N2629" t="s">
        <v>70</v>
      </c>
      <c r="O2629" t="s">
        <v>4</v>
      </c>
      <c r="P2629" s="2" t="str">
        <f>HYPERLINK("https://forum.finance.ua/topic209265.html?p=4337096#p4337096")</f>
        <v>https://forum.finance.ua/topic209265.html?p=4337096#p4337096</v>
      </c>
      <c r="R2629" t="s">
        <v>6066</v>
      </c>
      <c r="S2629" t="s">
        <v>6073</v>
      </c>
    </row>
    <row r="2630" spans="1:19" ht="14.25" customHeight="1" x14ac:dyDescent="0.3">
      <c r="A2630" t="s">
        <v>4439</v>
      </c>
      <c r="B2630" t="s">
        <v>4946</v>
      </c>
      <c r="C2630" t="s">
        <v>3538</v>
      </c>
      <c r="D2630" t="s">
        <v>179</v>
      </c>
      <c r="E2630" t="s">
        <v>4947</v>
      </c>
      <c r="F2630" t="s">
        <v>6056</v>
      </c>
      <c r="G2630" s="2" t="str">
        <f>HYPERLINK("https://forum.finance.ua/topic209265.html?p=4337162#p4337162")</f>
        <v>https://forum.finance.ua/topic209265.html?p=4337162#p4337162</v>
      </c>
      <c r="H2630" t="s">
        <v>6062</v>
      </c>
      <c r="I2630" t="s">
        <v>4829</v>
      </c>
      <c r="J2630" s="2" t="str">
        <f t="shared" si="73"/>
        <v>https://forum.finance.ua/memberlist.php?mode=viewprofile&amp;u=81307</v>
      </c>
      <c r="N2630" t="s">
        <v>70</v>
      </c>
      <c r="O2630" t="s">
        <v>4</v>
      </c>
      <c r="P2630" s="2" t="str">
        <f>HYPERLINK("https://forum.finance.ua/topic209265.html?p=4337162#p4337162")</f>
        <v>https://forum.finance.ua/topic209265.html?p=4337162#p4337162</v>
      </c>
      <c r="R2630" t="s">
        <v>6066</v>
      </c>
      <c r="S2630" t="s">
        <v>6073</v>
      </c>
    </row>
    <row r="2631" spans="1:19" ht="14.25" customHeight="1" x14ac:dyDescent="0.3">
      <c r="A2631" t="s">
        <v>4439</v>
      </c>
      <c r="B2631" t="s">
        <v>1693</v>
      </c>
      <c r="C2631" t="s">
        <v>3538</v>
      </c>
      <c r="D2631" t="s">
        <v>179</v>
      </c>
      <c r="E2631" t="s">
        <v>4828</v>
      </c>
      <c r="F2631" t="s">
        <v>6056</v>
      </c>
      <c r="G2631" s="2" t="str">
        <f>HYPERLINK("https://forum.finance.ua/topic209265.html?p=4337208#p4337208")</f>
        <v>https://forum.finance.ua/topic209265.html?p=4337208#p4337208</v>
      </c>
      <c r="H2631" t="s">
        <v>6062</v>
      </c>
      <c r="I2631" t="s">
        <v>4829</v>
      </c>
      <c r="J2631" s="2" t="str">
        <f t="shared" si="73"/>
        <v>https://forum.finance.ua/memberlist.php?mode=viewprofile&amp;u=81307</v>
      </c>
      <c r="N2631" t="s">
        <v>70</v>
      </c>
      <c r="O2631" t="s">
        <v>4</v>
      </c>
      <c r="P2631" s="2" t="str">
        <f>HYPERLINK("https://forum.finance.ua/topic209265.html?p=4337208#p4337208")</f>
        <v>https://forum.finance.ua/topic209265.html?p=4337208#p4337208</v>
      </c>
      <c r="R2631" t="s">
        <v>6066</v>
      </c>
      <c r="S2631" t="s">
        <v>6073</v>
      </c>
    </row>
    <row r="2632" spans="1:19" ht="14.25" customHeight="1" x14ac:dyDescent="0.3">
      <c r="A2632" t="s">
        <v>3527</v>
      </c>
      <c r="B2632" t="s">
        <v>3944</v>
      </c>
      <c r="C2632" t="s">
        <v>95</v>
      </c>
      <c r="D2632" t="s">
        <v>179</v>
      </c>
      <c r="E2632" t="s">
        <v>3946</v>
      </c>
      <c r="F2632" t="s">
        <v>6056</v>
      </c>
      <c r="G2632" s="2" t="str">
        <f>HYPERLINK("https://forum.finance.ua/topic209265.html?p=4338321#p4338321")</f>
        <v>https://forum.finance.ua/topic209265.html?p=4338321#p4338321</v>
      </c>
      <c r="H2632" t="s">
        <v>6062</v>
      </c>
      <c r="I2632" t="s">
        <v>3947</v>
      </c>
      <c r="J2632" s="2" t="str">
        <f>HYPERLINK("https://forum.finance.ua/memberlist.php?mode=viewprofile&amp;u=32963")</f>
        <v>https://forum.finance.ua/memberlist.php?mode=viewprofile&amp;u=32963</v>
      </c>
      <c r="N2632" t="s">
        <v>70</v>
      </c>
      <c r="O2632" t="s">
        <v>4</v>
      </c>
      <c r="P2632" s="2" t="str">
        <f>HYPERLINK("https://forum.finance.ua/topic209265.html?p=4338321#p4338321")</f>
        <v>https://forum.finance.ua/topic209265.html?p=4338321#p4338321</v>
      </c>
      <c r="R2632" t="s">
        <v>6066</v>
      </c>
      <c r="S2632" t="s">
        <v>6073</v>
      </c>
    </row>
    <row r="2633" spans="1:19" ht="14.25" customHeight="1" x14ac:dyDescent="0.3">
      <c r="A2633" t="s">
        <v>5409</v>
      </c>
      <c r="B2633" t="s">
        <v>92</v>
      </c>
      <c r="C2633" t="s">
        <v>3538</v>
      </c>
      <c r="D2633" t="s">
        <v>179</v>
      </c>
      <c r="E2633" t="s">
        <v>5720</v>
      </c>
      <c r="F2633" t="s">
        <v>6056</v>
      </c>
      <c r="G2633" s="2" t="str">
        <f>HYPERLINK("https://forum.finance.ua/topic209265.html?p=4336137#p4336137")</f>
        <v>https://forum.finance.ua/topic209265.html?p=4336137#p4336137</v>
      </c>
      <c r="H2633" t="s">
        <v>6062</v>
      </c>
      <c r="I2633" t="s">
        <v>5721</v>
      </c>
      <c r="J2633" s="2" t="str">
        <f>HYPERLINK("https://forum.finance.ua/memberlist.php?mode=viewprofile&amp;u=70604")</f>
        <v>https://forum.finance.ua/memberlist.php?mode=viewprofile&amp;u=70604</v>
      </c>
      <c r="N2633" t="s">
        <v>70</v>
      </c>
      <c r="O2633" t="s">
        <v>4</v>
      </c>
      <c r="P2633" s="2" t="str">
        <f>HYPERLINK("https://forum.finance.ua/topic209265.html?p=4336137#p4336137")</f>
        <v>https://forum.finance.ua/topic209265.html?p=4336137#p4336137</v>
      </c>
      <c r="R2633" t="s">
        <v>6066</v>
      </c>
      <c r="S2633" t="s">
        <v>6073</v>
      </c>
    </row>
    <row r="2634" spans="1:19" ht="14.25" customHeight="1" x14ac:dyDescent="0.3">
      <c r="A2634" t="s">
        <v>4439</v>
      </c>
      <c r="B2634" t="s">
        <v>963</v>
      </c>
      <c r="C2634" t="s">
        <v>3538</v>
      </c>
      <c r="D2634" t="s">
        <v>179</v>
      </c>
      <c r="E2634" t="s">
        <v>4595</v>
      </c>
      <c r="F2634" t="s">
        <v>6056</v>
      </c>
      <c r="G2634" s="2" t="str">
        <f>HYPERLINK("https://forum.finance.ua/topic209265.html?p=4337490#p4337490")</f>
        <v>https://forum.finance.ua/topic209265.html?p=4337490#p4337490</v>
      </c>
      <c r="H2634" t="s">
        <v>6061</v>
      </c>
      <c r="I2634" t="s">
        <v>191</v>
      </c>
      <c r="J2634" s="2" t="str">
        <f>HYPERLINK("https://forum.finance.ua/memberlist.php?mode=viewprofile&amp;u=58503")</f>
        <v>https://forum.finance.ua/memberlist.php?mode=viewprofile&amp;u=58503</v>
      </c>
      <c r="N2634" t="s">
        <v>70</v>
      </c>
      <c r="O2634" t="s">
        <v>4</v>
      </c>
      <c r="P2634" s="2" t="str">
        <f>HYPERLINK("https://forum.finance.ua/topic209265.html?p=4337490#p4337490")</f>
        <v>https://forum.finance.ua/topic209265.html?p=4337490#p4337490</v>
      </c>
      <c r="R2634" t="s">
        <v>6066</v>
      </c>
      <c r="S2634" t="s">
        <v>6073</v>
      </c>
    </row>
    <row r="2635" spans="1:19" ht="14.25" customHeight="1" x14ac:dyDescent="0.3">
      <c r="A2635" t="s">
        <v>3527</v>
      </c>
      <c r="B2635" t="s">
        <v>4388</v>
      </c>
      <c r="C2635" t="s">
        <v>3538</v>
      </c>
      <c r="D2635" t="s">
        <v>179</v>
      </c>
      <c r="E2635" t="s">
        <v>4389</v>
      </c>
      <c r="F2635" t="s">
        <v>6056</v>
      </c>
      <c r="G2635" s="2" t="str">
        <f>HYPERLINK("https://forum.finance.ua/topic209265.html?p=4337734#p4337734")</f>
        <v>https://forum.finance.ua/topic209265.html?p=4337734#p4337734</v>
      </c>
      <c r="H2635" t="s">
        <v>6061</v>
      </c>
      <c r="I2635" t="s">
        <v>191</v>
      </c>
      <c r="J2635" s="2" t="str">
        <f>HYPERLINK("https://forum.finance.ua/memberlist.php?mode=viewprofile&amp;u=58503")</f>
        <v>https://forum.finance.ua/memberlist.php?mode=viewprofile&amp;u=58503</v>
      </c>
      <c r="N2635" t="s">
        <v>70</v>
      </c>
      <c r="O2635" t="s">
        <v>4</v>
      </c>
      <c r="P2635" s="2" t="str">
        <f>HYPERLINK("https://forum.finance.ua/topic209265.html?p=4337734#p4337734")</f>
        <v>https://forum.finance.ua/topic209265.html?p=4337734#p4337734</v>
      </c>
      <c r="R2635" t="s">
        <v>6066</v>
      </c>
      <c r="S2635" t="s">
        <v>6073</v>
      </c>
    </row>
    <row r="2636" spans="1:19" ht="14.25" customHeight="1" x14ac:dyDescent="0.3">
      <c r="A2636" t="s">
        <v>1</v>
      </c>
      <c r="B2636" t="s">
        <v>417</v>
      </c>
      <c r="C2636" t="s">
        <v>95</v>
      </c>
      <c r="D2636" t="s">
        <v>179</v>
      </c>
      <c r="E2636" t="s">
        <v>418</v>
      </c>
      <c r="F2636" t="s">
        <v>6056</v>
      </c>
      <c r="G2636" s="2" t="str">
        <f>HYPERLINK("https://forum.finance.ua/topic209265.html?p=4340357#p4340357")</f>
        <v>https://forum.finance.ua/topic209265.html?p=4340357#p4340357</v>
      </c>
      <c r="H2636" t="s">
        <v>6061</v>
      </c>
      <c r="I2636" t="s">
        <v>191</v>
      </c>
      <c r="J2636" s="2" t="str">
        <f>HYPERLINK("https://forum.finance.ua/memberlist.php?mode=viewprofile&amp;u=58503")</f>
        <v>https://forum.finance.ua/memberlist.php?mode=viewprofile&amp;u=58503</v>
      </c>
      <c r="N2636" t="s">
        <v>70</v>
      </c>
      <c r="O2636" t="s">
        <v>4</v>
      </c>
      <c r="P2636" s="2" t="str">
        <f>HYPERLINK("https://forum.finance.ua/topic209265.html?p=4340357#p4340357")</f>
        <v>https://forum.finance.ua/topic209265.html?p=4340357#p4340357</v>
      </c>
      <c r="R2636" t="s">
        <v>6066</v>
      </c>
      <c r="S2636" t="s">
        <v>6073</v>
      </c>
    </row>
    <row r="2637" spans="1:19" ht="14.25" customHeight="1" x14ac:dyDescent="0.3">
      <c r="A2637" t="s">
        <v>629</v>
      </c>
      <c r="B2637" t="s">
        <v>1010</v>
      </c>
      <c r="C2637" t="s">
        <v>95</v>
      </c>
      <c r="D2637" t="s">
        <v>179</v>
      </c>
      <c r="E2637" t="s">
        <v>1011</v>
      </c>
      <c r="F2637" t="s">
        <v>6056</v>
      </c>
      <c r="G2637" s="2" t="str">
        <f>HYPERLINK("https://forum.finance.ua/topic209265.html?p=4340031#p4340031")</f>
        <v>https://forum.finance.ua/topic209265.html?p=4340031#p4340031</v>
      </c>
      <c r="H2637" t="s">
        <v>6061</v>
      </c>
      <c r="I2637" t="s">
        <v>772</v>
      </c>
      <c r="J2637" s="2" t="str">
        <f>HYPERLINK("https://forum.finance.ua/memberlist.php?mode=viewprofile&amp;u=46832")</f>
        <v>https://forum.finance.ua/memberlist.php?mode=viewprofile&amp;u=46832</v>
      </c>
      <c r="N2637" t="s">
        <v>70</v>
      </c>
      <c r="O2637" t="s">
        <v>4</v>
      </c>
      <c r="P2637" s="2" t="str">
        <f>HYPERLINK("https://forum.finance.ua/topic209265.html?p=4340031#p4340031")</f>
        <v>https://forum.finance.ua/topic209265.html?p=4340031#p4340031</v>
      </c>
      <c r="R2637" t="s">
        <v>6066</v>
      </c>
      <c r="S2637" t="s">
        <v>6073</v>
      </c>
    </row>
    <row r="2638" spans="1:19" ht="14.25" customHeight="1" x14ac:dyDescent="0.3">
      <c r="A2638" t="s">
        <v>629</v>
      </c>
      <c r="B2638" t="s">
        <v>900</v>
      </c>
      <c r="C2638" t="s">
        <v>95</v>
      </c>
      <c r="D2638" t="s">
        <v>179</v>
      </c>
      <c r="E2638" t="s">
        <v>901</v>
      </c>
      <c r="F2638" t="s">
        <v>6056</v>
      </c>
      <c r="G2638" s="2" t="str">
        <f>HYPERLINK("https://forum.finance.ua/topic209265.html?p=4340120#p4340120")</f>
        <v>https://forum.finance.ua/topic209265.html?p=4340120#p4340120</v>
      </c>
      <c r="H2638" t="s">
        <v>6061</v>
      </c>
      <c r="I2638" t="s">
        <v>902</v>
      </c>
      <c r="J2638" s="2" t="str">
        <f>HYPERLINK("https://forum.finance.ua/memberlist.php?mode=viewprofile&amp;u=87437")</f>
        <v>https://forum.finance.ua/memberlist.php?mode=viewprofile&amp;u=87437</v>
      </c>
      <c r="N2638" t="s">
        <v>70</v>
      </c>
      <c r="O2638" t="s">
        <v>4</v>
      </c>
      <c r="P2638" s="2" t="str">
        <f>HYPERLINK("https://forum.finance.ua/topic209265.html?p=4340120#p4340120")</f>
        <v>https://forum.finance.ua/topic209265.html?p=4340120#p4340120</v>
      </c>
      <c r="R2638" t="s">
        <v>6066</v>
      </c>
      <c r="S2638" t="s">
        <v>6073</v>
      </c>
    </row>
    <row r="2639" spans="1:19" ht="14.25" customHeight="1" x14ac:dyDescent="0.3">
      <c r="A2639" t="s">
        <v>4439</v>
      </c>
      <c r="B2639" t="s">
        <v>4460</v>
      </c>
      <c r="C2639" t="s">
        <v>3538</v>
      </c>
      <c r="D2639" t="s">
        <v>179</v>
      </c>
      <c r="E2639" t="s">
        <v>4462</v>
      </c>
      <c r="F2639" t="s">
        <v>6056</v>
      </c>
      <c r="G2639" s="2" t="str">
        <f>HYPERLINK("https://forum.finance.ua/topic209265.html?p=4337644#p4337644")</f>
        <v>https://forum.finance.ua/topic209265.html?p=4337644#p4337644</v>
      </c>
      <c r="H2639" t="s">
        <v>6061</v>
      </c>
      <c r="I2639" t="s">
        <v>4463</v>
      </c>
      <c r="J2639" s="2" t="str">
        <f>HYPERLINK("https://forum.finance.ua/memberlist.php?mode=viewprofile&amp;u=23400")</f>
        <v>https://forum.finance.ua/memberlist.php?mode=viewprofile&amp;u=23400</v>
      </c>
      <c r="N2639" t="s">
        <v>70</v>
      </c>
      <c r="O2639" t="s">
        <v>4</v>
      </c>
      <c r="P2639" s="2" t="str">
        <f>HYPERLINK("https://forum.finance.ua/topic209265.html?p=4337644#p4337644")</f>
        <v>https://forum.finance.ua/topic209265.html?p=4337644#p4337644</v>
      </c>
      <c r="R2639" t="s">
        <v>6066</v>
      </c>
      <c r="S2639" t="s">
        <v>6073</v>
      </c>
    </row>
    <row r="2640" spans="1:19" ht="14.25" customHeight="1" x14ac:dyDescent="0.3">
      <c r="A2640" t="s">
        <v>3527</v>
      </c>
      <c r="B2640" t="s">
        <v>4362</v>
      </c>
      <c r="C2640" t="s">
        <v>3538</v>
      </c>
      <c r="D2640" t="s">
        <v>179</v>
      </c>
      <c r="E2640" t="s">
        <v>4363</v>
      </c>
      <c r="F2640" t="s">
        <v>6056</v>
      </c>
      <c r="G2640" s="2" t="str">
        <f>HYPERLINK("https://forum.finance.ua/topic209265.html?p=4337736#p4337736")</f>
        <v>https://forum.finance.ua/topic209265.html?p=4337736#p4337736</v>
      </c>
      <c r="H2640" t="s">
        <v>6061</v>
      </c>
      <c r="I2640" t="s">
        <v>4359</v>
      </c>
      <c r="J2640" s="2" t="str">
        <f>HYPERLINK("https://forum.finance.ua/memberlist.php?mode=viewprofile&amp;u=89063")</f>
        <v>https://forum.finance.ua/memberlist.php?mode=viewprofile&amp;u=89063</v>
      </c>
      <c r="N2640" t="s">
        <v>70</v>
      </c>
      <c r="O2640" t="s">
        <v>4</v>
      </c>
      <c r="P2640" s="2" t="str">
        <f>HYPERLINK("https://forum.finance.ua/topic209265.html?p=4337736#p4337736")</f>
        <v>https://forum.finance.ua/topic209265.html?p=4337736#p4337736</v>
      </c>
      <c r="R2640" t="s">
        <v>6066</v>
      </c>
      <c r="S2640" t="s">
        <v>6073</v>
      </c>
    </row>
    <row r="2641" spans="1:19" ht="14.25" customHeight="1" x14ac:dyDescent="0.3">
      <c r="A2641" t="s">
        <v>3527</v>
      </c>
      <c r="B2641" t="s">
        <v>4357</v>
      </c>
      <c r="C2641" t="s">
        <v>3538</v>
      </c>
      <c r="D2641" t="s">
        <v>179</v>
      </c>
      <c r="E2641" t="s">
        <v>4358</v>
      </c>
      <c r="F2641" t="s">
        <v>6056</v>
      </c>
      <c r="G2641" s="2" t="str">
        <f>HYPERLINK("https://forum.finance.ua/topic209265.html?p=4337737#p4337737")</f>
        <v>https://forum.finance.ua/topic209265.html?p=4337737#p4337737</v>
      </c>
      <c r="H2641" t="s">
        <v>6061</v>
      </c>
      <c r="I2641" t="s">
        <v>4359</v>
      </c>
      <c r="J2641" s="2" t="str">
        <f>HYPERLINK("https://forum.finance.ua/memberlist.php?mode=viewprofile&amp;u=89063")</f>
        <v>https://forum.finance.ua/memberlist.php?mode=viewprofile&amp;u=89063</v>
      </c>
      <c r="N2641" t="s">
        <v>70</v>
      </c>
      <c r="O2641" t="s">
        <v>4</v>
      </c>
      <c r="P2641" s="2" t="str">
        <f>HYPERLINK("https://forum.finance.ua/topic209265.html?p=4337737#p4337737")</f>
        <v>https://forum.finance.ua/topic209265.html?p=4337737#p4337737</v>
      </c>
      <c r="R2641" t="s">
        <v>6066</v>
      </c>
      <c r="S2641" t="s">
        <v>6073</v>
      </c>
    </row>
    <row r="2642" spans="1:19" ht="14.25" customHeight="1" x14ac:dyDescent="0.3">
      <c r="A2642" t="s">
        <v>1</v>
      </c>
      <c r="B2642" t="s">
        <v>65</v>
      </c>
      <c r="C2642" t="s">
        <v>66</v>
      </c>
      <c r="D2642" t="s">
        <v>67</v>
      </c>
      <c r="E2642" t="s">
        <v>68</v>
      </c>
      <c r="F2642" t="s">
        <v>6056</v>
      </c>
      <c r="G2642" s="2" t="str">
        <f>HYPERLINK("https://forum.finance.ua/topic214577.html?p=4340695#p4340695")</f>
        <v>https://forum.finance.ua/topic214577.html?p=4340695#p4340695</v>
      </c>
      <c r="H2642" t="s">
        <v>6061</v>
      </c>
      <c r="I2642" t="s">
        <v>69</v>
      </c>
      <c r="J2642" s="2" t="str">
        <f>HYPERLINK("https://forum.finance.ua/memberlist.php?mode=viewprofile&amp;u=18696")</f>
        <v>https://forum.finance.ua/memberlist.php?mode=viewprofile&amp;u=18696</v>
      </c>
      <c r="N2642" t="s">
        <v>70</v>
      </c>
      <c r="O2642" t="s">
        <v>4</v>
      </c>
      <c r="P2642" t="s">
        <v>4</v>
      </c>
      <c r="R2642" t="s">
        <v>6066</v>
      </c>
      <c r="S2642" t="s">
        <v>6073</v>
      </c>
    </row>
    <row r="2643" spans="1:19" ht="14.25" customHeight="1" x14ac:dyDescent="0.3">
      <c r="A2643" t="s">
        <v>4439</v>
      </c>
      <c r="B2643" t="s">
        <v>4961</v>
      </c>
      <c r="C2643" t="s">
        <v>3538</v>
      </c>
      <c r="D2643" t="s">
        <v>179</v>
      </c>
      <c r="E2643" t="s">
        <v>4962</v>
      </c>
      <c r="F2643" t="s">
        <v>6056</v>
      </c>
      <c r="G2643" s="2" t="str">
        <f>HYPERLINK("https://forum.finance.ua/topic209265.html?p=4337156#p4337156")</f>
        <v>https://forum.finance.ua/topic209265.html?p=4337156#p4337156</v>
      </c>
      <c r="H2643" t="s">
        <v>6061</v>
      </c>
      <c r="I2643" t="s">
        <v>4829</v>
      </c>
      <c r="J2643" s="2" t="str">
        <f>HYPERLINK("https://forum.finance.ua/memberlist.php?mode=viewprofile&amp;u=81307")</f>
        <v>https://forum.finance.ua/memberlist.php?mode=viewprofile&amp;u=81307</v>
      </c>
      <c r="N2643" t="s">
        <v>70</v>
      </c>
      <c r="O2643" t="s">
        <v>4</v>
      </c>
      <c r="P2643" s="2" t="str">
        <f>HYPERLINK("https://forum.finance.ua/topic209265.html?p=4337156#p4337156")</f>
        <v>https://forum.finance.ua/topic209265.html?p=4337156#p4337156</v>
      </c>
      <c r="R2643" t="s">
        <v>6066</v>
      </c>
      <c r="S2643" t="s">
        <v>6073</v>
      </c>
    </row>
    <row r="2644" spans="1:19" ht="14.25" customHeight="1" x14ac:dyDescent="0.3">
      <c r="A2644" t="s">
        <v>2225</v>
      </c>
      <c r="B2644" t="s">
        <v>709</v>
      </c>
      <c r="C2644" t="s">
        <v>95</v>
      </c>
      <c r="D2644" t="s">
        <v>2337</v>
      </c>
      <c r="E2644" t="s">
        <v>2338</v>
      </c>
      <c r="F2644" t="s">
        <v>6056</v>
      </c>
      <c r="G2644" s="2" t="str">
        <f>HYPERLINK("http://forum.te.ua/showthread.php?t=208790&amp;page=5#post2726540")</f>
        <v>http://forum.te.ua/showthread.php?t=208790&amp;page=5#post2726540</v>
      </c>
      <c r="H2644" t="s">
        <v>6062</v>
      </c>
      <c r="I2644" t="s">
        <v>2339</v>
      </c>
      <c r="J2644" s="2" t="str">
        <f>HYPERLINK("http://forum.te.ua/member.php?u=20739")</f>
        <v>http://forum.te.ua/member.php?u=20739</v>
      </c>
      <c r="N2644" t="s">
        <v>2340</v>
      </c>
      <c r="O2644" t="s">
        <v>2341</v>
      </c>
      <c r="P2644" s="2" t="str">
        <f>HYPERLINK("http://forum.te.ua/forumdisplay.php?f=14")</f>
        <v>http://forum.te.ua/forumdisplay.php?f=14</v>
      </c>
      <c r="R2644" t="s">
        <v>6066</v>
      </c>
      <c r="S2644" t="s">
        <v>6073</v>
      </c>
    </row>
    <row r="2645" spans="1:19" ht="14.25" customHeight="1" x14ac:dyDescent="0.3">
      <c r="A2645" t="s">
        <v>2225</v>
      </c>
      <c r="B2645" t="s">
        <v>2494</v>
      </c>
      <c r="C2645" t="s">
        <v>95</v>
      </c>
      <c r="D2645" t="s">
        <v>2337</v>
      </c>
      <c r="E2645" t="s">
        <v>2514</v>
      </c>
      <c r="F2645" t="s">
        <v>6056</v>
      </c>
      <c r="G2645" s="2" t="str">
        <f>HYPERLINK("http://forum.te.ua/showthread.php?t=208790&amp;page=5#post2726537")</f>
        <v>http://forum.te.ua/showthread.php?t=208790&amp;page=5#post2726537</v>
      </c>
      <c r="H2645" t="s">
        <v>6062</v>
      </c>
      <c r="I2645" t="s">
        <v>2515</v>
      </c>
      <c r="J2645" s="2" t="str">
        <f>HYPERLINK("http://forum.te.ua/member.php?u=6924")</f>
        <v>http://forum.te.ua/member.php?u=6924</v>
      </c>
      <c r="N2645" t="s">
        <v>2340</v>
      </c>
      <c r="O2645" t="s">
        <v>2341</v>
      </c>
      <c r="P2645" s="2" t="str">
        <f>HYPERLINK("http://forum.te.ua/forumdisplay.php?f=14")</f>
        <v>http://forum.te.ua/forumdisplay.php?f=14</v>
      </c>
      <c r="R2645" t="s">
        <v>6066</v>
      </c>
      <c r="S2645" t="s">
        <v>6073</v>
      </c>
    </row>
    <row r="2646" spans="1:19" ht="14.25" customHeight="1" x14ac:dyDescent="0.3">
      <c r="A2646" t="s">
        <v>4439</v>
      </c>
      <c r="B2646" t="s">
        <v>4934</v>
      </c>
      <c r="C2646" t="s">
        <v>3538</v>
      </c>
      <c r="D2646" t="s">
        <v>4935</v>
      </c>
      <c r="E2646" t="s">
        <v>4936</v>
      </c>
      <c r="F2646" t="s">
        <v>6059</v>
      </c>
      <c r="G2646" s="2" t="str">
        <f>HYPERLINK("http://groupb.ru/actuall/gadget/daily-sale-xviii.html/comment-page-68#comment-1108767")</f>
        <v>http://groupb.ru/actuall/gadget/daily-sale-xviii.html/comment-page-68#comment-1108767</v>
      </c>
      <c r="H2646" t="s">
        <v>6062</v>
      </c>
      <c r="I2646" t="s">
        <v>4937</v>
      </c>
      <c r="J2646" s="2" t="str">
        <f>HYPERLINK("http://groupb.ru/actuall/gadget/daily-sale-xviii.html/comment-page-68#comment-1108767")</f>
        <v>http://groupb.ru/actuall/gadget/daily-sale-xviii.html/comment-page-68#comment-1108767</v>
      </c>
      <c r="L2646" t="s">
        <v>6063</v>
      </c>
      <c r="N2646" t="s">
        <v>4938</v>
      </c>
      <c r="R2646" t="s">
        <v>6068</v>
      </c>
      <c r="S2646" t="s">
        <v>6072</v>
      </c>
    </row>
    <row r="2647" spans="1:19" ht="14.25" customHeight="1" x14ac:dyDescent="0.3">
      <c r="A2647" t="s">
        <v>2225</v>
      </c>
      <c r="B2647" t="s">
        <v>862</v>
      </c>
      <c r="C2647" t="s">
        <v>95</v>
      </c>
      <c r="D2647" t="s">
        <v>4</v>
      </c>
      <c r="E2647" t="s">
        <v>2978</v>
      </c>
      <c r="F2647" t="s">
        <v>6056</v>
      </c>
      <c r="G2647" s="2" t="str">
        <f>HYPERLINK("https://www.instagram.com/p/BhHXYaaHDqC")</f>
        <v>https://www.instagram.com/p/BhHXYaaHDqC</v>
      </c>
      <c r="H2647" t="s">
        <v>6060</v>
      </c>
      <c r="I2647" t="s">
        <v>2979</v>
      </c>
      <c r="J2647" s="2" t="str">
        <f>HYPERLINK("http://instagram.com/moor_design")</f>
        <v>http://instagram.com/moor_design</v>
      </c>
      <c r="K2647">
        <v>77</v>
      </c>
      <c r="L2647" t="s">
        <v>6063</v>
      </c>
      <c r="N2647" t="s">
        <v>262</v>
      </c>
      <c r="O2647" t="s">
        <v>2979</v>
      </c>
      <c r="P2647" s="2" t="str">
        <f>HYPERLINK("http://instagram.com/moor_design")</f>
        <v>http://instagram.com/moor_design</v>
      </c>
      <c r="Q2647">
        <v>77</v>
      </c>
      <c r="R2647" t="s">
        <v>6067</v>
      </c>
    </row>
    <row r="2648" spans="1:19" ht="14.25" customHeight="1" x14ac:dyDescent="0.3">
      <c r="A2648" t="s">
        <v>4439</v>
      </c>
      <c r="B2648" t="s">
        <v>1511</v>
      </c>
      <c r="C2648" t="s">
        <v>3538</v>
      </c>
      <c r="D2648" t="s">
        <v>4773</v>
      </c>
      <c r="E2648" t="s">
        <v>4774</v>
      </c>
      <c r="F2648" t="s">
        <v>6059</v>
      </c>
      <c r="G2648" s="2" t="str">
        <f>HYPERLINK("https://www.instagram.com/p/Bg0USXRFfk-")</f>
        <v>https://www.instagram.com/p/Bg0USXRFfk-</v>
      </c>
      <c r="H2648" t="s">
        <v>6060</v>
      </c>
      <c r="I2648" t="s">
        <v>360</v>
      </c>
      <c r="J2648" s="2" t="str">
        <f>HYPERLINK("http://instagram.com/glavpost.media")</f>
        <v>http://instagram.com/glavpost.media</v>
      </c>
      <c r="K2648">
        <v>156</v>
      </c>
      <c r="L2648" t="s">
        <v>6063</v>
      </c>
      <c r="N2648" t="s">
        <v>262</v>
      </c>
      <c r="O2648" t="s">
        <v>2350</v>
      </c>
      <c r="P2648" s="2" t="str">
        <f>HYPERLINK("http://instagram.com/monobank.com.ua")</f>
        <v>http://instagram.com/monobank.com.ua</v>
      </c>
      <c r="Q2648">
        <v>5349</v>
      </c>
      <c r="R2648" t="s">
        <v>6067</v>
      </c>
      <c r="S2648" t="s">
        <v>6073</v>
      </c>
    </row>
    <row r="2649" spans="1:19" ht="14.25" customHeight="1" x14ac:dyDescent="0.3">
      <c r="A2649" t="s">
        <v>2225</v>
      </c>
      <c r="B2649" t="s">
        <v>3304</v>
      </c>
      <c r="C2649" t="s">
        <v>95</v>
      </c>
      <c r="D2649" t="s">
        <v>4</v>
      </c>
      <c r="E2649" t="s">
        <v>3305</v>
      </c>
      <c r="F2649" t="s">
        <v>6056</v>
      </c>
      <c r="G2649" s="2" t="str">
        <f>HYPERLINK("https://www.instagram.com/p/BhGpDyQA2tR")</f>
        <v>https://www.instagram.com/p/BhGpDyQA2tR</v>
      </c>
      <c r="H2649" t="s">
        <v>6062</v>
      </c>
      <c r="I2649" t="s">
        <v>3306</v>
      </c>
      <c r="J2649" s="2" t="str">
        <f>HYPERLINK("http://instagram.com/agents_clothes")</f>
        <v>http://instagram.com/agents_clothes</v>
      </c>
      <c r="K2649">
        <v>5211</v>
      </c>
      <c r="N2649" t="s">
        <v>262</v>
      </c>
      <c r="O2649" t="s">
        <v>3306</v>
      </c>
      <c r="P2649" s="2" t="str">
        <f>HYPERLINK("http://instagram.com/agents_clothes")</f>
        <v>http://instagram.com/agents_clothes</v>
      </c>
      <c r="Q2649">
        <v>5211</v>
      </c>
      <c r="R2649" t="s">
        <v>6067</v>
      </c>
      <c r="S2649" t="s">
        <v>6073</v>
      </c>
    </row>
    <row r="2650" spans="1:19" ht="14.25" customHeight="1" x14ac:dyDescent="0.3">
      <c r="A2650" t="s">
        <v>2225</v>
      </c>
      <c r="B2650" t="s">
        <v>388</v>
      </c>
      <c r="C2650" t="s">
        <v>95</v>
      </c>
      <c r="D2650" t="s">
        <v>4</v>
      </c>
      <c r="E2650" t="s">
        <v>3410</v>
      </c>
      <c r="F2650" t="s">
        <v>6056</v>
      </c>
      <c r="G2650" s="2" t="str">
        <f>HYPERLINK("https://www.instagram.com/p/BhGYESnAzaZ")</f>
        <v>https://www.instagram.com/p/BhGYESnAzaZ</v>
      </c>
      <c r="H2650" t="s">
        <v>6062</v>
      </c>
      <c r="I2650" t="s">
        <v>3411</v>
      </c>
      <c r="J2650" s="2" t="str">
        <f>HYPERLINK("http://instagram.com/alex_masyura")</f>
        <v>http://instagram.com/alex_masyura</v>
      </c>
      <c r="K2650">
        <v>137</v>
      </c>
      <c r="N2650" t="s">
        <v>262</v>
      </c>
      <c r="O2650" t="s">
        <v>3411</v>
      </c>
      <c r="P2650" s="2" t="str">
        <f>HYPERLINK("http://instagram.com/alex_masyura")</f>
        <v>http://instagram.com/alex_masyura</v>
      </c>
      <c r="Q2650">
        <v>137</v>
      </c>
      <c r="R2650" t="s">
        <v>6067</v>
      </c>
      <c r="S2650" t="s">
        <v>6073</v>
      </c>
    </row>
    <row r="2651" spans="1:19" ht="14.25" customHeight="1" x14ac:dyDescent="0.3">
      <c r="A2651" t="s">
        <v>3527</v>
      </c>
      <c r="B2651" t="s">
        <v>1043</v>
      </c>
      <c r="C2651" t="s">
        <v>3538</v>
      </c>
      <c r="D2651" t="s">
        <v>4</v>
      </c>
      <c r="E2651" t="s">
        <v>4050</v>
      </c>
      <c r="F2651" t="s">
        <v>6056</v>
      </c>
      <c r="G2651" s="2" t="str">
        <f>HYPERLINK("https://www.instagram.com/p/BhEfua5lcJb")</f>
        <v>https://www.instagram.com/p/BhEfua5lcJb</v>
      </c>
      <c r="H2651" t="s">
        <v>6062</v>
      </c>
      <c r="I2651" t="s">
        <v>4051</v>
      </c>
      <c r="J2651" s="2" t="str">
        <f>HYPERLINK("http://instagram.com/alona_makeup_star")</f>
        <v>http://instagram.com/alona_makeup_star</v>
      </c>
      <c r="K2651">
        <v>3383</v>
      </c>
      <c r="L2651" t="s">
        <v>6064</v>
      </c>
      <c r="N2651" t="s">
        <v>262</v>
      </c>
      <c r="O2651" t="s">
        <v>4051</v>
      </c>
      <c r="P2651" s="2" t="str">
        <f>HYPERLINK("http://instagram.com/alona_makeup_star")</f>
        <v>http://instagram.com/alona_makeup_star</v>
      </c>
      <c r="Q2651">
        <v>3383</v>
      </c>
      <c r="R2651" t="s">
        <v>6067</v>
      </c>
      <c r="S2651" t="s">
        <v>6073</v>
      </c>
    </row>
    <row r="2652" spans="1:19" ht="14.25" customHeight="1" x14ac:dyDescent="0.3">
      <c r="A2652" t="s">
        <v>2225</v>
      </c>
      <c r="B2652" t="s">
        <v>2904</v>
      </c>
      <c r="C2652" t="s">
        <v>95</v>
      </c>
      <c r="D2652" t="s">
        <v>2905</v>
      </c>
      <c r="E2652" t="s">
        <v>2906</v>
      </c>
      <c r="F2652" t="s">
        <v>6059</v>
      </c>
      <c r="G2652" s="2" t="str">
        <f>HYPERLINK("https://www.instagram.com/p/BhHQBuTAtJN")</f>
        <v>https://www.instagram.com/p/BhHQBuTAtJN</v>
      </c>
      <c r="H2652" t="s">
        <v>6062</v>
      </c>
      <c r="I2652" t="s">
        <v>2907</v>
      </c>
      <c r="J2652" s="2" t="str">
        <f>HYPERLINK("http://instagram.com/osipiuk.artem")</f>
        <v>http://instagram.com/osipiuk.artem</v>
      </c>
      <c r="K2652">
        <v>392</v>
      </c>
      <c r="L2652" t="s">
        <v>6063</v>
      </c>
      <c r="N2652" t="s">
        <v>262</v>
      </c>
      <c r="O2652" t="s">
        <v>2907</v>
      </c>
      <c r="P2652" s="2" t="str">
        <f>HYPERLINK("http://instagram.com/osipiuk.artem")</f>
        <v>http://instagram.com/osipiuk.artem</v>
      </c>
      <c r="Q2652">
        <v>392</v>
      </c>
      <c r="R2652" t="s">
        <v>6067</v>
      </c>
    </row>
    <row r="2653" spans="1:19" ht="14.25" customHeight="1" x14ac:dyDescent="0.3">
      <c r="A2653" t="s">
        <v>2225</v>
      </c>
      <c r="B2653" t="s">
        <v>926</v>
      </c>
      <c r="C2653" t="s">
        <v>95</v>
      </c>
      <c r="D2653" t="s">
        <v>4</v>
      </c>
      <c r="E2653" t="s">
        <v>3045</v>
      </c>
      <c r="F2653" t="s">
        <v>6056</v>
      </c>
      <c r="G2653" s="2" t="str">
        <f>HYPERLINK("https://www.instagram.com/p/BhHQBuTAtJN")</f>
        <v>https://www.instagram.com/p/BhHQBuTAtJN</v>
      </c>
      <c r="H2653" t="s">
        <v>6062</v>
      </c>
      <c r="I2653" t="s">
        <v>2907</v>
      </c>
      <c r="J2653" s="2" t="str">
        <f>HYPERLINK("http://instagram.com/osipiuk.artem")</f>
        <v>http://instagram.com/osipiuk.artem</v>
      </c>
      <c r="K2653">
        <v>392</v>
      </c>
      <c r="L2653" t="s">
        <v>6063</v>
      </c>
      <c r="N2653" t="s">
        <v>262</v>
      </c>
      <c r="O2653" t="s">
        <v>2907</v>
      </c>
      <c r="P2653" s="2" t="str">
        <f>HYPERLINK("http://instagram.com/osipiuk.artem")</f>
        <v>http://instagram.com/osipiuk.artem</v>
      </c>
      <c r="Q2653">
        <v>392</v>
      </c>
      <c r="R2653" t="s">
        <v>6067</v>
      </c>
    </row>
    <row r="2654" spans="1:19" ht="14.25" customHeight="1" x14ac:dyDescent="0.3">
      <c r="A2654" t="s">
        <v>5409</v>
      </c>
      <c r="B2654" t="s">
        <v>5728</v>
      </c>
      <c r="C2654" t="s">
        <v>3538</v>
      </c>
      <c r="D2654" t="s">
        <v>5729</v>
      </c>
      <c r="E2654" t="s">
        <v>5730</v>
      </c>
      <c r="F2654" t="s">
        <v>6059</v>
      </c>
      <c r="G2654" s="2" t="str">
        <f>HYPERLINK("https://www.instagram.com/p/Bgyl-7wAkhm")</f>
        <v>https://www.instagram.com/p/Bgyl-7wAkhm</v>
      </c>
      <c r="H2654" t="s">
        <v>6062</v>
      </c>
      <c r="I2654" t="s">
        <v>5731</v>
      </c>
      <c r="J2654" s="2" t="str">
        <f>HYPERLINK("http://instagram.com/anyaku7")</f>
        <v>http://instagram.com/anyaku7</v>
      </c>
      <c r="K2654">
        <v>335</v>
      </c>
      <c r="N2654" t="s">
        <v>262</v>
      </c>
      <c r="O2654" t="s">
        <v>5732</v>
      </c>
      <c r="P2654" s="2" t="str">
        <f>HYPERLINK("http://instagram.com/lyudmilasulima")</f>
        <v>http://instagram.com/lyudmilasulima</v>
      </c>
      <c r="Q2654">
        <v>5426</v>
      </c>
      <c r="R2654" t="s">
        <v>6067</v>
      </c>
    </row>
    <row r="2655" spans="1:19" ht="14.25" customHeight="1" x14ac:dyDescent="0.3">
      <c r="A2655" t="s">
        <v>4995</v>
      </c>
      <c r="B2655" t="s">
        <v>1292</v>
      </c>
      <c r="C2655" t="s">
        <v>3538</v>
      </c>
      <c r="D2655" t="s">
        <v>5201</v>
      </c>
      <c r="E2655" t="s">
        <v>5202</v>
      </c>
      <c r="F2655" t="s">
        <v>6059</v>
      </c>
      <c r="G2655" s="2" t="str">
        <f>HYPERLINK("https://www.instagram.com/p/Bg_G36pFB13")</f>
        <v>https://www.instagram.com/p/Bg_G36pFB13</v>
      </c>
      <c r="H2655" t="s">
        <v>6062</v>
      </c>
      <c r="I2655" t="s">
        <v>5203</v>
      </c>
      <c r="J2655" s="2" t="str">
        <f>HYPERLINK("http://instagram.com/bbshk1")</f>
        <v>http://instagram.com/bbshk1</v>
      </c>
      <c r="K2655">
        <v>379</v>
      </c>
      <c r="L2655" t="s">
        <v>6063</v>
      </c>
      <c r="N2655" t="s">
        <v>262</v>
      </c>
      <c r="O2655" t="s">
        <v>5204</v>
      </c>
      <c r="P2655" s="2" t="str">
        <f>HYPERLINK("http://instagram.com/katesemenova")</f>
        <v>http://instagram.com/katesemenova</v>
      </c>
      <c r="Q2655">
        <v>1289</v>
      </c>
      <c r="R2655" t="s">
        <v>6067</v>
      </c>
    </row>
    <row r="2656" spans="1:19" ht="14.25" customHeight="1" x14ac:dyDescent="0.3">
      <c r="A2656" t="s">
        <v>2225</v>
      </c>
      <c r="B2656" t="s">
        <v>3479</v>
      </c>
      <c r="C2656" t="s">
        <v>95</v>
      </c>
      <c r="D2656" t="s">
        <v>3238</v>
      </c>
      <c r="E2656" t="s">
        <v>3480</v>
      </c>
      <c r="F2656" t="s">
        <v>6059</v>
      </c>
      <c r="G2656" s="2" t="str">
        <f>HYPERLINK("https://www.instagram.com/p/BhFdthxhP3W")</f>
        <v>https://www.instagram.com/p/BhFdthxhP3W</v>
      </c>
      <c r="H2656" t="s">
        <v>6062</v>
      </c>
      <c r="I2656" t="s">
        <v>3481</v>
      </c>
      <c r="J2656" s="2" t="str">
        <f>HYPERLINK("http://instagram.com/cosimowise")</f>
        <v>http://instagram.com/cosimowise</v>
      </c>
      <c r="K2656">
        <v>2008</v>
      </c>
      <c r="L2656" t="s">
        <v>6063</v>
      </c>
      <c r="N2656" t="s">
        <v>262</v>
      </c>
      <c r="O2656" t="s">
        <v>3240</v>
      </c>
      <c r="P2656" s="2" t="str">
        <f>HYPERLINK("http://instagram.com/dostigator44")</f>
        <v>http://instagram.com/dostigator44</v>
      </c>
      <c r="Q2656">
        <v>3</v>
      </c>
      <c r="R2656" t="s">
        <v>6067</v>
      </c>
      <c r="S2656" t="s">
        <v>6073</v>
      </c>
    </row>
    <row r="2657" spans="1:19" ht="14.25" customHeight="1" x14ac:dyDescent="0.3">
      <c r="A2657" t="s">
        <v>2225</v>
      </c>
      <c r="B2657" t="s">
        <v>411</v>
      </c>
      <c r="C2657" t="s">
        <v>95</v>
      </c>
      <c r="D2657" t="s">
        <v>4</v>
      </c>
      <c r="E2657" t="s">
        <v>3324</v>
      </c>
      <c r="F2657" t="s">
        <v>6056</v>
      </c>
      <c r="G2657" s="2" t="str">
        <f>HYPERLINK("https://www.instagram.com/p/BhGU-9aDqWI")</f>
        <v>https://www.instagram.com/p/BhGU-9aDqWI</v>
      </c>
      <c r="H2657" t="s">
        <v>6062</v>
      </c>
      <c r="I2657" t="s">
        <v>3327</v>
      </c>
      <c r="J2657" s="2" t="str">
        <f>HYPERLINK("http://instagram.com/daniikyasinev")</f>
        <v>http://instagram.com/daniikyasinev</v>
      </c>
      <c r="K2657">
        <v>591</v>
      </c>
      <c r="N2657" t="s">
        <v>262</v>
      </c>
      <c r="O2657" t="s">
        <v>3327</v>
      </c>
      <c r="P2657" s="2" t="str">
        <f>HYPERLINK("http://instagram.com/daniikyasinev")</f>
        <v>http://instagram.com/daniikyasinev</v>
      </c>
      <c r="Q2657">
        <v>591</v>
      </c>
      <c r="R2657" t="s">
        <v>6067</v>
      </c>
    </row>
    <row r="2658" spans="1:19" ht="14.25" customHeight="1" x14ac:dyDescent="0.3">
      <c r="A2658" t="s">
        <v>2225</v>
      </c>
      <c r="B2658" t="s">
        <v>390</v>
      </c>
      <c r="C2658" t="s">
        <v>95</v>
      </c>
      <c r="D2658" t="s">
        <v>3324</v>
      </c>
      <c r="E2658" t="s">
        <v>3415</v>
      </c>
      <c r="F2658" t="s">
        <v>6059</v>
      </c>
      <c r="G2658" s="2" t="str">
        <f>HYPERLINK("https://www.instagram.com/p/BhGU-9aDqWI")</f>
        <v>https://www.instagram.com/p/BhGU-9aDqWI</v>
      </c>
      <c r="H2658" t="s">
        <v>6062</v>
      </c>
      <c r="I2658" t="s">
        <v>3327</v>
      </c>
      <c r="J2658" s="2" t="str">
        <f>HYPERLINK("http://instagram.com/daniikyasinev")</f>
        <v>http://instagram.com/daniikyasinev</v>
      </c>
      <c r="K2658">
        <v>591</v>
      </c>
      <c r="N2658" t="s">
        <v>262</v>
      </c>
      <c r="O2658" t="s">
        <v>3327</v>
      </c>
      <c r="P2658" s="2" t="str">
        <f>HYPERLINK("http://instagram.com/daniikyasinev")</f>
        <v>http://instagram.com/daniikyasinev</v>
      </c>
      <c r="Q2658">
        <v>591</v>
      </c>
      <c r="R2658" t="s">
        <v>6067</v>
      </c>
    </row>
    <row r="2659" spans="1:19" ht="14.25" customHeight="1" x14ac:dyDescent="0.3">
      <c r="A2659" t="s">
        <v>2225</v>
      </c>
      <c r="B2659" t="s">
        <v>178</v>
      </c>
      <c r="C2659" t="s">
        <v>95</v>
      </c>
      <c r="D2659" t="s">
        <v>3324</v>
      </c>
      <c r="E2659" t="s">
        <v>3325</v>
      </c>
      <c r="F2659" t="s">
        <v>6059</v>
      </c>
      <c r="G2659" s="2" t="str">
        <f>HYPERLINK("https://www.instagram.com/p/BhGU-9aDqWI")</f>
        <v>https://www.instagram.com/p/BhGU-9aDqWI</v>
      </c>
      <c r="H2659" t="s">
        <v>6062</v>
      </c>
      <c r="I2659" t="s">
        <v>3326</v>
      </c>
      <c r="J2659" s="2" t="str">
        <f>HYPERLINK("http://instagram.com/den.gayevskiy")</f>
        <v>http://instagram.com/den.gayevskiy</v>
      </c>
      <c r="K2659">
        <v>235</v>
      </c>
      <c r="L2659" t="s">
        <v>6063</v>
      </c>
      <c r="N2659" t="s">
        <v>262</v>
      </c>
      <c r="O2659" t="s">
        <v>3327</v>
      </c>
      <c r="P2659" s="2" t="str">
        <f>HYPERLINK("http://instagram.com/daniikyasinev")</f>
        <v>http://instagram.com/daniikyasinev</v>
      </c>
      <c r="Q2659">
        <v>591</v>
      </c>
      <c r="R2659" t="s">
        <v>6067</v>
      </c>
    </row>
    <row r="2660" spans="1:19" ht="14.25" customHeight="1" x14ac:dyDescent="0.3">
      <c r="A2660" t="s">
        <v>2225</v>
      </c>
      <c r="B2660" t="s">
        <v>3494</v>
      </c>
      <c r="C2660" t="s">
        <v>95</v>
      </c>
      <c r="D2660" t="s">
        <v>4</v>
      </c>
      <c r="E2660" t="s">
        <v>3495</v>
      </c>
      <c r="F2660" t="s">
        <v>6056</v>
      </c>
      <c r="G2660" s="2" t="str">
        <f>HYPERLINK("https://www.instagram.com/p/BhFZXZDh4zG")</f>
        <v>https://www.instagram.com/p/BhFZXZDh4zG</v>
      </c>
      <c r="H2660" t="s">
        <v>6062</v>
      </c>
      <c r="I2660" t="s">
        <v>3240</v>
      </c>
      <c r="J2660" s="2" t="str">
        <f t="shared" ref="J2660:J2667" si="74">HYPERLINK("http://instagram.com/dostigator44")</f>
        <v>http://instagram.com/dostigator44</v>
      </c>
      <c r="K2660">
        <v>3</v>
      </c>
      <c r="N2660" t="s">
        <v>262</v>
      </c>
      <c r="O2660" t="s">
        <v>3240</v>
      </c>
      <c r="P2660" s="2" t="str">
        <f t="shared" ref="P2660:P2668" si="75">HYPERLINK("http://instagram.com/dostigator44")</f>
        <v>http://instagram.com/dostigator44</v>
      </c>
      <c r="Q2660">
        <v>3</v>
      </c>
      <c r="R2660" t="s">
        <v>6067</v>
      </c>
      <c r="S2660" t="s">
        <v>6073</v>
      </c>
    </row>
    <row r="2661" spans="1:19" ht="14.25" customHeight="1" x14ac:dyDescent="0.3">
      <c r="A2661" t="s">
        <v>2225</v>
      </c>
      <c r="B2661" t="s">
        <v>3488</v>
      </c>
      <c r="C2661" t="s">
        <v>95</v>
      </c>
      <c r="D2661" t="s">
        <v>4</v>
      </c>
      <c r="E2661" t="s">
        <v>3489</v>
      </c>
      <c r="F2661" t="s">
        <v>6056</v>
      </c>
      <c r="G2661" s="2" t="str">
        <f>HYPERLINK("https://www.instagram.com/p/BhFdthxhP3W")</f>
        <v>https://www.instagram.com/p/BhFdthxhP3W</v>
      </c>
      <c r="H2661" t="s">
        <v>6062</v>
      </c>
      <c r="I2661" t="s">
        <v>3240</v>
      </c>
      <c r="J2661" s="2" t="str">
        <f t="shared" si="74"/>
        <v>http://instagram.com/dostigator44</v>
      </c>
      <c r="K2661">
        <v>3</v>
      </c>
      <c r="N2661" t="s">
        <v>262</v>
      </c>
      <c r="O2661" t="s">
        <v>3240</v>
      </c>
      <c r="P2661" s="2" t="str">
        <f t="shared" si="75"/>
        <v>http://instagram.com/dostigator44</v>
      </c>
      <c r="Q2661">
        <v>3</v>
      </c>
      <c r="R2661" t="s">
        <v>6067</v>
      </c>
      <c r="S2661" t="s">
        <v>6073</v>
      </c>
    </row>
    <row r="2662" spans="1:19" ht="14.25" customHeight="1" x14ac:dyDescent="0.3">
      <c r="A2662" t="s">
        <v>2225</v>
      </c>
      <c r="B2662" t="s">
        <v>2134</v>
      </c>
      <c r="C2662" t="s">
        <v>95</v>
      </c>
      <c r="D2662" t="s">
        <v>4</v>
      </c>
      <c r="E2662" t="s">
        <v>3496</v>
      </c>
      <c r="F2662" t="s">
        <v>6056</v>
      </c>
      <c r="G2662" s="2" t="str">
        <f>HYPERLINK("https://www.instagram.com/p/BhFYhShBo1c")</f>
        <v>https://www.instagram.com/p/BhFYhShBo1c</v>
      </c>
      <c r="H2662" t="s">
        <v>6062</v>
      </c>
      <c r="I2662" t="s">
        <v>3240</v>
      </c>
      <c r="J2662" s="2" t="str">
        <f t="shared" si="74"/>
        <v>http://instagram.com/dostigator44</v>
      </c>
      <c r="K2662">
        <v>3</v>
      </c>
      <c r="N2662" t="s">
        <v>262</v>
      </c>
      <c r="O2662" t="s">
        <v>3240</v>
      </c>
      <c r="P2662" s="2" t="str">
        <f t="shared" si="75"/>
        <v>http://instagram.com/dostigator44</v>
      </c>
      <c r="Q2662">
        <v>3</v>
      </c>
      <c r="R2662" t="s">
        <v>6067</v>
      </c>
    </row>
    <row r="2663" spans="1:19" ht="14.25" customHeight="1" x14ac:dyDescent="0.3">
      <c r="A2663" t="s">
        <v>2225</v>
      </c>
      <c r="B2663" t="s">
        <v>3500</v>
      </c>
      <c r="C2663" t="s">
        <v>95</v>
      </c>
      <c r="D2663" t="s">
        <v>4</v>
      </c>
      <c r="E2663" t="s">
        <v>3501</v>
      </c>
      <c r="F2663" t="s">
        <v>6056</v>
      </c>
      <c r="G2663" s="2" t="str">
        <f>HYPERLINK("https://www.instagram.com/p/BhFVQ3ihly9")</f>
        <v>https://www.instagram.com/p/BhFVQ3ihly9</v>
      </c>
      <c r="H2663" t="s">
        <v>6062</v>
      </c>
      <c r="I2663" t="s">
        <v>3240</v>
      </c>
      <c r="J2663" s="2" t="str">
        <f t="shared" si="74"/>
        <v>http://instagram.com/dostigator44</v>
      </c>
      <c r="K2663">
        <v>3</v>
      </c>
      <c r="N2663" t="s">
        <v>262</v>
      </c>
      <c r="O2663" t="s">
        <v>3240</v>
      </c>
      <c r="P2663" s="2" t="str">
        <f t="shared" si="75"/>
        <v>http://instagram.com/dostigator44</v>
      </c>
      <c r="Q2663">
        <v>3</v>
      </c>
      <c r="R2663" t="s">
        <v>6067</v>
      </c>
    </row>
    <row r="2664" spans="1:19" ht="14.25" customHeight="1" x14ac:dyDescent="0.3">
      <c r="A2664" t="s">
        <v>2225</v>
      </c>
      <c r="B2664" t="s">
        <v>2188</v>
      </c>
      <c r="C2664" t="s">
        <v>95</v>
      </c>
      <c r="D2664" t="s">
        <v>4</v>
      </c>
      <c r="E2664" t="s">
        <v>3510</v>
      </c>
      <c r="F2664" t="s">
        <v>6056</v>
      </c>
      <c r="G2664" s="2" t="str">
        <f>HYPERLINK("https://www.instagram.com/p/BhFUFgqBB7H")</f>
        <v>https://www.instagram.com/p/BhFUFgqBB7H</v>
      </c>
      <c r="H2664" t="s">
        <v>6062</v>
      </c>
      <c r="I2664" t="s">
        <v>3240</v>
      </c>
      <c r="J2664" s="2" t="str">
        <f t="shared" si="74"/>
        <v>http://instagram.com/dostigator44</v>
      </c>
      <c r="K2664">
        <v>3</v>
      </c>
      <c r="N2664" t="s">
        <v>262</v>
      </c>
      <c r="O2664" t="s">
        <v>3240</v>
      </c>
      <c r="P2664" s="2" t="str">
        <f t="shared" si="75"/>
        <v>http://instagram.com/dostigator44</v>
      </c>
      <c r="Q2664">
        <v>3</v>
      </c>
      <c r="R2664" t="s">
        <v>6067</v>
      </c>
      <c r="S2664" t="s">
        <v>6073</v>
      </c>
    </row>
    <row r="2665" spans="1:19" ht="14.25" customHeight="1" x14ac:dyDescent="0.3">
      <c r="A2665" t="s">
        <v>2225</v>
      </c>
      <c r="B2665" t="s">
        <v>2215</v>
      </c>
      <c r="C2665" t="s">
        <v>95</v>
      </c>
      <c r="D2665" t="s">
        <v>4</v>
      </c>
      <c r="E2665" t="s">
        <v>3515</v>
      </c>
      <c r="F2665" t="s">
        <v>6056</v>
      </c>
      <c r="G2665" s="2" t="str">
        <f>HYPERLINK("https://www.instagram.com/p/BhFScGZhi_c")</f>
        <v>https://www.instagram.com/p/BhFScGZhi_c</v>
      </c>
      <c r="H2665" t="s">
        <v>6062</v>
      </c>
      <c r="I2665" t="s">
        <v>3240</v>
      </c>
      <c r="J2665" s="2" t="str">
        <f t="shared" si="74"/>
        <v>http://instagram.com/dostigator44</v>
      </c>
      <c r="K2665">
        <v>3</v>
      </c>
      <c r="N2665" t="s">
        <v>262</v>
      </c>
      <c r="O2665" t="s">
        <v>3240</v>
      </c>
      <c r="P2665" s="2" t="str">
        <f t="shared" si="75"/>
        <v>http://instagram.com/dostigator44</v>
      </c>
      <c r="Q2665">
        <v>3</v>
      </c>
      <c r="R2665" t="s">
        <v>6067</v>
      </c>
      <c r="S2665" t="s">
        <v>6073</v>
      </c>
    </row>
    <row r="2666" spans="1:19" ht="14.25" customHeight="1" x14ac:dyDescent="0.3">
      <c r="A2666" t="s">
        <v>2225</v>
      </c>
      <c r="B2666" t="s">
        <v>553</v>
      </c>
      <c r="C2666" t="s">
        <v>95</v>
      </c>
      <c r="D2666" t="s">
        <v>4</v>
      </c>
      <c r="E2666" t="s">
        <v>3490</v>
      </c>
      <c r="F2666" t="s">
        <v>6056</v>
      </c>
      <c r="G2666" s="2" t="str">
        <f>HYPERLINK("https://www.instagram.com/p/BhFbbRzBB5M")</f>
        <v>https://www.instagram.com/p/BhFbbRzBB5M</v>
      </c>
      <c r="H2666" t="s">
        <v>6062</v>
      </c>
      <c r="I2666" t="s">
        <v>3240</v>
      </c>
      <c r="J2666" s="2" t="str">
        <f t="shared" si="74"/>
        <v>http://instagram.com/dostigator44</v>
      </c>
      <c r="K2666">
        <v>3</v>
      </c>
      <c r="N2666" t="s">
        <v>262</v>
      </c>
      <c r="O2666" t="s">
        <v>3240</v>
      </c>
      <c r="P2666" s="2" t="str">
        <f t="shared" si="75"/>
        <v>http://instagram.com/dostigator44</v>
      </c>
      <c r="Q2666">
        <v>3</v>
      </c>
      <c r="R2666" t="s">
        <v>6067</v>
      </c>
      <c r="S2666" t="s">
        <v>6073</v>
      </c>
    </row>
    <row r="2667" spans="1:19" ht="14.25" customHeight="1" x14ac:dyDescent="0.3">
      <c r="A2667" t="s">
        <v>2225</v>
      </c>
      <c r="B2667" t="s">
        <v>593</v>
      </c>
      <c r="C2667" t="s">
        <v>95</v>
      </c>
      <c r="D2667" t="s">
        <v>4</v>
      </c>
      <c r="E2667" t="s">
        <v>3499</v>
      </c>
      <c r="F2667" t="s">
        <v>6056</v>
      </c>
      <c r="G2667" s="2" t="str">
        <f>HYPERLINK("https://www.instagram.com/p/BhFV_zPhMLV")</f>
        <v>https://www.instagram.com/p/BhFV_zPhMLV</v>
      </c>
      <c r="H2667" t="s">
        <v>6062</v>
      </c>
      <c r="I2667" t="s">
        <v>3240</v>
      </c>
      <c r="J2667" s="2" t="str">
        <f t="shared" si="74"/>
        <v>http://instagram.com/dostigator44</v>
      </c>
      <c r="K2667">
        <v>3</v>
      </c>
      <c r="N2667" t="s">
        <v>262</v>
      </c>
      <c r="O2667" t="s">
        <v>3240</v>
      </c>
      <c r="P2667" s="2" t="str">
        <f t="shared" si="75"/>
        <v>http://instagram.com/dostigator44</v>
      </c>
      <c r="Q2667">
        <v>3</v>
      </c>
      <c r="R2667" t="s">
        <v>6067</v>
      </c>
    </row>
    <row r="2668" spans="1:19" ht="14.25" customHeight="1" x14ac:dyDescent="0.3">
      <c r="A2668" t="s">
        <v>2225</v>
      </c>
      <c r="B2668" t="s">
        <v>1340</v>
      </c>
      <c r="C2668" t="s">
        <v>95</v>
      </c>
      <c r="D2668" t="s">
        <v>3238</v>
      </c>
      <c r="E2668" t="s">
        <v>4</v>
      </c>
      <c r="F2668" t="s">
        <v>6059</v>
      </c>
      <c r="G2668" s="2" t="str">
        <f>HYPERLINK("https://www.instagram.com/p/BhFdthxhP3W")</f>
        <v>https://www.instagram.com/p/BhFdthxhP3W</v>
      </c>
      <c r="H2668" t="s">
        <v>6062</v>
      </c>
      <c r="I2668" t="s">
        <v>3239</v>
      </c>
      <c r="J2668" s="2" t="str">
        <f>HYPERLINK("http://instagram.com/lennytgr")</f>
        <v>http://instagram.com/lennytgr</v>
      </c>
      <c r="K2668">
        <v>2739</v>
      </c>
      <c r="L2668" t="s">
        <v>6064</v>
      </c>
      <c r="N2668" t="s">
        <v>262</v>
      </c>
      <c r="O2668" t="s">
        <v>3240</v>
      </c>
      <c r="P2668" s="2" t="str">
        <f t="shared" si="75"/>
        <v>http://instagram.com/dostigator44</v>
      </c>
      <c r="Q2668">
        <v>3</v>
      </c>
      <c r="R2668" t="s">
        <v>6067</v>
      </c>
      <c r="S2668" t="s">
        <v>6073</v>
      </c>
    </row>
    <row r="2669" spans="1:19" ht="14.25" customHeight="1" x14ac:dyDescent="0.3">
      <c r="A2669" t="s">
        <v>2225</v>
      </c>
      <c r="B2669" t="s">
        <v>1401</v>
      </c>
      <c r="C2669" t="s">
        <v>95</v>
      </c>
      <c r="D2669" t="s">
        <v>4</v>
      </c>
      <c r="E2669" t="s">
        <v>3282</v>
      </c>
      <c r="F2669" t="s">
        <v>6056</v>
      </c>
      <c r="G2669" s="2" t="str">
        <f>HYPERLINK("https://www.instagram.com/p/BhGrv8WFR6d")</f>
        <v>https://www.instagram.com/p/BhGrv8WFR6d</v>
      </c>
      <c r="H2669" t="s">
        <v>6062</v>
      </c>
      <c r="I2669" t="s">
        <v>3283</v>
      </c>
      <c r="J2669" s="2" t="str">
        <f>HYPERLINK("http://instagram.com/molilasdesdemona")</f>
        <v>http://instagram.com/molilasdesdemona</v>
      </c>
      <c r="K2669">
        <v>185</v>
      </c>
      <c r="L2669" t="s">
        <v>6064</v>
      </c>
      <c r="N2669" t="s">
        <v>262</v>
      </c>
      <c r="O2669" t="s">
        <v>3283</v>
      </c>
      <c r="P2669" s="2" t="str">
        <f>HYPERLINK("http://instagram.com/molilasdesdemona")</f>
        <v>http://instagram.com/molilasdesdemona</v>
      </c>
      <c r="Q2669">
        <v>185</v>
      </c>
      <c r="R2669" t="s">
        <v>6067</v>
      </c>
    </row>
    <row r="2670" spans="1:19" ht="14.25" customHeight="1" x14ac:dyDescent="0.3">
      <c r="A2670" t="s">
        <v>2225</v>
      </c>
      <c r="B2670" t="s">
        <v>3475</v>
      </c>
      <c r="C2670" t="s">
        <v>95</v>
      </c>
      <c r="D2670" t="s">
        <v>3476</v>
      </c>
      <c r="E2670" t="s">
        <v>3477</v>
      </c>
      <c r="F2670" t="s">
        <v>6059</v>
      </c>
      <c r="G2670" s="2" t="str">
        <f>HYPERLINK("https://www.instagram.com/p/BhFgcQHh1z4")</f>
        <v>https://www.instagram.com/p/BhFgcQHh1z4</v>
      </c>
      <c r="H2670" t="s">
        <v>6062</v>
      </c>
      <c r="I2670" t="s">
        <v>3478</v>
      </c>
      <c r="J2670" s="2" t="str">
        <f>HYPERLINK("http://instagram.com/hack_lab_service")</f>
        <v>http://instagram.com/hack_lab_service</v>
      </c>
      <c r="K2670">
        <v>10254</v>
      </c>
      <c r="N2670" t="s">
        <v>262</v>
      </c>
      <c r="O2670" t="s">
        <v>3240</v>
      </c>
      <c r="P2670" s="2" t="str">
        <f>HYPERLINK("http://instagram.com/dostigator44")</f>
        <v>http://instagram.com/dostigator44</v>
      </c>
      <c r="Q2670">
        <v>3</v>
      </c>
      <c r="R2670" t="s">
        <v>6067</v>
      </c>
    </row>
    <row r="2671" spans="1:19" ht="14.25" customHeight="1" x14ac:dyDescent="0.3">
      <c r="A2671" t="s">
        <v>4995</v>
      </c>
      <c r="B2671" t="s">
        <v>435</v>
      </c>
      <c r="C2671" t="s">
        <v>3538</v>
      </c>
      <c r="D2671" t="s">
        <v>5327</v>
      </c>
      <c r="E2671" t="s">
        <v>5328</v>
      </c>
      <c r="F2671" t="s">
        <v>6059</v>
      </c>
      <c r="G2671" s="2" t="str">
        <f>HYPERLINK("https://www.instagram.com/p/Bg-jFJiFeFW")</f>
        <v>https://www.instagram.com/p/Bg-jFJiFeFW</v>
      </c>
      <c r="H2671" t="s">
        <v>6062</v>
      </c>
      <c r="I2671" t="s">
        <v>5329</v>
      </c>
      <c r="J2671" s="2" t="str">
        <f>HYPERLINK("http://instagram.com/jsmitchjr")</f>
        <v>http://instagram.com/jsmitchjr</v>
      </c>
      <c r="K2671">
        <v>5435</v>
      </c>
      <c r="L2671" t="s">
        <v>6063</v>
      </c>
      <c r="N2671" t="s">
        <v>262</v>
      </c>
      <c r="O2671" t="s">
        <v>5330</v>
      </c>
      <c r="P2671" s="2" t="str">
        <f>HYPERLINK("http://instagram.com/monobank777")</f>
        <v>http://instagram.com/monobank777</v>
      </c>
      <c r="Q2671">
        <v>11</v>
      </c>
      <c r="R2671" t="s">
        <v>6067</v>
      </c>
      <c r="S2671" t="s">
        <v>6073</v>
      </c>
    </row>
    <row r="2672" spans="1:19" ht="14.25" customHeight="1" x14ac:dyDescent="0.3">
      <c r="A2672" t="s">
        <v>4995</v>
      </c>
      <c r="B2672" t="s">
        <v>1313</v>
      </c>
      <c r="C2672" t="s">
        <v>3538</v>
      </c>
      <c r="D2672" t="s">
        <v>5201</v>
      </c>
      <c r="E2672" t="s">
        <v>5206</v>
      </c>
      <c r="F2672" t="s">
        <v>6059</v>
      </c>
      <c r="G2672" s="2" t="str">
        <f>HYPERLINK("https://www.instagram.com/p/Bg_G36pFB13")</f>
        <v>https://www.instagram.com/p/Bg_G36pFB13</v>
      </c>
      <c r="H2672" t="s">
        <v>6062</v>
      </c>
      <c r="I2672" t="s">
        <v>5204</v>
      </c>
      <c r="J2672" s="2" t="str">
        <f>HYPERLINK("http://instagram.com/katesemenova")</f>
        <v>http://instagram.com/katesemenova</v>
      </c>
      <c r="K2672">
        <v>1289</v>
      </c>
      <c r="L2672" t="s">
        <v>6064</v>
      </c>
      <c r="N2672" t="s">
        <v>262</v>
      </c>
      <c r="O2672" t="s">
        <v>5204</v>
      </c>
      <c r="P2672" s="2" t="str">
        <f>HYPERLINK("http://instagram.com/katesemenova")</f>
        <v>http://instagram.com/katesemenova</v>
      </c>
      <c r="Q2672">
        <v>1289</v>
      </c>
      <c r="R2672" t="s">
        <v>6067</v>
      </c>
    </row>
    <row r="2673" spans="1:19" ht="14.25" customHeight="1" x14ac:dyDescent="0.3">
      <c r="A2673" t="s">
        <v>4995</v>
      </c>
      <c r="B2673" t="s">
        <v>5209</v>
      </c>
      <c r="C2673" t="s">
        <v>3538</v>
      </c>
      <c r="D2673" t="s">
        <v>4</v>
      </c>
      <c r="E2673" t="s">
        <v>5210</v>
      </c>
      <c r="F2673" t="s">
        <v>6056</v>
      </c>
      <c r="G2673" s="2" t="str">
        <f>HYPERLINK("https://www.instagram.com/p/Bg_G36pFB13")</f>
        <v>https://www.instagram.com/p/Bg_G36pFB13</v>
      </c>
      <c r="H2673" t="s">
        <v>6062</v>
      </c>
      <c r="I2673" t="s">
        <v>5204</v>
      </c>
      <c r="J2673" s="2" t="str">
        <f>HYPERLINK("http://instagram.com/katesemenova")</f>
        <v>http://instagram.com/katesemenova</v>
      </c>
      <c r="K2673">
        <v>1289</v>
      </c>
      <c r="L2673" t="s">
        <v>6064</v>
      </c>
      <c r="N2673" t="s">
        <v>262</v>
      </c>
      <c r="O2673" t="s">
        <v>5204</v>
      </c>
      <c r="P2673" s="2" t="str">
        <f>HYPERLINK("http://instagram.com/katesemenova")</f>
        <v>http://instagram.com/katesemenova</v>
      </c>
      <c r="Q2673">
        <v>1289</v>
      </c>
      <c r="R2673" t="s">
        <v>6067</v>
      </c>
    </row>
    <row r="2674" spans="1:19" ht="14.25" customHeight="1" x14ac:dyDescent="0.3">
      <c r="A2674" t="s">
        <v>4439</v>
      </c>
      <c r="B2674" t="s">
        <v>2965</v>
      </c>
      <c r="C2674" t="s">
        <v>3538</v>
      </c>
      <c r="D2674" t="s">
        <v>4</v>
      </c>
      <c r="E2674" t="s">
        <v>4535</v>
      </c>
      <c r="F2674" t="s">
        <v>6056</v>
      </c>
      <c r="G2674" s="2" t="str">
        <f>HYPERLINK("https://www.instagram.com/p/BhCQ2SNglT6")</f>
        <v>https://www.instagram.com/p/BhCQ2SNglT6</v>
      </c>
      <c r="H2674" t="s">
        <v>6062</v>
      </c>
      <c r="I2674" t="s">
        <v>4536</v>
      </c>
      <c r="J2674" s="2" t="str">
        <f>HYPERLINK("http://instagram.com/koryshkokatya")</f>
        <v>http://instagram.com/koryshkokatya</v>
      </c>
      <c r="K2674">
        <v>153</v>
      </c>
      <c r="L2674" t="s">
        <v>6064</v>
      </c>
      <c r="N2674" t="s">
        <v>262</v>
      </c>
      <c r="O2674" t="s">
        <v>4536</v>
      </c>
      <c r="P2674" s="2" t="str">
        <f>HYPERLINK("http://instagram.com/koryshkokatya")</f>
        <v>http://instagram.com/koryshkokatya</v>
      </c>
      <c r="Q2674">
        <v>153</v>
      </c>
      <c r="R2674" t="s">
        <v>6067</v>
      </c>
    </row>
    <row r="2675" spans="1:19" ht="14.25" customHeight="1" x14ac:dyDescent="0.3">
      <c r="A2675" t="s">
        <v>2225</v>
      </c>
      <c r="B2675" t="s">
        <v>923</v>
      </c>
      <c r="C2675" t="s">
        <v>95</v>
      </c>
      <c r="D2675" t="s">
        <v>2905</v>
      </c>
      <c r="E2675" t="s">
        <v>3043</v>
      </c>
      <c r="F2675" t="s">
        <v>6059</v>
      </c>
      <c r="G2675" s="2" t="str">
        <f>HYPERLINK("https://www.instagram.com/p/BhHQBuTAtJN")</f>
        <v>https://www.instagram.com/p/BhHQBuTAtJN</v>
      </c>
      <c r="H2675" t="s">
        <v>6062</v>
      </c>
      <c r="I2675" t="s">
        <v>3044</v>
      </c>
      <c r="J2675" s="2" t="str">
        <f>HYPERLINK("http://instagram.com/lemoney_community")</f>
        <v>http://instagram.com/lemoney_community</v>
      </c>
      <c r="K2675">
        <v>12477</v>
      </c>
      <c r="N2675" t="s">
        <v>262</v>
      </c>
      <c r="O2675" t="s">
        <v>2907</v>
      </c>
      <c r="P2675" s="2" t="str">
        <f>HYPERLINK("http://instagram.com/osipiuk.artem")</f>
        <v>http://instagram.com/osipiuk.artem</v>
      </c>
      <c r="Q2675">
        <v>392</v>
      </c>
      <c r="R2675" t="s">
        <v>6067</v>
      </c>
    </row>
    <row r="2676" spans="1:19" ht="14.25" customHeight="1" x14ac:dyDescent="0.3">
      <c r="A2676" t="s">
        <v>3527</v>
      </c>
      <c r="B2676" t="s">
        <v>929</v>
      </c>
      <c r="C2676" t="s">
        <v>95</v>
      </c>
      <c r="D2676" t="s">
        <v>3956</v>
      </c>
      <c r="E2676" t="s">
        <v>3957</v>
      </c>
      <c r="F2676" t="s">
        <v>6059</v>
      </c>
      <c r="G2676" s="2" t="str">
        <f>HYPERLINK("https://www.instagram.com/p/BgqDMoUnjN_")</f>
        <v>https://www.instagram.com/p/BgqDMoUnjN_</v>
      </c>
      <c r="H2676" t="s">
        <v>6062</v>
      </c>
      <c r="I2676" t="s">
        <v>3958</v>
      </c>
      <c r="J2676" s="2" t="str">
        <f>HYPERLINK("http://instagram.com/mtkflorida")</f>
        <v>http://instagram.com/mtkflorida</v>
      </c>
      <c r="K2676">
        <v>993</v>
      </c>
      <c r="N2676" t="s">
        <v>262</v>
      </c>
      <c r="O2676" t="s">
        <v>3959</v>
      </c>
      <c r="P2676" s="2" t="str">
        <f>HYPERLINK("http://instagram.com/al3xj0bs")</f>
        <v>http://instagram.com/al3xj0bs</v>
      </c>
      <c r="Q2676">
        <v>71</v>
      </c>
      <c r="R2676" t="s">
        <v>6067</v>
      </c>
    </row>
    <row r="2677" spans="1:19" ht="14.25" customHeight="1" x14ac:dyDescent="0.3">
      <c r="A2677" t="s">
        <v>4995</v>
      </c>
      <c r="B2677" t="s">
        <v>1857</v>
      </c>
      <c r="C2677" t="s">
        <v>3538</v>
      </c>
      <c r="D2677" t="s">
        <v>4</v>
      </c>
      <c r="E2677" t="s">
        <v>5332</v>
      </c>
      <c r="F2677" t="s">
        <v>6056</v>
      </c>
      <c r="G2677" s="2" t="str">
        <f>HYPERLINK("https://www.instagram.com/p/Bg-jFJiFeFW")</f>
        <v>https://www.instagram.com/p/Bg-jFJiFeFW</v>
      </c>
      <c r="H2677" t="s">
        <v>6062</v>
      </c>
      <c r="I2677" t="s">
        <v>5330</v>
      </c>
      <c r="J2677" s="2" t="str">
        <f>HYPERLINK("http://instagram.com/monobank777")</f>
        <v>http://instagram.com/monobank777</v>
      </c>
      <c r="K2677">
        <v>11</v>
      </c>
      <c r="N2677" t="s">
        <v>262</v>
      </c>
      <c r="O2677" t="s">
        <v>5330</v>
      </c>
      <c r="P2677" s="2" t="str">
        <f>HYPERLINK("http://instagram.com/monobank777")</f>
        <v>http://instagram.com/monobank777</v>
      </c>
      <c r="Q2677">
        <v>11</v>
      </c>
      <c r="R2677" t="s">
        <v>6067</v>
      </c>
      <c r="S2677" t="s">
        <v>6073</v>
      </c>
    </row>
    <row r="2678" spans="1:19" ht="14.25" customHeight="1" x14ac:dyDescent="0.3">
      <c r="A2678" t="s">
        <v>4995</v>
      </c>
      <c r="B2678" t="s">
        <v>1854</v>
      </c>
      <c r="C2678" t="s">
        <v>3538</v>
      </c>
      <c r="D2678" t="s">
        <v>4</v>
      </c>
      <c r="E2678" t="s">
        <v>5331</v>
      </c>
      <c r="F2678" t="s">
        <v>6056</v>
      </c>
      <c r="G2678" s="2" t="str">
        <f>HYPERLINK("https://www.instagram.com/p/Bg-jPEylMOg")</f>
        <v>https://www.instagram.com/p/Bg-jPEylMOg</v>
      </c>
      <c r="H2678" t="s">
        <v>6062</v>
      </c>
      <c r="I2678" t="s">
        <v>5330</v>
      </c>
      <c r="J2678" s="2" t="str">
        <f>HYPERLINK("http://instagram.com/monobank777")</f>
        <v>http://instagram.com/monobank777</v>
      </c>
      <c r="K2678">
        <v>11</v>
      </c>
      <c r="N2678" t="s">
        <v>262</v>
      </c>
      <c r="O2678" t="s">
        <v>5330</v>
      </c>
      <c r="P2678" s="2" t="str">
        <f>HYPERLINK("http://instagram.com/monobank777")</f>
        <v>http://instagram.com/monobank777</v>
      </c>
      <c r="Q2678">
        <v>11</v>
      </c>
      <c r="R2678" t="s">
        <v>6067</v>
      </c>
      <c r="S2678" t="s">
        <v>6073</v>
      </c>
    </row>
    <row r="2679" spans="1:19" ht="14.25" customHeight="1" x14ac:dyDescent="0.3">
      <c r="A2679" t="s">
        <v>1</v>
      </c>
      <c r="B2679" t="s">
        <v>260</v>
      </c>
      <c r="C2679" t="s">
        <v>95</v>
      </c>
      <c r="D2679" t="s">
        <v>4</v>
      </c>
      <c r="E2679" t="s">
        <v>261</v>
      </c>
      <c r="F2679" t="s">
        <v>6056</v>
      </c>
      <c r="G2679" s="2" t="str">
        <f>HYPERLINK("https://www.instagram.com/p/BhLreRAgcW0")</f>
        <v>https://www.instagram.com/p/BhLreRAgcW0</v>
      </c>
      <c r="H2679" t="s">
        <v>6062</v>
      </c>
      <c r="I2679" t="s">
        <v>39</v>
      </c>
      <c r="J2679" s="2" t="str">
        <f>HYPERLINK("http://instagram.com/monobank.upb")</f>
        <v>http://instagram.com/monobank.upb</v>
      </c>
      <c r="K2679">
        <v>0</v>
      </c>
      <c r="N2679" t="s">
        <v>262</v>
      </c>
      <c r="O2679" t="s">
        <v>39</v>
      </c>
      <c r="P2679" s="2" t="str">
        <f>HYPERLINK("http://instagram.com/monobank.upb")</f>
        <v>http://instagram.com/monobank.upb</v>
      </c>
      <c r="Q2679">
        <v>0</v>
      </c>
      <c r="R2679" t="s">
        <v>6067</v>
      </c>
      <c r="S2679" t="s">
        <v>6073</v>
      </c>
    </row>
    <row r="2680" spans="1:19" ht="14.25" customHeight="1" x14ac:dyDescent="0.3">
      <c r="A2680" t="s">
        <v>3527</v>
      </c>
      <c r="B2680" t="s">
        <v>1690</v>
      </c>
      <c r="C2680" t="s">
        <v>3538</v>
      </c>
      <c r="D2680" t="s">
        <v>4</v>
      </c>
      <c r="E2680" t="s">
        <v>4307</v>
      </c>
      <c r="F2680" t="s">
        <v>6056</v>
      </c>
      <c r="G2680" s="2" t="str">
        <f>HYPERLINK("https://www.instagram.com/p/BhDyRwAgUq2")</f>
        <v>https://www.instagram.com/p/BhDyRwAgUq2</v>
      </c>
      <c r="H2680" t="s">
        <v>6062</v>
      </c>
      <c r="I2680" t="s">
        <v>408</v>
      </c>
      <c r="J2680" s="2" t="str">
        <f>HYPERLINK("http://instagram.com/monobank__ua")</f>
        <v>http://instagram.com/monobank__ua</v>
      </c>
      <c r="K2680">
        <v>873</v>
      </c>
      <c r="N2680" t="s">
        <v>262</v>
      </c>
      <c r="O2680" t="s">
        <v>408</v>
      </c>
      <c r="P2680" s="2" t="str">
        <f>HYPERLINK("http://instagram.com/monobank__ua")</f>
        <v>http://instagram.com/monobank__ua</v>
      </c>
      <c r="Q2680">
        <v>873</v>
      </c>
      <c r="R2680" t="s">
        <v>6067</v>
      </c>
      <c r="S2680" t="s">
        <v>6073</v>
      </c>
    </row>
    <row r="2681" spans="1:19" ht="14.25" customHeight="1" x14ac:dyDescent="0.3">
      <c r="A2681" t="s">
        <v>1</v>
      </c>
      <c r="B2681" t="s">
        <v>405</v>
      </c>
      <c r="C2681" t="s">
        <v>95</v>
      </c>
      <c r="D2681" t="s">
        <v>4</v>
      </c>
      <c r="E2681" t="s">
        <v>407</v>
      </c>
      <c r="F2681" t="s">
        <v>6056</v>
      </c>
      <c r="G2681" s="2" t="str">
        <f>HYPERLINK("https://www.instagram.com/p/BhLevDyAjU_")</f>
        <v>https://www.instagram.com/p/BhLevDyAjU_</v>
      </c>
      <c r="H2681" t="s">
        <v>6062</v>
      </c>
      <c r="I2681" t="s">
        <v>408</v>
      </c>
      <c r="J2681" s="2" t="str">
        <f>HYPERLINK("http://instagram.com/monobank__ua")</f>
        <v>http://instagram.com/monobank__ua</v>
      </c>
      <c r="K2681">
        <v>873</v>
      </c>
      <c r="N2681" t="s">
        <v>262</v>
      </c>
      <c r="O2681" t="s">
        <v>408</v>
      </c>
      <c r="P2681" s="2" t="str">
        <f>HYPERLINK("http://instagram.com/monobank__ua")</f>
        <v>http://instagram.com/monobank__ua</v>
      </c>
      <c r="Q2681">
        <v>873</v>
      </c>
      <c r="R2681" t="s">
        <v>6067</v>
      </c>
      <c r="S2681" t="s">
        <v>6073</v>
      </c>
    </row>
    <row r="2682" spans="1:19" ht="14.25" customHeight="1" x14ac:dyDescent="0.3">
      <c r="A2682" t="s">
        <v>2225</v>
      </c>
      <c r="B2682" t="s">
        <v>3004</v>
      </c>
      <c r="C2682" t="s">
        <v>95</v>
      </c>
      <c r="D2682" t="s">
        <v>4</v>
      </c>
      <c r="E2682" t="s">
        <v>3005</v>
      </c>
      <c r="F2682" t="s">
        <v>6056</v>
      </c>
      <c r="G2682" s="2" t="str">
        <f>HYPERLINK("https://www.instagram.com/p/BhHWcuMgJ0d")</f>
        <v>https://www.instagram.com/p/BhHWcuMgJ0d</v>
      </c>
      <c r="H2682" t="s">
        <v>6062</v>
      </c>
      <c r="I2682" t="s">
        <v>408</v>
      </c>
      <c r="J2682" s="2" t="str">
        <f>HYPERLINK("http://instagram.com/monobank.card")</f>
        <v>http://instagram.com/monobank.card</v>
      </c>
      <c r="K2682">
        <v>21</v>
      </c>
      <c r="N2682" t="s">
        <v>262</v>
      </c>
      <c r="O2682" t="s">
        <v>408</v>
      </c>
      <c r="P2682" s="2" t="str">
        <f>HYPERLINK("http://instagram.com/monobank.card")</f>
        <v>http://instagram.com/monobank.card</v>
      </c>
      <c r="Q2682">
        <v>21</v>
      </c>
      <c r="R2682" t="s">
        <v>6067</v>
      </c>
    </row>
    <row r="2683" spans="1:19" ht="14.25" customHeight="1" x14ac:dyDescent="0.3">
      <c r="A2683" t="s">
        <v>4995</v>
      </c>
      <c r="B2683" t="s">
        <v>5376</v>
      </c>
      <c r="C2683" t="s">
        <v>3538</v>
      </c>
      <c r="D2683" t="s">
        <v>4</v>
      </c>
      <c r="E2683" t="s">
        <v>5377</v>
      </c>
      <c r="F2683" t="s">
        <v>6056</v>
      </c>
      <c r="G2683" s="2" t="str">
        <f>HYPERLINK("https://www.instagram.com/p/Bg-VNg_BTDs")</f>
        <v>https://www.instagram.com/p/Bg-VNg_BTDs</v>
      </c>
      <c r="H2683" t="s">
        <v>6062</v>
      </c>
      <c r="I2683" t="s">
        <v>2350</v>
      </c>
      <c r="J2683" s="2" t="str">
        <f t="shared" ref="J2683:J2691" si="76">HYPERLINK("http://instagram.com/monobank.official")</f>
        <v>http://instagram.com/monobank.official</v>
      </c>
      <c r="K2683">
        <v>926</v>
      </c>
      <c r="N2683" t="s">
        <v>262</v>
      </c>
      <c r="O2683" t="s">
        <v>2350</v>
      </c>
      <c r="P2683" s="2" t="str">
        <f t="shared" ref="P2683:P2691" si="77">HYPERLINK("http://instagram.com/monobank.official")</f>
        <v>http://instagram.com/monobank.official</v>
      </c>
      <c r="Q2683">
        <v>926</v>
      </c>
      <c r="R2683" t="s">
        <v>6067</v>
      </c>
      <c r="S2683" t="s">
        <v>6073</v>
      </c>
    </row>
    <row r="2684" spans="1:19" ht="14.25" customHeight="1" x14ac:dyDescent="0.3">
      <c r="A2684" t="s">
        <v>4995</v>
      </c>
      <c r="B2684" t="s">
        <v>4369</v>
      </c>
      <c r="C2684" t="s">
        <v>3538</v>
      </c>
      <c r="D2684" t="s">
        <v>4</v>
      </c>
      <c r="E2684" t="s">
        <v>5377</v>
      </c>
      <c r="F2684" t="s">
        <v>6056</v>
      </c>
      <c r="G2684" s="2" t="str">
        <f>HYPERLINK("https://www.instagram.com/p/Bg-VIPIh3zJ")</f>
        <v>https://www.instagram.com/p/Bg-VIPIh3zJ</v>
      </c>
      <c r="H2684" t="s">
        <v>6062</v>
      </c>
      <c r="I2684" t="s">
        <v>2350</v>
      </c>
      <c r="J2684" s="2" t="str">
        <f t="shared" si="76"/>
        <v>http://instagram.com/monobank.official</v>
      </c>
      <c r="K2684">
        <v>926</v>
      </c>
      <c r="N2684" t="s">
        <v>262</v>
      </c>
      <c r="O2684" t="s">
        <v>2350</v>
      </c>
      <c r="P2684" s="2" t="str">
        <f t="shared" si="77"/>
        <v>http://instagram.com/monobank.official</v>
      </c>
      <c r="Q2684">
        <v>926</v>
      </c>
      <c r="R2684" t="s">
        <v>6067</v>
      </c>
      <c r="S2684" t="s">
        <v>6073</v>
      </c>
    </row>
    <row r="2685" spans="1:19" ht="14.25" customHeight="1" x14ac:dyDescent="0.3">
      <c r="A2685" t="s">
        <v>4995</v>
      </c>
      <c r="B2685" t="s">
        <v>5378</v>
      </c>
      <c r="C2685" t="s">
        <v>3538</v>
      </c>
      <c r="D2685" t="s">
        <v>4</v>
      </c>
      <c r="E2685" t="s">
        <v>5377</v>
      </c>
      <c r="F2685" t="s">
        <v>6056</v>
      </c>
      <c r="G2685" s="2" t="str">
        <f>HYPERLINK("https://www.instagram.com/p/Bg-VERmBin_")</f>
        <v>https://www.instagram.com/p/Bg-VERmBin_</v>
      </c>
      <c r="H2685" t="s">
        <v>6062</v>
      </c>
      <c r="I2685" t="s">
        <v>2350</v>
      </c>
      <c r="J2685" s="2" t="str">
        <f t="shared" si="76"/>
        <v>http://instagram.com/monobank.official</v>
      </c>
      <c r="K2685">
        <v>926</v>
      </c>
      <c r="N2685" t="s">
        <v>262</v>
      </c>
      <c r="O2685" t="s">
        <v>2350</v>
      </c>
      <c r="P2685" s="2" t="str">
        <f t="shared" si="77"/>
        <v>http://instagram.com/monobank.official</v>
      </c>
      <c r="Q2685">
        <v>926</v>
      </c>
      <c r="R2685" t="s">
        <v>6067</v>
      </c>
      <c r="S2685" t="s">
        <v>6073</v>
      </c>
    </row>
    <row r="2686" spans="1:19" ht="14.25" customHeight="1" x14ac:dyDescent="0.3">
      <c r="A2686" t="s">
        <v>4995</v>
      </c>
      <c r="B2686" t="s">
        <v>5378</v>
      </c>
      <c r="C2686" t="s">
        <v>3538</v>
      </c>
      <c r="D2686" t="s">
        <v>4</v>
      </c>
      <c r="E2686" t="s">
        <v>5377</v>
      </c>
      <c r="F2686" t="s">
        <v>6056</v>
      </c>
      <c r="G2686" s="2" t="str">
        <f>HYPERLINK("https://www.instagram.com/p/Bg-U-p7Bidw")</f>
        <v>https://www.instagram.com/p/Bg-U-p7Bidw</v>
      </c>
      <c r="H2686" t="s">
        <v>6062</v>
      </c>
      <c r="I2686" t="s">
        <v>2350</v>
      </c>
      <c r="J2686" s="2" t="str">
        <f t="shared" si="76"/>
        <v>http://instagram.com/monobank.official</v>
      </c>
      <c r="K2686">
        <v>926</v>
      </c>
      <c r="N2686" t="s">
        <v>262</v>
      </c>
      <c r="O2686" t="s">
        <v>2350</v>
      </c>
      <c r="P2686" s="2" t="str">
        <f t="shared" si="77"/>
        <v>http://instagram.com/monobank.official</v>
      </c>
      <c r="Q2686">
        <v>926</v>
      </c>
      <c r="R2686" t="s">
        <v>6067</v>
      </c>
      <c r="S2686" t="s">
        <v>6073</v>
      </c>
    </row>
    <row r="2687" spans="1:19" ht="14.25" customHeight="1" x14ac:dyDescent="0.3">
      <c r="A2687" t="s">
        <v>4995</v>
      </c>
      <c r="B2687" t="s">
        <v>3459</v>
      </c>
      <c r="C2687" t="s">
        <v>3538</v>
      </c>
      <c r="D2687" t="s">
        <v>4</v>
      </c>
      <c r="E2687" t="s">
        <v>5377</v>
      </c>
      <c r="F2687" t="s">
        <v>6056</v>
      </c>
      <c r="G2687" s="2" t="str">
        <f>HYPERLINK("https://www.instagram.com/p/Bg-U5ZAho2a")</f>
        <v>https://www.instagram.com/p/Bg-U5ZAho2a</v>
      </c>
      <c r="H2687" t="s">
        <v>6062</v>
      </c>
      <c r="I2687" t="s">
        <v>2350</v>
      </c>
      <c r="J2687" s="2" t="str">
        <f t="shared" si="76"/>
        <v>http://instagram.com/monobank.official</v>
      </c>
      <c r="K2687">
        <v>926</v>
      </c>
      <c r="N2687" t="s">
        <v>262</v>
      </c>
      <c r="O2687" t="s">
        <v>2350</v>
      </c>
      <c r="P2687" s="2" t="str">
        <f t="shared" si="77"/>
        <v>http://instagram.com/monobank.official</v>
      </c>
      <c r="Q2687">
        <v>926</v>
      </c>
      <c r="R2687" t="s">
        <v>6067</v>
      </c>
      <c r="S2687" t="s">
        <v>6073</v>
      </c>
    </row>
    <row r="2688" spans="1:19" ht="14.25" customHeight="1" x14ac:dyDescent="0.3">
      <c r="A2688" t="s">
        <v>4995</v>
      </c>
      <c r="B2688" t="s">
        <v>5379</v>
      </c>
      <c r="C2688" t="s">
        <v>3538</v>
      </c>
      <c r="D2688" t="s">
        <v>4</v>
      </c>
      <c r="E2688" t="s">
        <v>5377</v>
      </c>
      <c r="F2688" t="s">
        <v>6056</v>
      </c>
      <c r="G2688" s="2" t="str">
        <f>HYPERLINK("https://www.instagram.com/p/Bg-UybIBMHm")</f>
        <v>https://www.instagram.com/p/Bg-UybIBMHm</v>
      </c>
      <c r="H2688" t="s">
        <v>6062</v>
      </c>
      <c r="I2688" t="s">
        <v>2350</v>
      </c>
      <c r="J2688" s="2" t="str">
        <f t="shared" si="76"/>
        <v>http://instagram.com/monobank.official</v>
      </c>
      <c r="K2688">
        <v>926</v>
      </c>
      <c r="N2688" t="s">
        <v>262</v>
      </c>
      <c r="O2688" t="s">
        <v>2350</v>
      </c>
      <c r="P2688" s="2" t="str">
        <f t="shared" si="77"/>
        <v>http://instagram.com/monobank.official</v>
      </c>
      <c r="Q2688">
        <v>926</v>
      </c>
      <c r="R2688" t="s">
        <v>6067</v>
      </c>
      <c r="S2688" t="s">
        <v>6073</v>
      </c>
    </row>
    <row r="2689" spans="1:19" ht="14.25" customHeight="1" x14ac:dyDescent="0.3">
      <c r="A2689" t="s">
        <v>4995</v>
      </c>
      <c r="B2689" t="s">
        <v>5380</v>
      </c>
      <c r="C2689" t="s">
        <v>3538</v>
      </c>
      <c r="D2689" t="s">
        <v>4</v>
      </c>
      <c r="E2689" t="s">
        <v>5377</v>
      </c>
      <c r="F2689" t="s">
        <v>6056</v>
      </c>
      <c r="G2689" s="2" t="str">
        <f>HYPERLINK("https://www.instagram.com/p/Bg-UtXnBCgw")</f>
        <v>https://www.instagram.com/p/Bg-UtXnBCgw</v>
      </c>
      <c r="H2689" t="s">
        <v>6062</v>
      </c>
      <c r="I2689" t="s">
        <v>2350</v>
      </c>
      <c r="J2689" s="2" t="str">
        <f t="shared" si="76"/>
        <v>http://instagram.com/monobank.official</v>
      </c>
      <c r="K2689">
        <v>926</v>
      </c>
      <c r="N2689" t="s">
        <v>262</v>
      </c>
      <c r="O2689" t="s">
        <v>2350</v>
      </c>
      <c r="P2689" s="2" t="str">
        <f t="shared" si="77"/>
        <v>http://instagram.com/monobank.official</v>
      </c>
      <c r="Q2689">
        <v>926</v>
      </c>
      <c r="R2689" t="s">
        <v>6067</v>
      </c>
      <c r="S2689" t="s">
        <v>6073</v>
      </c>
    </row>
    <row r="2690" spans="1:19" ht="14.25" customHeight="1" x14ac:dyDescent="0.3">
      <c r="A2690" t="s">
        <v>4995</v>
      </c>
      <c r="B2690" t="s">
        <v>5381</v>
      </c>
      <c r="C2690" t="s">
        <v>3538</v>
      </c>
      <c r="D2690" t="s">
        <v>4</v>
      </c>
      <c r="E2690" t="s">
        <v>5377</v>
      </c>
      <c r="F2690" t="s">
        <v>6056</v>
      </c>
      <c r="G2690" s="2" t="str">
        <f>HYPERLINK("https://www.instagram.com/p/Bg-UnGaBB3L")</f>
        <v>https://www.instagram.com/p/Bg-UnGaBB3L</v>
      </c>
      <c r="H2690" t="s">
        <v>6062</v>
      </c>
      <c r="I2690" t="s">
        <v>2350</v>
      </c>
      <c r="J2690" s="2" t="str">
        <f t="shared" si="76"/>
        <v>http://instagram.com/monobank.official</v>
      </c>
      <c r="K2690">
        <v>926</v>
      </c>
      <c r="N2690" t="s">
        <v>262</v>
      </c>
      <c r="O2690" t="s">
        <v>2350</v>
      </c>
      <c r="P2690" s="2" t="str">
        <f t="shared" si="77"/>
        <v>http://instagram.com/monobank.official</v>
      </c>
      <c r="Q2690">
        <v>926</v>
      </c>
      <c r="R2690" t="s">
        <v>6067</v>
      </c>
      <c r="S2690" t="s">
        <v>6073</v>
      </c>
    </row>
    <row r="2691" spans="1:19" ht="14.25" customHeight="1" x14ac:dyDescent="0.3">
      <c r="A2691" t="s">
        <v>4995</v>
      </c>
      <c r="B2691" t="s">
        <v>4371</v>
      </c>
      <c r="C2691" t="s">
        <v>3538</v>
      </c>
      <c r="D2691" t="s">
        <v>4</v>
      </c>
      <c r="E2691" t="s">
        <v>5377</v>
      </c>
      <c r="F2691" t="s">
        <v>6056</v>
      </c>
      <c r="G2691" s="2" t="str">
        <f>HYPERLINK("https://www.instagram.com/p/Bg-Ue1QB2_d")</f>
        <v>https://www.instagram.com/p/Bg-Ue1QB2_d</v>
      </c>
      <c r="H2691" t="s">
        <v>6062</v>
      </c>
      <c r="I2691" t="s">
        <v>2350</v>
      </c>
      <c r="J2691" s="2" t="str">
        <f t="shared" si="76"/>
        <v>http://instagram.com/monobank.official</v>
      </c>
      <c r="K2691">
        <v>926</v>
      </c>
      <c r="N2691" t="s">
        <v>262</v>
      </c>
      <c r="O2691" t="s">
        <v>2350</v>
      </c>
      <c r="P2691" s="2" t="str">
        <f t="shared" si="77"/>
        <v>http://instagram.com/monobank.official</v>
      </c>
      <c r="Q2691">
        <v>926</v>
      </c>
      <c r="R2691" t="s">
        <v>6067</v>
      </c>
      <c r="S2691" t="s">
        <v>6073</v>
      </c>
    </row>
    <row r="2692" spans="1:19" ht="14.25" customHeight="1" x14ac:dyDescent="0.3">
      <c r="A2692" t="s">
        <v>2225</v>
      </c>
      <c r="B2692" t="s">
        <v>2685</v>
      </c>
      <c r="C2692" t="s">
        <v>95</v>
      </c>
      <c r="D2692" t="s">
        <v>4</v>
      </c>
      <c r="E2692" t="s">
        <v>2690</v>
      </c>
      <c r="F2692" t="s">
        <v>6056</v>
      </c>
      <c r="G2692" s="2" t="str">
        <f>HYPERLINK("https://www.instagram.com/p/BhHkh1mneiO")</f>
        <v>https://www.instagram.com/p/BhHkh1mneiO</v>
      </c>
      <c r="H2692" t="s">
        <v>6062</v>
      </c>
      <c r="I2692" t="s">
        <v>2350</v>
      </c>
      <c r="J2692" s="2" t="str">
        <f>HYPERLINK("http://instagram.com/monobank_universal")</f>
        <v>http://instagram.com/monobank_universal</v>
      </c>
      <c r="K2692">
        <v>17</v>
      </c>
      <c r="N2692" t="s">
        <v>262</v>
      </c>
      <c r="O2692" t="s">
        <v>2350</v>
      </c>
      <c r="P2692" s="2" t="str">
        <f>HYPERLINK("http://instagram.com/monobank_universal")</f>
        <v>http://instagram.com/monobank_universal</v>
      </c>
      <c r="Q2692">
        <v>17</v>
      </c>
      <c r="R2692" t="s">
        <v>6067</v>
      </c>
    </row>
    <row r="2693" spans="1:19" ht="14.25" customHeight="1" x14ac:dyDescent="0.3">
      <c r="A2693" t="s">
        <v>4439</v>
      </c>
      <c r="B2693" t="s">
        <v>2672</v>
      </c>
      <c r="C2693" t="s">
        <v>3538</v>
      </c>
      <c r="D2693" t="s">
        <v>4</v>
      </c>
      <c r="E2693" t="s">
        <v>4506</v>
      </c>
      <c r="F2693" t="s">
        <v>6056</v>
      </c>
      <c r="G2693" s="2" t="str">
        <f>HYPERLINK("https://www.instagram.com/p/BhCbW7KFLcF")</f>
        <v>https://www.instagram.com/p/BhCbW7KFLcF</v>
      </c>
      <c r="H2693" t="s">
        <v>6062</v>
      </c>
      <c r="I2693" t="s">
        <v>4507</v>
      </c>
      <c r="J2693" s="2" t="str">
        <f>HYPERLINK("http://instagram.com/monobankkartka")</f>
        <v>http://instagram.com/monobankkartka</v>
      </c>
      <c r="K2693">
        <v>0</v>
      </c>
      <c r="N2693" t="s">
        <v>262</v>
      </c>
      <c r="O2693" t="s">
        <v>4507</v>
      </c>
      <c r="P2693" s="2" t="str">
        <f>HYPERLINK("http://instagram.com/monobankkartka")</f>
        <v>http://instagram.com/monobankkartka</v>
      </c>
      <c r="Q2693">
        <v>0</v>
      </c>
      <c r="R2693" t="s">
        <v>6067</v>
      </c>
    </row>
    <row r="2694" spans="1:19" ht="14.25" customHeight="1" x14ac:dyDescent="0.3">
      <c r="A2694" t="s">
        <v>4995</v>
      </c>
      <c r="B2694" t="s">
        <v>5002</v>
      </c>
      <c r="C2694" t="s">
        <v>3538</v>
      </c>
      <c r="D2694" t="s">
        <v>4</v>
      </c>
      <c r="E2694" t="s">
        <v>5003</v>
      </c>
      <c r="F2694" t="s">
        <v>6056</v>
      </c>
      <c r="G2694" s="2" t="str">
        <f>HYPERLINK("https://www.instagram.com/p/BhAG08LF1Dp")</f>
        <v>https://www.instagram.com/p/BhAG08LF1Dp</v>
      </c>
      <c r="H2694" t="s">
        <v>6062</v>
      </c>
      <c r="I2694" t="s">
        <v>635</v>
      </c>
      <c r="J2694" s="2" t="str">
        <f>HYPERLINK("http://instagram.com/graceukraine")</f>
        <v>http://instagram.com/graceukraine</v>
      </c>
      <c r="K2694">
        <v>2485</v>
      </c>
      <c r="N2694" t="s">
        <v>262</v>
      </c>
      <c r="O2694" t="s">
        <v>635</v>
      </c>
      <c r="P2694" s="2" t="str">
        <f>HYPERLINK("http://instagram.com/graceukraine")</f>
        <v>http://instagram.com/graceukraine</v>
      </c>
      <c r="Q2694">
        <v>2485</v>
      </c>
      <c r="R2694" t="s">
        <v>6067</v>
      </c>
      <c r="S2694" t="s">
        <v>6073</v>
      </c>
    </row>
    <row r="2695" spans="1:19" ht="14.25" customHeight="1" x14ac:dyDescent="0.3">
      <c r="A2695" t="s">
        <v>629</v>
      </c>
      <c r="B2695" t="s">
        <v>634</v>
      </c>
      <c r="C2695" t="s">
        <v>95</v>
      </c>
      <c r="D2695" t="s">
        <v>4</v>
      </c>
      <c r="E2695" t="s">
        <v>632</v>
      </c>
      <c r="F2695" t="s">
        <v>6056</v>
      </c>
      <c r="G2695" s="2" t="str">
        <f>HYPERLINK("https://www.instagram.com/p/BhKah51Foxp")</f>
        <v>https://www.instagram.com/p/BhKah51Foxp</v>
      </c>
      <c r="H2695" t="s">
        <v>6062</v>
      </c>
      <c r="I2695" t="s">
        <v>635</v>
      </c>
      <c r="J2695" s="2" t="str">
        <f>HYPERLINK("http://instagram.com/graceukraine")</f>
        <v>http://instagram.com/graceukraine</v>
      </c>
      <c r="K2695">
        <v>2485</v>
      </c>
      <c r="N2695" t="s">
        <v>262</v>
      </c>
      <c r="O2695" t="s">
        <v>635</v>
      </c>
      <c r="P2695" s="2" t="str">
        <f>HYPERLINK("http://instagram.com/graceukraine")</f>
        <v>http://instagram.com/graceukraine</v>
      </c>
      <c r="Q2695">
        <v>2485</v>
      </c>
      <c r="R2695" t="s">
        <v>6067</v>
      </c>
    </row>
    <row r="2696" spans="1:19" ht="14.25" customHeight="1" x14ac:dyDescent="0.3">
      <c r="A2696" t="s">
        <v>5409</v>
      </c>
      <c r="B2696" t="s">
        <v>2284</v>
      </c>
      <c r="C2696" t="s">
        <v>3538</v>
      </c>
      <c r="D2696" t="s">
        <v>4</v>
      </c>
      <c r="E2696" t="s">
        <v>5438</v>
      </c>
      <c r="F2696" t="s">
        <v>6056</v>
      </c>
      <c r="G2696" s="2" t="str">
        <f>HYPERLINK("https://www.instagram.com/p/Bg9bib0F2TD")</f>
        <v>https://www.instagram.com/p/Bg9bib0F2TD</v>
      </c>
      <c r="H2696" t="s">
        <v>6062</v>
      </c>
      <c r="I2696" t="s">
        <v>635</v>
      </c>
      <c r="J2696" s="2" t="str">
        <f>HYPERLINK("http://instagram.com/graceukraine")</f>
        <v>http://instagram.com/graceukraine</v>
      </c>
      <c r="K2696">
        <v>2485</v>
      </c>
      <c r="N2696" t="s">
        <v>262</v>
      </c>
      <c r="O2696" t="s">
        <v>635</v>
      </c>
      <c r="P2696" s="2" t="str">
        <f>HYPERLINK("http://instagram.com/graceukraine")</f>
        <v>http://instagram.com/graceukraine</v>
      </c>
      <c r="Q2696">
        <v>2485</v>
      </c>
      <c r="R2696" t="s">
        <v>6067</v>
      </c>
      <c r="S2696" t="s">
        <v>6073</v>
      </c>
    </row>
    <row r="2697" spans="1:19" ht="14.25" customHeight="1" x14ac:dyDescent="0.3">
      <c r="A2697" t="s">
        <v>5409</v>
      </c>
      <c r="B2697" t="s">
        <v>1014</v>
      </c>
      <c r="C2697" t="s">
        <v>3538</v>
      </c>
      <c r="D2697" t="s">
        <v>4</v>
      </c>
      <c r="E2697" t="s">
        <v>5634</v>
      </c>
      <c r="F2697" t="s">
        <v>6056</v>
      </c>
      <c r="G2697" s="2" t="str">
        <f>HYPERLINK("https://www.instagram.com/p/Bg8zPo1n6Sx")</f>
        <v>https://www.instagram.com/p/Bg8zPo1n6Sx</v>
      </c>
      <c r="H2697" t="s">
        <v>6062</v>
      </c>
      <c r="I2697" t="s">
        <v>5635</v>
      </c>
      <c r="J2697" s="2" t="str">
        <f>HYPERLINK("http://instagram.com/natalya_chyrkova")</f>
        <v>http://instagram.com/natalya_chyrkova</v>
      </c>
      <c r="K2697">
        <v>883</v>
      </c>
      <c r="N2697" t="s">
        <v>262</v>
      </c>
      <c r="O2697" t="s">
        <v>5635</v>
      </c>
      <c r="P2697" s="2" t="str">
        <f>HYPERLINK("http://instagram.com/natalya_chyrkova")</f>
        <v>http://instagram.com/natalya_chyrkova</v>
      </c>
      <c r="Q2697">
        <v>883</v>
      </c>
      <c r="R2697" t="s">
        <v>6067</v>
      </c>
      <c r="S2697" t="s">
        <v>6073</v>
      </c>
    </row>
    <row r="2698" spans="1:19" ht="14.25" customHeight="1" x14ac:dyDescent="0.3">
      <c r="A2698" t="s">
        <v>2225</v>
      </c>
      <c r="B2698" t="s">
        <v>150</v>
      </c>
      <c r="C2698" t="s">
        <v>95</v>
      </c>
      <c r="D2698" t="s">
        <v>4</v>
      </c>
      <c r="E2698" t="s">
        <v>3310</v>
      </c>
      <c r="F2698" t="s">
        <v>6056</v>
      </c>
      <c r="G2698" s="2" t="str">
        <f>HYPERLINK("https://www.instagram.com/p/BhGomaCFtef")</f>
        <v>https://www.instagram.com/p/BhGomaCFtef</v>
      </c>
      <c r="H2698" t="s">
        <v>6062</v>
      </c>
      <c r="I2698" t="s">
        <v>3311</v>
      </c>
      <c r="J2698" s="2" t="str">
        <f>HYPERLINK("http://instagram.com/naushopstore")</f>
        <v>http://instagram.com/naushopstore</v>
      </c>
      <c r="K2698">
        <v>4056</v>
      </c>
      <c r="N2698" t="s">
        <v>262</v>
      </c>
      <c r="O2698" t="s">
        <v>3311</v>
      </c>
      <c r="P2698" s="2" t="str">
        <f>HYPERLINK("http://instagram.com/naushopstore")</f>
        <v>http://instagram.com/naushopstore</v>
      </c>
      <c r="Q2698">
        <v>4056</v>
      </c>
      <c r="R2698" t="s">
        <v>6067</v>
      </c>
    </row>
    <row r="2699" spans="1:19" ht="14.25" customHeight="1" x14ac:dyDescent="0.3">
      <c r="A2699" t="s">
        <v>5409</v>
      </c>
      <c r="B2699" t="s">
        <v>5209</v>
      </c>
      <c r="C2699" t="s">
        <v>3538</v>
      </c>
      <c r="D2699" t="s">
        <v>4</v>
      </c>
      <c r="E2699" t="s">
        <v>5712</v>
      </c>
      <c r="F2699" t="s">
        <v>6056</v>
      </c>
      <c r="G2699" s="2" t="str">
        <f>HYPERLINK("https://www.instagram.com/p/Bg8iHb3FqJz")</f>
        <v>https://www.instagram.com/p/Bg8iHb3FqJz</v>
      </c>
      <c r="H2699" t="s">
        <v>6062</v>
      </c>
      <c r="I2699" t="s">
        <v>3311</v>
      </c>
      <c r="J2699" s="2" t="str">
        <f>HYPERLINK("http://instagram.com/naushopstore")</f>
        <v>http://instagram.com/naushopstore</v>
      </c>
      <c r="K2699">
        <v>4056</v>
      </c>
      <c r="N2699" t="s">
        <v>262</v>
      </c>
      <c r="O2699" t="s">
        <v>3311</v>
      </c>
      <c r="P2699" s="2" t="str">
        <f>HYPERLINK("http://instagram.com/naushopstore")</f>
        <v>http://instagram.com/naushopstore</v>
      </c>
      <c r="Q2699">
        <v>4056</v>
      </c>
      <c r="R2699" t="s">
        <v>6067</v>
      </c>
      <c r="S2699" t="s">
        <v>6073</v>
      </c>
    </row>
    <row r="2700" spans="1:19" ht="14.25" customHeight="1" x14ac:dyDescent="0.3">
      <c r="A2700" t="s">
        <v>5409</v>
      </c>
      <c r="B2700" t="s">
        <v>767</v>
      </c>
      <c r="C2700" t="s">
        <v>3538</v>
      </c>
      <c r="D2700" t="s">
        <v>4</v>
      </c>
      <c r="E2700" t="s">
        <v>5498</v>
      </c>
      <c r="F2700" t="s">
        <v>6056</v>
      </c>
      <c r="G2700" s="2" t="str">
        <f>HYPERLINK("https://www.instagram.com/p/Bg9OPsaHnt-")</f>
        <v>https://www.instagram.com/p/Bg9OPsaHnt-</v>
      </c>
      <c r="H2700" t="s">
        <v>6062</v>
      </c>
      <c r="I2700" t="s">
        <v>5499</v>
      </c>
      <c r="J2700" s="2" t="str">
        <f>HYPERLINK("http://instagram.com/nazar.94")</f>
        <v>http://instagram.com/nazar.94</v>
      </c>
      <c r="K2700">
        <v>472</v>
      </c>
      <c r="L2700" t="s">
        <v>6063</v>
      </c>
      <c r="N2700" t="s">
        <v>262</v>
      </c>
      <c r="O2700" t="s">
        <v>5499</v>
      </c>
      <c r="P2700" s="2" t="str">
        <f>HYPERLINK("http://instagram.com/nazar.94")</f>
        <v>http://instagram.com/nazar.94</v>
      </c>
      <c r="Q2700">
        <v>472</v>
      </c>
      <c r="R2700" t="s">
        <v>6067</v>
      </c>
      <c r="S2700" t="s">
        <v>6097</v>
      </c>
    </row>
    <row r="2701" spans="1:19" ht="14.25" customHeight="1" x14ac:dyDescent="0.3">
      <c r="A2701" t="s">
        <v>2225</v>
      </c>
      <c r="B2701" t="s">
        <v>1772</v>
      </c>
      <c r="C2701" t="s">
        <v>95</v>
      </c>
      <c r="D2701" t="s">
        <v>3324</v>
      </c>
      <c r="E2701" t="s">
        <v>3424</v>
      </c>
      <c r="F2701" t="s">
        <v>6059</v>
      </c>
      <c r="G2701" s="2" t="str">
        <f>HYPERLINK("https://www.instagram.com/p/BhGU-9aDqWI")</f>
        <v>https://www.instagram.com/p/BhGU-9aDqWI</v>
      </c>
      <c r="H2701" t="s">
        <v>6062</v>
      </c>
      <c r="I2701" t="s">
        <v>3425</v>
      </c>
      <c r="J2701" s="2" t="str">
        <f>HYPERLINK("http://instagram.com/neonchik40")</f>
        <v>http://instagram.com/neonchik40</v>
      </c>
      <c r="K2701">
        <v>549</v>
      </c>
      <c r="N2701" t="s">
        <v>262</v>
      </c>
      <c r="O2701" t="s">
        <v>3327</v>
      </c>
      <c r="P2701" s="2" t="str">
        <f>HYPERLINK("http://instagram.com/daniikyasinev")</f>
        <v>http://instagram.com/daniikyasinev</v>
      </c>
      <c r="Q2701">
        <v>591</v>
      </c>
      <c r="R2701" t="s">
        <v>6067</v>
      </c>
    </row>
    <row r="2702" spans="1:19" ht="14.25" customHeight="1" x14ac:dyDescent="0.3">
      <c r="A2702" t="s">
        <v>629</v>
      </c>
      <c r="B2702" t="s">
        <v>2207</v>
      </c>
      <c r="C2702" t="s">
        <v>95</v>
      </c>
      <c r="D2702" t="s">
        <v>4</v>
      </c>
      <c r="E2702" t="s">
        <v>2208</v>
      </c>
      <c r="F2702" t="s">
        <v>6056</v>
      </c>
      <c r="G2702" s="2" t="str">
        <f>HYPERLINK("https://www.instagram.com/p/BhH35GMAnso")</f>
        <v>https://www.instagram.com/p/BhH35GMAnso</v>
      </c>
      <c r="H2702" t="s">
        <v>6062</v>
      </c>
      <c r="I2702" t="s">
        <v>2209</v>
      </c>
      <c r="J2702" s="2" t="str">
        <f>HYPERLINK("http://instagram.com/stavki_na_sport_parimatch")</f>
        <v>http://instagram.com/stavki_na_sport_parimatch</v>
      </c>
      <c r="K2702">
        <v>61</v>
      </c>
      <c r="N2702" t="s">
        <v>262</v>
      </c>
      <c r="O2702" t="s">
        <v>2209</v>
      </c>
      <c r="P2702" s="2" t="str">
        <f>HYPERLINK("http://instagram.com/stavki_na_sport_parimatch")</f>
        <v>http://instagram.com/stavki_na_sport_parimatch</v>
      </c>
      <c r="Q2702">
        <v>61</v>
      </c>
      <c r="R2702" t="s">
        <v>6067</v>
      </c>
    </row>
    <row r="2703" spans="1:19" ht="14.25" customHeight="1" x14ac:dyDescent="0.3">
      <c r="A2703" t="s">
        <v>4995</v>
      </c>
      <c r="B2703" t="s">
        <v>912</v>
      </c>
      <c r="C2703" t="s">
        <v>3538</v>
      </c>
      <c r="D2703" t="s">
        <v>5128</v>
      </c>
      <c r="E2703" t="s">
        <v>5129</v>
      </c>
      <c r="F2703" t="s">
        <v>6059</v>
      </c>
      <c r="G2703" s="2" t="str">
        <f>HYPERLINK("https://www.instagram.com/p/BglVPFdF8Vj")</f>
        <v>https://www.instagram.com/p/BglVPFdF8Vj</v>
      </c>
      <c r="H2703" t="s">
        <v>6062</v>
      </c>
      <c r="I2703" t="s">
        <v>5130</v>
      </c>
      <c r="J2703" s="2" t="str">
        <f>HYPERLINK("http://instagram.com/ldovroman")</f>
        <v>http://instagram.com/ldovroman</v>
      </c>
      <c r="K2703">
        <v>340</v>
      </c>
      <c r="L2703" t="s">
        <v>6063</v>
      </c>
      <c r="N2703" t="s">
        <v>262</v>
      </c>
      <c r="O2703" t="s">
        <v>5131</v>
      </c>
      <c r="P2703" s="2" t="str">
        <f>HYPERLINK("http://instagram.com/oleksandrgennadiyovich")</f>
        <v>http://instagram.com/oleksandrgennadiyovich</v>
      </c>
      <c r="Q2703">
        <v>4302</v>
      </c>
      <c r="R2703" t="s">
        <v>6067</v>
      </c>
      <c r="S2703" t="s">
        <v>6073</v>
      </c>
    </row>
    <row r="2704" spans="1:19" ht="14.25" customHeight="1" x14ac:dyDescent="0.3">
      <c r="A2704" t="s">
        <v>5409</v>
      </c>
      <c r="B2704" t="s">
        <v>1783</v>
      </c>
      <c r="C2704" t="s">
        <v>3538</v>
      </c>
      <c r="D2704" t="s">
        <v>5716</v>
      </c>
      <c r="E2704" t="s">
        <v>5884</v>
      </c>
      <c r="F2704" t="s">
        <v>6059</v>
      </c>
      <c r="G2704" s="2" t="str">
        <f>HYPERLINK("https://www.instagram.com/p/Bg7-bvdFUzs")</f>
        <v>https://www.instagram.com/p/Bg7-bvdFUzs</v>
      </c>
      <c r="H2704" t="s">
        <v>6062</v>
      </c>
      <c r="I2704" t="s">
        <v>5719</v>
      </c>
      <c r="J2704" s="2" t="str">
        <f>HYPERLINK("http://instagram.com/anti.mebel")</f>
        <v>http://instagram.com/anti.mebel</v>
      </c>
      <c r="K2704">
        <v>277</v>
      </c>
      <c r="L2704" t="s">
        <v>6063</v>
      </c>
      <c r="N2704" t="s">
        <v>262</v>
      </c>
      <c r="O2704" t="s">
        <v>5719</v>
      </c>
      <c r="P2704" s="2" t="str">
        <f>HYPERLINK("http://instagram.com/anti.mebel")</f>
        <v>http://instagram.com/anti.mebel</v>
      </c>
      <c r="Q2704">
        <v>277</v>
      </c>
      <c r="R2704" t="s">
        <v>6067</v>
      </c>
      <c r="S2704" t="s">
        <v>6073</v>
      </c>
    </row>
    <row r="2705" spans="1:19" ht="14.25" customHeight="1" x14ac:dyDescent="0.3">
      <c r="A2705" t="s">
        <v>5409</v>
      </c>
      <c r="B2705" t="s">
        <v>1795</v>
      </c>
      <c r="C2705" t="s">
        <v>3538</v>
      </c>
      <c r="D2705" t="s">
        <v>5716</v>
      </c>
      <c r="E2705" t="s">
        <v>5890</v>
      </c>
      <c r="F2705" t="s">
        <v>6059</v>
      </c>
      <c r="G2705" s="2" t="str">
        <f>HYPERLINK("https://www.instagram.com/p/Bg7-bvdFUzs")</f>
        <v>https://www.instagram.com/p/Bg7-bvdFUzs</v>
      </c>
      <c r="H2705" t="s">
        <v>6062</v>
      </c>
      <c r="I2705" t="s">
        <v>5719</v>
      </c>
      <c r="J2705" s="2" t="str">
        <f>HYPERLINK("http://instagram.com/anti.mebel")</f>
        <v>http://instagram.com/anti.mebel</v>
      </c>
      <c r="K2705">
        <v>277</v>
      </c>
      <c r="L2705" t="s">
        <v>6063</v>
      </c>
      <c r="N2705" t="s">
        <v>262</v>
      </c>
      <c r="O2705" t="s">
        <v>5719</v>
      </c>
      <c r="P2705" s="2" t="str">
        <f>HYPERLINK("http://instagram.com/anti.mebel")</f>
        <v>http://instagram.com/anti.mebel</v>
      </c>
      <c r="Q2705">
        <v>277</v>
      </c>
      <c r="R2705" t="s">
        <v>6067</v>
      </c>
      <c r="S2705" t="s">
        <v>6073</v>
      </c>
    </row>
    <row r="2706" spans="1:19" ht="14.25" customHeight="1" x14ac:dyDescent="0.3">
      <c r="A2706" t="s">
        <v>5409</v>
      </c>
      <c r="B2706" t="s">
        <v>435</v>
      </c>
      <c r="C2706" t="s">
        <v>3538</v>
      </c>
      <c r="D2706" t="s">
        <v>5716</v>
      </c>
      <c r="E2706" t="s">
        <v>5908</v>
      </c>
      <c r="F2706" t="s">
        <v>6059</v>
      </c>
      <c r="G2706" s="2" t="str">
        <f>HYPERLINK("https://www.instagram.com/p/Bg7-bvdFUzs")</f>
        <v>https://www.instagram.com/p/Bg7-bvdFUzs</v>
      </c>
      <c r="H2706" t="s">
        <v>6062</v>
      </c>
      <c r="I2706" t="s">
        <v>5719</v>
      </c>
      <c r="J2706" s="2" t="str">
        <f>HYPERLINK("http://instagram.com/anti.mebel")</f>
        <v>http://instagram.com/anti.mebel</v>
      </c>
      <c r="K2706">
        <v>277</v>
      </c>
      <c r="L2706" t="s">
        <v>6063</v>
      </c>
      <c r="N2706" t="s">
        <v>262</v>
      </c>
      <c r="O2706" t="s">
        <v>5719</v>
      </c>
      <c r="P2706" s="2" t="str">
        <f>HYPERLINK("http://instagram.com/anti.mebel")</f>
        <v>http://instagram.com/anti.mebel</v>
      </c>
      <c r="Q2706">
        <v>277</v>
      </c>
      <c r="R2706" t="s">
        <v>6067</v>
      </c>
      <c r="S2706" t="s">
        <v>6073</v>
      </c>
    </row>
    <row r="2707" spans="1:19" ht="14.25" customHeight="1" x14ac:dyDescent="0.3">
      <c r="A2707" t="s">
        <v>5409</v>
      </c>
      <c r="B2707" t="s">
        <v>1854</v>
      </c>
      <c r="C2707" t="s">
        <v>3538</v>
      </c>
      <c r="D2707" t="s">
        <v>4</v>
      </c>
      <c r="E2707" t="s">
        <v>5909</v>
      </c>
      <c r="F2707" t="s">
        <v>6056</v>
      </c>
      <c r="G2707" s="2" t="str">
        <f>HYPERLINK("https://www.instagram.com/p/Bg7-bvdFUzs")</f>
        <v>https://www.instagram.com/p/Bg7-bvdFUzs</v>
      </c>
      <c r="H2707" t="s">
        <v>6062</v>
      </c>
      <c r="I2707" t="s">
        <v>5719</v>
      </c>
      <c r="J2707" s="2" t="str">
        <f>HYPERLINK("http://instagram.com/anti.mebel")</f>
        <v>http://instagram.com/anti.mebel</v>
      </c>
      <c r="K2707">
        <v>277</v>
      </c>
      <c r="L2707" t="s">
        <v>6063</v>
      </c>
      <c r="N2707" t="s">
        <v>262</v>
      </c>
      <c r="O2707" t="s">
        <v>5719</v>
      </c>
      <c r="P2707" s="2" t="str">
        <f>HYPERLINK("http://instagram.com/anti.mebel")</f>
        <v>http://instagram.com/anti.mebel</v>
      </c>
      <c r="Q2707">
        <v>277</v>
      </c>
      <c r="R2707" t="s">
        <v>6067</v>
      </c>
      <c r="S2707" t="s">
        <v>6073</v>
      </c>
    </row>
    <row r="2708" spans="1:19" ht="14.25" customHeight="1" x14ac:dyDescent="0.3">
      <c r="A2708" t="s">
        <v>4439</v>
      </c>
      <c r="B2708" t="s">
        <v>288</v>
      </c>
      <c r="C2708" t="s">
        <v>3538</v>
      </c>
      <c r="D2708" t="s">
        <v>4773</v>
      </c>
      <c r="E2708" t="s">
        <v>4775</v>
      </c>
      <c r="F2708" t="s">
        <v>6059</v>
      </c>
      <c r="G2708" s="2" t="str">
        <f>HYPERLINK("https://www.instagram.com/p/Bg0USXRFfk-")</f>
        <v>https://www.instagram.com/p/Bg0USXRFfk-</v>
      </c>
      <c r="H2708" t="s">
        <v>6062</v>
      </c>
      <c r="I2708" t="s">
        <v>360</v>
      </c>
      <c r="J2708" s="2" t="str">
        <f>HYPERLINK("http://instagram.com/glavpost.media")</f>
        <v>http://instagram.com/glavpost.media</v>
      </c>
      <c r="K2708">
        <v>156</v>
      </c>
      <c r="L2708" t="s">
        <v>6063</v>
      </c>
      <c r="N2708" t="s">
        <v>262</v>
      </c>
      <c r="O2708" t="s">
        <v>2350</v>
      </c>
      <c r="P2708" s="2" t="str">
        <f>HYPERLINK("http://instagram.com/monobank.com.ua")</f>
        <v>http://instagram.com/monobank.com.ua</v>
      </c>
      <c r="Q2708">
        <v>5349</v>
      </c>
      <c r="R2708" t="s">
        <v>6067</v>
      </c>
      <c r="S2708" t="s">
        <v>6073</v>
      </c>
    </row>
    <row r="2709" spans="1:19" ht="14.25" customHeight="1" x14ac:dyDescent="0.3">
      <c r="A2709" t="s">
        <v>5409</v>
      </c>
      <c r="B2709" t="s">
        <v>5983</v>
      </c>
      <c r="C2709" t="s">
        <v>3538</v>
      </c>
      <c r="D2709" t="s">
        <v>4</v>
      </c>
      <c r="E2709" t="s">
        <v>5984</v>
      </c>
      <c r="F2709" t="s">
        <v>6056</v>
      </c>
      <c r="G2709" s="2" t="str">
        <f>HYPERLINK("https://www.instagram.com/p/Bg7Og8Ml5BW")</f>
        <v>https://www.instagram.com/p/Bg7Og8Ml5BW</v>
      </c>
      <c r="H2709" t="s">
        <v>6062</v>
      </c>
      <c r="I2709" t="s">
        <v>5985</v>
      </c>
      <c r="J2709" s="2" t="str">
        <f>HYPERLINK("http://instagram.com/eellinaa")</f>
        <v>http://instagram.com/eellinaa</v>
      </c>
      <c r="K2709">
        <v>210</v>
      </c>
      <c r="N2709" t="s">
        <v>262</v>
      </c>
      <c r="O2709" t="s">
        <v>5985</v>
      </c>
      <c r="P2709" s="2" t="str">
        <f>HYPERLINK("http://instagram.com/eellinaa")</f>
        <v>http://instagram.com/eellinaa</v>
      </c>
      <c r="Q2709">
        <v>210</v>
      </c>
      <c r="R2709" t="s">
        <v>6067</v>
      </c>
    </row>
    <row r="2710" spans="1:19" ht="14.25" customHeight="1" x14ac:dyDescent="0.3">
      <c r="A2710" t="s">
        <v>5409</v>
      </c>
      <c r="B2710" t="s">
        <v>4000</v>
      </c>
      <c r="C2710" t="s">
        <v>3538</v>
      </c>
      <c r="D2710" t="s">
        <v>4</v>
      </c>
      <c r="E2710" t="s">
        <v>5596</v>
      </c>
      <c r="F2710" t="s">
        <v>6056</v>
      </c>
      <c r="G2710" s="2" t="str">
        <f>HYPERLINK("https://www.instagram.com/p/Bg84Pymgf1s")</f>
        <v>https://www.instagram.com/p/Bg84Pymgf1s</v>
      </c>
      <c r="H2710" t="s">
        <v>6062</v>
      </c>
      <c r="I2710" t="s">
        <v>4931</v>
      </c>
      <c r="J2710" s="2" t="str">
        <f>HYPERLINK("http://instagram.com/weblancer_net")</f>
        <v>http://instagram.com/weblancer_net</v>
      </c>
      <c r="K2710">
        <v>633</v>
      </c>
      <c r="N2710" t="s">
        <v>262</v>
      </c>
      <c r="O2710" t="s">
        <v>4931</v>
      </c>
      <c r="P2710" s="2" t="str">
        <f>HYPERLINK("http://instagram.com/weblancer_net")</f>
        <v>http://instagram.com/weblancer_net</v>
      </c>
      <c r="Q2710">
        <v>633</v>
      </c>
      <c r="R2710" t="s">
        <v>6067</v>
      </c>
    </row>
    <row r="2711" spans="1:19" ht="14.25" customHeight="1" x14ac:dyDescent="0.3">
      <c r="A2711" t="s">
        <v>2225</v>
      </c>
      <c r="B2711" t="s">
        <v>361</v>
      </c>
      <c r="C2711" t="s">
        <v>95</v>
      </c>
      <c r="D2711" t="s">
        <v>3405</v>
      </c>
      <c r="E2711" t="s">
        <v>3406</v>
      </c>
      <c r="F2711" t="s">
        <v>6059</v>
      </c>
      <c r="G2711" s="2" t="str">
        <f>HYPERLINK("https://www.instagram.com/p/Bgi7-73nanI")</f>
        <v>https://www.instagram.com/p/Bgi7-73nanI</v>
      </c>
      <c r="H2711" t="s">
        <v>6062</v>
      </c>
      <c r="I2711" t="s">
        <v>3407</v>
      </c>
      <c r="J2711" s="2" t="str">
        <f>HYPERLINK("http://instagram.com/wiredkings1")</f>
        <v>http://instagram.com/wiredkings1</v>
      </c>
      <c r="K2711">
        <v>615</v>
      </c>
      <c r="N2711" t="s">
        <v>262</v>
      </c>
      <c r="O2711" t="s">
        <v>3408</v>
      </c>
      <c r="P2711" s="2" t="str">
        <f>HYPERLINK("http://instagram.com/anton.protsenko")</f>
        <v>http://instagram.com/anton.protsenko</v>
      </c>
      <c r="Q2711">
        <v>614</v>
      </c>
      <c r="R2711" t="s">
        <v>6067</v>
      </c>
    </row>
    <row r="2712" spans="1:19" ht="14.25" customHeight="1" x14ac:dyDescent="0.3">
      <c r="A2712" t="s">
        <v>2225</v>
      </c>
      <c r="B2712" t="s">
        <v>1579</v>
      </c>
      <c r="C2712" t="s">
        <v>95</v>
      </c>
      <c r="D2712" t="s">
        <v>3324</v>
      </c>
      <c r="E2712" t="s">
        <v>3399</v>
      </c>
      <c r="F2712" t="s">
        <v>6059</v>
      </c>
      <c r="G2712" s="2" t="str">
        <f>HYPERLINK("https://www.instagram.com/p/BhGU-9aDqWI")</f>
        <v>https://www.instagram.com/p/BhGU-9aDqWI</v>
      </c>
      <c r="H2712" t="s">
        <v>6062</v>
      </c>
      <c r="I2712" t="s">
        <v>3400</v>
      </c>
      <c r="J2712" s="2" t="str">
        <f>HYPERLINK("http://instagram.com/iev_genii")</f>
        <v>http://instagram.com/iev_genii</v>
      </c>
      <c r="K2712">
        <v>1789</v>
      </c>
      <c r="N2712" t="s">
        <v>262</v>
      </c>
      <c r="O2712" t="s">
        <v>3327</v>
      </c>
      <c r="P2712" s="2" t="str">
        <f>HYPERLINK("http://instagram.com/daniikyasinev")</f>
        <v>http://instagram.com/daniikyasinev</v>
      </c>
      <c r="Q2712">
        <v>591</v>
      </c>
      <c r="R2712" t="s">
        <v>6067</v>
      </c>
    </row>
    <row r="2713" spans="1:19" ht="14.25" customHeight="1" x14ac:dyDescent="0.3">
      <c r="A2713" t="s">
        <v>3527</v>
      </c>
      <c r="B2713" t="s">
        <v>332</v>
      </c>
      <c r="C2713" t="s">
        <v>3538</v>
      </c>
      <c r="D2713" t="s">
        <v>4</v>
      </c>
      <c r="E2713" t="s">
        <v>4287</v>
      </c>
      <c r="F2713" t="s">
        <v>6056</v>
      </c>
      <c r="G2713" s="2" t="str">
        <f>HYPERLINK("https://www.instagram.com/p/BhD4ZYUFqxu")</f>
        <v>https://www.instagram.com/p/BhD4ZYUFqxu</v>
      </c>
      <c r="H2713" t="s">
        <v>6062</v>
      </c>
      <c r="I2713" t="s">
        <v>4288</v>
      </c>
      <c r="J2713" s="2" t="str">
        <f>HYPERLINK("http://instagram.com/alisa__alissa")</f>
        <v>http://instagram.com/alisa__alissa</v>
      </c>
      <c r="K2713">
        <v>131</v>
      </c>
      <c r="L2713" t="s">
        <v>6064</v>
      </c>
      <c r="N2713" t="s">
        <v>262</v>
      </c>
      <c r="O2713" t="s">
        <v>4288</v>
      </c>
      <c r="P2713" s="2" t="str">
        <f>HYPERLINK("http://instagram.com/alisa__alissa")</f>
        <v>http://instagram.com/alisa__alissa</v>
      </c>
      <c r="Q2713">
        <v>131</v>
      </c>
      <c r="R2713" t="s">
        <v>6067</v>
      </c>
    </row>
    <row r="2714" spans="1:19" ht="14.25" customHeight="1" x14ac:dyDescent="0.3">
      <c r="A2714" t="s">
        <v>2225</v>
      </c>
      <c r="B2714" t="s">
        <v>1404</v>
      </c>
      <c r="C2714" t="s">
        <v>95</v>
      </c>
      <c r="D2714" t="s">
        <v>4</v>
      </c>
      <c r="E2714" t="s">
        <v>3289</v>
      </c>
      <c r="F2714" t="s">
        <v>6056</v>
      </c>
      <c r="G2714" s="2" t="str">
        <f>HYPERLINK("https://www.instagram.com/p/BhGq4rwBS-l")</f>
        <v>https://www.instagram.com/p/BhGq4rwBS-l</v>
      </c>
      <c r="H2714" t="s">
        <v>6062</v>
      </c>
      <c r="I2714" t="s">
        <v>3251</v>
      </c>
      <c r="J2714" s="2" t="str">
        <f>HYPERLINK("http://instagram.com/wow.freedom")</f>
        <v>http://instagram.com/wow.freedom</v>
      </c>
      <c r="K2714">
        <v>418</v>
      </c>
      <c r="L2714" t="s">
        <v>6063</v>
      </c>
      <c r="N2714" t="s">
        <v>262</v>
      </c>
      <c r="O2714" t="s">
        <v>3251</v>
      </c>
      <c r="P2714" s="2" t="str">
        <f>HYPERLINK("http://instagram.com/wow.freedom")</f>
        <v>http://instagram.com/wow.freedom</v>
      </c>
      <c r="Q2714">
        <v>418</v>
      </c>
      <c r="R2714" t="s">
        <v>6067</v>
      </c>
    </row>
    <row r="2715" spans="1:19" ht="14.25" customHeight="1" x14ac:dyDescent="0.3">
      <c r="A2715" t="s">
        <v>5409</v>
      </c>
      <c r="B2715" t="s">
        <v>1810</v>
      </c>
      <c r="C2715" t="s">
        <v>3538</v>
      </c>
      <c r="D2715" t="s">
        <v>5716</v>
      </c>
      <c r="E2715" t="s">
        <v>5893</v>
      </c>
      <c r="F2715" t="s">
        <v>6059</v>
      </c>
      <c r="G2715" s="2" t="str">
        <f>HYPERLINK("https://www.instagram.com/p/Bg7-bvdFUzs")</f>
        <v>https://www.instagram.com/p/Bg7-bvdFUzs</v>
      </c>
      <c r="H2715" t="s">
        <v>6062</v>
      </c>
      <c r="I2715" t="s">
        <v>5894</v>
      </c>
      <c r="J2715" s="2" t="str">
        <f>HYPERLINK("http://instagram.com/victory_gavran")</f>
        <v>http://instagram.com/victory_gavran</v>
      </c>
      <c r="K2715">
        <v>1220</v>
      </c>
      <c r="N2715" t="s">
        <v>262</v>
      </c>
      <c r="O2715" t="s">
        <v>5719</v>
      </c>
      <c r="P2715" s="2" t="str">
        <f>HYPERLINK("http://instagram.com/anti.mebel")</f>
        <v>http://instagram.com/anti.mebel</v>
      </c>
      <c r="Q2715">
        <v>277</v>
      </c>
      <c r="R2715" t="s">
        <v>6067</v>
      </c>
      <c r="S2715" t="s">
        <v>6073</v>
      </c>
    </row>
    <row r="2716" spans="1:19" ht="14.25" customHeight="1" x14ac:dyDescent="0.3">
      <c r="A2716" t="s">
        <v>629</v>
      </c>
      <c r="B2716" t="s">
        <v>821</v>
      </c>
      <c r="C2716" t="s">
        <v>95</v>
      </c>
      <c r="D2716" t="s">
        <v>4</v>
      </c>
      <c r="E2716" t="s">
        <v>822</v>
      </c>
      <c r="F2716" t="s">
        <v>6056</v>
      </c>
      <c r="G2716" s="2" t="str">
        <f>HYPERLINK("https://www.instagram.com/p/BhKB7u-gVML")</f>
        <v>https://www.instagram.com/p/BhKB7u-gVML</v>
      </c>
      <c r="H2716" t="s">
        <v>6062</v>
      </c>
      <c r="I2716" t="s">
        <v>823</v>
      </c>
      <c r="J2716" s="2" t="str">
        <f>HYPERLINK("http://instagram.com/below_i")</f>
        <v>http://instagram.com/below_i</v>
      </c>
      <c r="K2716">
        <v>296</v>
      </c>
      <c r="L2716" t="s">
        <v>6063</v>
      </c>
      <c r="N2716" t="s">
        <v>262</v>
      </c>
      <c r="O2716" t="s">
        <v>823</v>
      </c>
      <c r="P2716" s="2" t="str">
        <f>HYPERLINK("http://instagram.com/below_i")</f>
        <v>http://instagram.com/below_i</v>
      </c>
      <c r="Q2716">
        <v>296</v>
      </c>
      <c r="R2716" t="s">
        <v>6067</v>
      </c>
    </row>
    <row r="2717" spans="1:19" ht="14.25" customHeight="1" x14ac:dyDescent="0.3">
      <c r="A2717" t="s">
        <v>4995</v>
      </c>
      <c r="B2717" t="s">
        <v>4357</v>
      </c>
      <c r="C2717" t="s">
        <v>3538</v>
      </c>
      <c r="D2717" t="s">
        <v>5367</v>
      </c>
      <c r="E2717" t="s">
        <v>5370</v>
      </c>
      <c r="F2717" t="s">
        <v>6059</v>
      </c>
      <c r="G2717" s="2" t="str">
        <f>HYPERLINK("https://www.instagram.com/p/Bg-UnGaBB3L")</f>
        <v>https://www.instagram.com/p/Bg-UnGaBB3L</v>
      </c>
      <c r="H2717" t="s">
        <v>6062</v>
      </c>
      <c r="I2717" t="s">
        <v>5371</v>
      </c>
      <c r="J2717" s="2" t="str">
        <f>HYPERLINK("http://instagram.com/irusiandia")</f>
        <v>http://instagram.com/irusiandia</v>
      </c>
      <c r="K2717">
        <v>315</v>
      </c>
      <c r="L2717" t="s">
        <v>6064</v>
      </c>
      <c r="N2717" t="s">
        <v>262</v>
      </c>
      <c r="O2717" t="s">
        <v>2350</v>
      </c>
      <c r="P2717" s="2" t="str">
        <f>HYPERLINK("http://instagram.com/monobank.official")</f>
        <v>http://instagram.com/monobank.official</v>
      </c>
      <c r="Q2717">
        <v>926</v>
      </c>
      <c r="R2717" t="s">
        <v>6067</v>
      </c>
      <c r="S2717" t="s">
        <v>6073</v>
      </c>
    </row>
    <row r="2718" spans="1:19" ht="14.25" customHeight="1" x14ac:dyDescent="0.3">
      <c r="A2718" t="s">
        <v>4995</v>
      </c>
      <c r="B2718" t="s">
        <v>5374</v>
      </c>
      <c r="C2718" t="s">
        <v>3538</v>
      </c>
      <c r="D2718" t="s">
        <v>5367</v>
      </c>
      <c r="E2718" t="s">
        <v>5375</v>
      </c>
      <c r="F2718" t="s">
        <v>6059</v>
      </c>
      <c r="G2718" s="2" t="str">
        <f>HYPERLINK("https://www.instagram.com/p/Bg-Ue1QB2_d")</f>
        <v>https://www.instagram.com/p/Bg-Ue1QB2_d</v>
      </c>
      <c r="H2718" t="s">
        <v>6062</v>
      </c>
      <c r="I2718" t="s">
        <v>5371</v>
      </c>
      <c r="J2718" s="2" t="str">
        <f>HYPERLINK("http://instagram.com/irusiandia")</f>
        <v>http://instagram.com/irusiandia</v>
      </c>
      <c r="K2718">
        <v>315</v>
      </c>
      <c r="L2718" t="s">
        <v>6064</v>
      </c>
      <c r="N2718" t="s">
        <v>262</v>
      </c>
      <c r="O2718" t="s">
        <v>2350</v>
      </c>
      <c r="P2718" s="2" t="str">
        <f>HYPERLINK("http://instagram.com/monobank.official")</f>
        <v>http://instagram.com/monobank.official</v>
      </c>
      <c r="Q2718">
        <v>926</v>
      </c>
      <c r="R2718" t="s">
        <v>6067</v>
      </c>
      <c r="S2718" t="s">
        <v>6073</v>
      </c>
    </row>
    <row r="2719" spans="1:19" ht="14.25" customHeight="1" x14ac:dyDescent="0.3">
      <c r="A2719" t="s">
        <v>5409</v>
      </c>
      <c r="B2719" t="s">
        <v>5739</v>
      </c>
      <c r="C2719" t="s">
        <v>3538</v>
      </c>
      <c r="D2719" t="s">
        <v>4</v>
      </c>
      <c r="E2719" t="s">
        <v>5740</v>
      </c>
      <c r="F2719" t="s">
        <v>6056</v>
      </c>
      <c r="G2719" s="2" t="str">
        <f>HYPERLINK("https://www.instagram.com/p/Bg8b4vRhaFE")</f>
        <v>https://www.instagram.com/p/Bg8b4vRhaFE</v>
      </c>
      <c r="H2719" t="s">
        <v>6062</v>
      </c>
      <c r="I2719" t="s">
        <v>5545</v>
      </c>
      <c r="J2719" s="2" t="str">
        <f>HYPERLINK("http://instagram.com/mashaoliynik1907")</f>
        <v>http://instagram.com/mashaoliynik1907</v>
      </c>
      <c r="K2719">
        <v>216</v>
      </c>
      <c r="L2719" t="s">
        <v>6064</v>
      </c>
      <c r="N2719" t="s">
        <v>262</v>
      </c>
      <c r="O2719" t="s">
        <v>5545</v>
      </c>
      <c r="P2719" s="2" t="str">
        <f>HYPERLINK("http://instagram.com/mashaoliynik1907")</f>
        <v>http://instagram.com/mashaoliynik1907</v>
      </c>
      <c r="Q2719">
        <v>216</v>
      </c>
      <c r="R2719" t="s">
        <v>6067</v>
      </c>
    </row>
    <row r="2720" spans="1:19" ht="14.25" customHeight="1" x14ac:dyDescent="0.3">
      <c r="A2720" t="s">
        <v>4439</v>
      </c>
      <c r="B2720" t="s">
        <v>4231</v>
      </c>
      <c r="C2720" t="s">
        <v>3538</v>
      </c>
      <c r="D2720" t="s">
        <v>4688</v>
      </c>
      <c r="E2720" t="s">
        <v>4689</v>
      </c>
      <c r="F2720" t="s">
        <v>6059</v>
      </c>
      <c r="G2720" s="2" t="str">
        <f>HYPERLINK("https://www.instagram.com/p/Bg9Ykwal-I4")</f>
        <v>https://www.instagram.com/p/Bg9Ykwal-I4</v>
      </c>
      <c r="H2720" t="s">
        <v>6062</v>
      </c>
      <c r="I2720" t="s">
        <v>4690</v>
      </c>
      <c r="J2720" s="2" t="str">
        <f>HYPERLINK("http://instagram.com/nicholaspitylyak")</f>
        <v>http://instagram.com/nicholaspitylyak</v>
      </c>
      <c r="K2720">
        <v>111</v>
      </c>
      <c r="L2720" t="s">
        <v>6063</v>
      </c>
      <c r="N2720" t="s">
        <v>262</v>
      </c>
      <c r="O2720" t="s">
        <v>4691</v>
      </c>
      <c r="P2720" s="2" t="str">
        <f>HYPERLINK("http://instagram.com/keedhost")</f>
        <v>http://instagram.com/keedhost</v>
      </c>
      <c r="Q2720">
        <v>1278</v>
      </c>
      <c r="R2720" t="s">
        <v>6067</v>
      </c>
    </row>
    <row r="2721" spans="1:19" ht="14.25" customHeight="1" x14ac:dyDescent="0.3">
      <c r="A2721" t="s">
        <v>5409</v>
      </c>
      <c r="B2721" t="s">
        <v>2831</v>
      </c>
      <c r="C2721" t="s">
        <v>3538</v>
      </c>
      <c r="D2721" t="s">
        <v>4</v>
      </c>
      <c r="E2721" t="s">
        <v>5488</v>
      </c>
      <c r="F2721" t="s">
        <v>6056</v>
      </c>
      <c r="G2721" s="2" t="str">
        <f>HYPERLINK("https://www.instagram.com/p/Bg9OxfRgLD5")</f>
        <v>https://www.instagram.com/p/Bg9OxfRgLD5</v>
      </c>
      <c r="H2721" t="s">
        <v>6062</v>
      </c>
      <c r="I2721" t="s">
        <v>5489</v>
      </c>
      <c r="J2721" s="2" t="str">
        <f>HYPERLINK("http://instagram.com/ustroimprazdnik")</f>
        <v>http://instagram.com/ustroimprazdnik</v>
      </c>
      <c r="K2721">
        <v>489</v>
      </c>
      <c r="N2721" t="s">
        <v>262</v>
      </c>
      <c r="O2721" t="s">
        <v>5489</v>
      </c>
      <c r="P2721" s="2" t="str">
        <f>HYPERLINK("http://instagram.com/ustroimprazdnik")</f>
        <v>http://instagram.com/ustroimprazdnik</v>
      </c>
      <c r="Q2721">
        <v>489</v>
      </c>
      <c r="R2721" t="s">
        <v>6067</v>
      </c>
    </row>
    <row r="2722" spans="1:19" ht="14.25" customHeight="1" x14ac:dyDescent="0.3">
      <c r="A2722" t="s">
        <v>5409</v>
      </c>
      <c r="B2722" t="s">
        <v>824</v>
      </c>
      <c r="C2722" t="s">
        <v>3538</v>
      </c>
      <c r="D2722" t="s">
        <v>5522</v>
      </c>
      <c r="E2722" t="s">
        <v>5523</v>
      </c>
      <c r="F2722" t="s">
        <v>6059</v>
      </c>
      <c r="G2722" s="2" t="str">
        <f>HYPERLINK("https://www.instagram.com/p/Bg8UFgOgOT0")</f>
        <v>https://www.instagram.com/p/Bg8UFgOgOT0</v>
      </c>
      <c r="H2722" t="s">
        <v>6062</v>
      </c>
      <c r="I2722" t="s">
        <v>5524</v>
      </c>
      <c r="J2722" s="2" t="str">
        <f>HYPERLINK("http://instagram.com/pavloburlaka1996")</f>
        <v>http://instagram.com/pavloburlaka1996</v>
      </c>
      <c r="K2722">
        <v>234</v>
      </c>
      <c r="L2722" t="s">
        <v>6063</v>
      </c>
      <c r="N2722" t="s">
        <v>262</v>
      </c>
      <c r="O2722" t="s">
        <v>5524</v>
      </c>
      <c r="P2722" s="2" t="str">
        <f>HYPERLINK("http://instagram.com/pavloburlaka1996")</f>
        <v>http://instagram.com/pavloburlaka1996</v>
      </c>
      <c r="Q2722">
        <v>234</v>
      </c>
      <c r="R2722" t="s">
        <v>6067</v>
      </c>
      <c r="S2722" t="s">
        <v>6073</v>
      </c>
    </row>
    <row r="2723" spans="1:19" ht="14.25" customHeight="1" x14ac:dyDescent="0.3">
      <c r="A2723" t="s">
        <v>5409</v>
      </c>
      <c r="B2723" t="s">
        <v>3252</v>
      </c>
      <c r="C2723" t="s">
        <v>3538</v>
      </c>
      <c r="D2723" t="s">
        <v>5522</v>
      </c>
      <c r="E2723" t="s">
        <v>5723</v>
      </c>
      <c r="F2723" t="s">
        <v>6059</v>
      </c>
      <c r="G2723" s="2" t="str">
        <f>HYPERLINK("https://www.instagram.com/p/Bg8UFgOgOT0")</f>
        <v>https://www.instagram.com/p/Bg8UFgOgOT0</v>
      </c>
      <c r="H2723" t="s">
        <v>6062</v>
      </c>
      <c r="I2723" t="s">
        <v>5524</v>
      </c>
      <c r="J2723" s="2" t="str">
        <f>HYPERLINK("http://instagram.com/pavloburlaka1996")</f>
        <v>http://instagram.com/pavloburlaka1996</v>
      </c>
      <c r="K2723">
        <v>234</v>
      </c>
      <c r="L2723" t="s">
        <v>6063</v>
      </c>
      <c r="N2723" t="s">
        <v>262</v>
      </c>
      <c r="O2723" t="s">
        <v>5524</v>
      </c>
      <c r="P2723" s="2" t="str">
        <f>HYPERLINK("http://instagram.com/pavloburlaka1996")</f>
        <v>http://instagram.com/pavloburlaka1996</v>
      </c>
      <c r="Q2723">
        <v>234</v>
      </c>
      <c r="R2723" t="s">
        <v>6067</v>
      </c>
      <c r="S2723" t="s">
        <v>6073</v>
      </c>
    </row>
    <row r="2724" spans="1:19" ht="14.25" customHeight="1" x14ac:dyDescent="0.3">
      <c r="A2724" t="s">
        <v>5409</v>
      </c>
      <c r="B2724" t="s">
        <v>5412</v>
      </c>
      <c r="C2724" t="s">
        <v>3538</v>
      </c>
      <c r="D2724" t="s">
        <v>4</v>
      </c>
      <c r="E2724" t="s">
        <v>5413</v>
      </c>
      <c r="F2724" t="s">
        <v>6056</v>
      </c>
      <c r="G2724" s="2" t="str">
        <f>HYPERLINK("https://www.instagram.com/p/Bg9gefFhFR1")</f>
        <v>https://www.instagram.com/p/Bg9gefFhFR1</v>
      </c>
      <c r="H2724" t="s">
        <v>6062</v>
      </c>
      <c r="I2724" t="s">
        <v>5414</v>
      </c>
      <c r="J2724" s="2" t="str">
        <f>HYPERLINK("http://instagram.com/cherkassy_insta")</f>
        <v>http://instagram.com/cherkassy_insta</v>
      </c>
      <c r="K2724">
        <v>28158</v>
      </c>
      <c r="N2724" t="s">
        <v>262</v>
      </c>
      <c r="O2724" t="s">
        <v>5414</v>
      </c>
      <c r="P2724" s="2" t="str">
        <f>HYPERLINK("http://instagram.com/cherkassy_insta")</f>
        <v>http://instagram.com/cherkassy_insta</v>
      </c>
      <c r="Q2724">
        <v>28158</v>
      </c>
      <c r="R2724" t="s">
        <v>6067</v>
      </c>
    </row>
    <row r="2725" spans="1:19" ht="14.25" customHeight="1" x14ac:dyDescent="0.3">
      <c r="A2725" t="s">
        <v>5409</v>
      </c>
      <c r="B2725" t="s">
        <v>3537</v>
      </c>
      <c r="C2725" t="s">
        <v>3538</v>
      </c>
      <c r="D2725" t="s">
        <v>4</v>
      </c>
      <c r="E2725" t="s">
        <v>5413</v>
      </c>
      <c r="F2725" t="s">
        <v>6056</v>
      </c>
      <c r="G2725" s="2" t="str">
        <f>HYPERLINK("https://www.instagram.com/p/Bg9gUf5FRXK")</f>
        <v>https://www.instagram.com/p/Bg9gUf5FRXK</v>
      </c>
      <c r="H2725" t="s">
        <v>6062</v>
      </c>
      <c r="I2725" t="s">
        <v>5414</v>
      </c>
      <c r="J2725" s="2" t="str">
        <f>HYPERLINK("http://instagram.com/people_in_che")</f>
        <v>http://instagram.com/people_in_che</v>
      </c>
      <c r="K2725">
        <v>24696</v>
      </c>
      <c r="N2725" t="s">
        <v>262</v>
      </c>
      <c r="O2725" t="s">
        <v>5414</v>
      </c>
      <c r="P2725" s="2" t="str">
        <f>HYPERLINK("http://instagram.com/people_in_che")</f>
        <v>http://instagram.com/people_in_che</v>
      </c>
      <c r="Q2725">
        <v>24696</v>
      </c>
      <c r="R2725" t="s">
        <v>6067</v>
      </c>
    </row>
    <row r="2726" spans="1:19" ht="14.25" customHeight="1" x14ac:dyDescent="0.3">
      <c r="A2726" t="s">
        <v>3527</v>
      </c>
      <c r="B2726" t="s">
        <v>2370</v>
      </c>
      <c r="C2726" t="s">
        <v>95</v>
      </c>
      <c r="D2726" t="s">
        <v>4</v>
      </c>
      <c r="E2726" t="s">
        <v>3646</v>
      </c>
      <c r="F2726" t="s">
        <v>6056</v>
      </c>
      <c r="G2726" s="2" t="str">
        <f>HYPERLINK("https://www.instagram.com/p/BhFFeKGFp0H")</f>
        <v>https://www.instagram.com/p/BhFFeKGFp0H</v>
      </c>
      <c r="H2726" t="s">
        <v>6061</v>
      </c>
      <c r="I2726" t="s">
        <v>4</v>
      </c>
      <c r="J2726" s="2" t="str">
        <f>HYPERLINK("http://instagram.com/monobank._.ua")</f>
        <v>http://instagram.com/monobank._.ua</v>
      </c>
      <c r="K2726">
        <v>38</v>
      </c>
      <c r="N2726" t="s">
        <v>262</v>
      </c>
      <c r="O2726" t="s">
        <v>4</v>
      </c>
      <c r="P2726" s="2" t="str">
        <f>HYPERLINK("http://instagram.com/monobank._.ua")</f>
        <v>http://instagram.com/monobank._.ua</v>
      </c>
      <c r="Q2726">
        <v>38</v>
      </c>
      <c r="R2726" t="s">
        <v>6067</v>
      </c>
    </row>
    <row r="2727" spans="1:19" ht="14.25" customHeight="1" x14ac:dyDescent="0.3">
      <c r="A2727" t="s">
        <v>4995</v>
      </c>
      <c r="B2727" t="s">
        <v>1322</v>
      </c>
      <c r="C2727" t="s">
        <v>3538</v>
      </c>
      <c r="D2727" t="s">
        <v>5201</v>
      </c>
      <c r="E2727" t="s">
        <v>5207</v>
      </c>
      <c r="F2727" t="s">
        <v>6059</v>
      </c>
      <c r="G2727" s="2" t="str">
        <f>HYPERLINK("https://www.instagram.com/p/Bg_G36pFB13")</f>
        <v>https://www.instagram.com/p/Bg_G36pFB13</v>
      </c>
      <c r="H2727" t="s">
        <v>6061</v>
      </c>
      <c r="I2727" t="s">
        <v>5208</v>
      </c>
      <c r="J2727" s="2" t="str">
        <f>HYPERLINK("http://instagram.com/annazakharenko_")</f>
        <v>http://instagram.com/annazakharenko_</v>
      </c>
      <c r="K2727">
        <v>363</v>
      </c>
      <c r="L2727" t="s">
        <v>6064</v>
      </c>
      <c r="N2727" t="s">
        <v>262</v>
      </c>
      <c r="O2727" t="s">
        <v>5204</v>
      </c>
      <c r="P2727" s="2" t="str">
        <f>HYPERLINK("http://instagram.com/katesemenova")</f>
        <v>http://instagram.com/katesemenova</v>
      </c>
      <c r="Q2727">
        <v>1289</v>
      </c>
      <c r="R2727" t="s">
        <v>6067</v>
      </c>
    </row>
    <row r="2728" spans="1:19" ht="14.25" customHeight="1" x14ac:dyDescent="0.3">
      <c r="A2728" t="s">
        <v>5409</v>
      </c>
      <c r="B2728" t="s">
        <v>3234</v>
      </c>
      <c r="C2728" t="s">
        <v>3538</v>
      </c>
      <c r="D2728" t="s">
        <v>5716</v>
      </c>
      <c r="E2728" t="s">
        <v>5717</v>
      </c>
      <c r="F2728" t="s">
        <v>6059</v>
      </c>
      <c r="G2728" s="2" t="str">
        <f>HYPERLINK("https://www.instagram.com/p/Bg7-bvdFUzs")</f>
        <v>https://www.instagram.com/p/Bg7-bvdFUzs</v>
      </c>
      <c r="H2728" t="s">
        <v>6061</v>
      </c>
      <c r="I2728" t="s">
        <v>5718</v>
      </c>
      <c r="J2728" s="2" t="str">
        <f>HYPERLINK("http://instagram.com/thecake.kherson")</f>
        <v>http://instagram.com/thecake.kherson</v>
      </c>
      <c r="K2728">
        <v>645</v>
      </c>
      <c r="N2728" t="s">
        <v>262</v>
      </c>
      <c r="O2728" t="s">
        <v>5719</v>
      </c>
      <c r="P2728" s="2" t="str">
        <f>HYPERLINK("http://instagram.com/anti.mebel")</f>
        <v>http://instagram.com/anti.mebel</v>
      </c>
      <c r="Q2728">
        <v>277</v>
      </c>
      <c r="R2728" t="s">
        <v>6067</v>
      </c>
      <c r="S2728" t="s">
        <v>6073</v>
      </c>
    </row>
    <row r="2729" spans="1:19" ht="14.25" customHeight="1" x14ac:dyDescent="0.3">
      <c r="A2729" t="s">
        <v>4995</v>
      </c>
      <c r="B2729" t="s">
        <v>48</v>
      </c>
      <c r="C2729" t="s">
        <v>3538</v>
      </c>
      <c r="D2729" t="s">
        <v>4</v>
      </c>
      <c r="E2729" t="s">
        <v>5205</v>
      </c>
      <c r="F2729" t="s">
        <v>6056</v>
      </c>
      <c r="G2729" s="2" t="str">
        <f>HYPERLINK("https://www.instagram.com/p/Bg_Ijkhj3i0")</f>
        <v>https://www.instagram.com/p/Bg_Ijkhj3i0</v>
      </c>
      <c r="H2729" t="s">
        <v>6061</v>
      </c>
      <c r="I2729" t="s">
        <v>5097</v>
      </c>
      <c r="J2729" s="2" t="str">
        <f>HYPERLINK("http://instagram.com/hemi4cuda")</f>
        <v>http://instagram.com/hemi4cuda</v>
      </c>
      <c r="K2729">
        <v>28</v>
      </c>
      <c r="L2729" t="s">
        <v>6063</v>
      </c>
      <c r="N2729" t="s">
        <v>262</v>
      </c>
      <c r="O2729" t="s">
        <v>5097</v>
      </c>
      <c r="P2729" s="2" t="str">
        <f>HYPERLINK("http://instagram.com/hemi4cuda")</f>
        <v>http://instagram.com/hemi4cuda</v>
      </c>
      <c r="Q2729">
        <v>28</v>
      </c>
      <c r="R2729" t="s">
        <v>6067</v>
      </c>
    </row>
    <row r="2730" spans="1:19" ht="14.25" customHeight="1" x14ac:dyDescent="0.3">
      <c r="A2730" t="s">
        <v>2225</v>
      </c>
      <c r="B2730" t="s">
        <v>3486</v>
      </c>
      <c r="C2730" t="s">
        <v>95</v>
      </c>
      <c r="D2730" t="s">
        <v>4</v>
      </c>
      <c r="E2730" t="s">
        <v>3487</v>
      </c>
      <c r="F2730" t="s">
        <v>6056</v>
      </c>
      <c r="G2730" s="2" t="str">
        <f>HYPERLINK("https://www.instagram.com/p/BhFgcQHh1z4")</f>
        <v>https://www.instagram.com/p/BhFgcQHh1z4</v>
      </c>
      <c r="H2730" t="s">
        <v>6061</v>
      </c>
      <c r="I2730" t="s">
        <v>3240</v>
      </c>
      <c r="J2730" s="2" t="str">
        <f>HYPERLINK("http://instagram.com/dostigator44")</f>
        <v>http://instagram.com/dostigator44</v>
      </c>
      <c r="K2730">
        <v>3</v>
      </c>
      <c r="N2730" t="s">
        <v>262</v>
      </c>
      <c r="O2730" t="s">
        <v>3240</v>
      </c>
      <c r="P2730" s="2" t="str">
        <f>HYPERLINK("http://instagram.com/dostigator44")</f>
        <v>http://instagram.com/dostigator44</v>
      </c>
      <c r="Q2730">
        <v>3</v>
      </c>
      <c r="R2730" t="s">
        <v>6067</v>
      </c>
    </row>
    <row r="2731" spans="1:19" ht="14.25" customHeight="1" x14ac:dyDescent="0.3">
      <c r="A2731" t="s">
        <v>2225</v>
      </c>
      <c r="B2731" t="s">
        <v>3247</v>
      </c>
      <c r="C2731" t="s">
        <v>95</v>
      </c>
      <c r="D2731" t="s">
        <v>3248</v>
      </c>
      <c r="E2731" t="s">
        <v>3249</v>
      </c>
      <c r="F2731" t="s">
        <v>6059</v>
      </c>
      <c r="G2731" s="2" t="str">
        <f>HYPERLINK("https://www.instagram.com/p/BhGq4rwBS-l")</f>
        <v>https://www.instagram.com/p/BhGq4rwBS-l</v>
      </c>
      <c r="H2731" t="s">
        <v>6061</v>
      </c>
      <c r="I2731" t="s">
        <v>3250</v>
      </c>
      <c r="J2731" s="2" t="str">
        <f>HYPERLINK("http://instagram.com/viktorya.petrova_")</f>
        <v>http://instagram.com/viktorya.petrova_</v>
      </c>
      <c r="K2731">
        <v>794</v>
      </c>
      <c r="N2731" t="s">
        <v>262</v>
      </c>
      <c r="O2731" t="s">
        <v>3251</v>
      </c>
      <c r="P2731" s="2" t="str">
        <f>HYPERLINK("http://instagram.com/wow.freedom")</f>
        <v>http://instagram.com/wow.freedom</v>
      </c>
      <c r="Q2731">
        <v>418</v>
      </c>
      <c r="R2731" t="s">
        <v>6067</v>
      </c>
    </row>
    <row r="2732" spans="1:19" ht="14.25" customHeight="1" x14ac:dyDescent="0.3">
      <c r="A2732" t="s">
        <v>4439</v>
      </c>
      <c r="B2732" t="s">
        <v>1466</v>
      </c>
      <c r="C2732" t="s">
        <v>3538</v>
      </c>
      <c r="D2732" t="s">
        <v>4</v>
      </c>
      <c r="E2732" t="s">
        <v>4745</v>
      </c>
      <c r="F2732" t="s">
        <v>6058</v>
      </c>
      <c r="G2732" s="2" t="str">
        <f>HYPERLINK("https://www.instagram.com/p/BhBZZ_IgvIt")</f>
        <v>https://www.instagram.com/p/BhBZZ_IgvIt</v>
      </c>
      <c r="H2732" t="s">
        <v>6061</v>
      </c>
      <c r="I2732" t="s">
        <v>408</v>
      </c>
      <c r="J2732" s="2" t="str">
        <f>HYPERLINK("http://instagram.com/monobank__ua")</f>
        <v>http://instagram.com/monobank__ua</v>
      </c>
      <c r="K2732">
        <v>873</v>
      </c>
      <c r="N2732" t="s">
        <v>262</v>
      </c>
      <c r="O2732" t="s">
        <v>408</v>
      </c>
      <c r="P2732" s="2" t="str">
        <f>HYPERLINK("http://instagram.com/monobank__ua")</f>
        <v>http://instagram.com/monobank__ua</v>
      </c>
      <c r="Q2732">
        <v>873</v>
      </c>
      <c r="R2732" t="s">
        <v>6067</v>
      </c>
      <c r="S2732" t="s">
        <v>6073</v>
      </c>
    </row>
    <row r="2733" spans="1:19" ht="14.25" customHeight="1" x14ac:dyDescent="0.3">
      <c r="A2733" t="s">
        <v>5409</v>
      </c>
      <c r="B2733" t="s">
        <v>3835</v>
      </c>
      <c r="C2733" t="s">
        <v>3538</v>
      </c>
      <c r="D2733" t="s">
        <v>5543</v>
      </c>
      <c r="E2733" t="s">
        <v>5544</v>
      </c>
      <c r="F2733" t="s">
        <v>6059</v>
      </c>
      <c r="G2733" s="2" t="str">
        <f>HYPERLINK("https://www.instagram.com/p/Bg8b4vRhaFE")</f>
        <v>https://www.instagram.com/p/Bg8b4vRhaFE</v>
      </c>
      <c r="H2733" t="s">
        <v>6061</v>
      </c>
      <c r="I2733" t="s">
        <v>2350</v>
      </c>
      <c r="J2733" s="2" t="str">
        <f>HYPERLINK("http://instagram.com/monobank.com.ua")</f>
        <v>http://instagram.com/monobank.com.ua</v>
      </c>
      <c r="K2733">
        <v>5349</v>
      </c>
      <c r="N2733" t="s">
        <v>262</v>
      </c>
      <c r="O2733" t="s">
        <v>5545</v>
      </c>
      <c r="P2733" s="2" t="str">
        <f>HYPERLINK("http://instagram.com/mashaoliynik1907")</f>
        <v>http://instagram.com/mashaoliynik1907</v>
      </c>
      <c r="Q2733">
        <v>216</v>
      </c>
      <c r="R2733" t="s">
        <v>6067</v>
      </c>
    </row>
    <row r="2734" spans="1:19" ht="14.25" customHeight="1" x14ac:dyDescent="0.3">
      <c r="A2734" t="s">
        <v>2225</v>
      </c>
      <c r="B2734" t="s">
        <v>2348</v>
      </c>
      <c r="C2734" t="s">
        <v>95</v>
      </c>
      <c r="D2734" t="s">
        <v>4</v>
      </c>
      <c r="E2734" t="s">
        <v>2349</v>
      </c>
      <c r="F2734" t="s">
        <v>6056</v>
      </c>
      <c r="G2734" s="2" t="str">
        <f>HYPERLINK("https://www.instagram.com/p/BhHrQdAnJ-z")</f>
        <v>https://www.instagram.com/p/BhHrQdAnJ-z</v>
      </c>
      <c r="H2734" t="s">
        <v>6061</v>
      </c>
      <c r="I2734" t="s">
        <v>2350</v>
      </c>
      <c r="J2734" s="2" t="str">
        <f>HYPERLINK("http://instagram.com/monobank_universal")</f>
        <v>http://instagram.com/monobank_universal</v>
      </c>
      <c r="K2734">
        <v>17</v>
      </c>
      <c r="N2734" t="s">
        <v>262</v>
      </c>
      <c r="O2734" t="s">
        <v>2350</v>
      </c>
      <c r="P2734" s="2" t="str">
        <f>HYPERLINK("http://instagram.com/monobank_universal")</f>
        <v>http://instagram.com/monobank_universal</v>
      </c>
      <c r="Q2734">
        <v>17</v>
      </c>
      <c r="R2734" t="s">
        <v>6067</v>
      </c>
    </row>
    <row r="2735" spans="1:19" ht="14.25" customHeight="1" x14ac:dyDescent="0.3">
      <c r="A2735" t="s">
        <v>4995</v>
      </c>
      <c r="B2735" t="s">
        <v>3867</v>
      </c>
      <c r="C2735" t="s">
        <v>3538</v>
      </c>
      <c r="D2735" t="s">
        <v>5095</v>
      </c>
      <c r="E2735" t="s">
        <v>5096</v>
      </c>
      <c r="F2735" t="s">
        <v>6059</v>
      </c>
      <c r="G2735" s="2" t="str">
        <f>HYPERLINK("https://www.instagram.com/p/Bg_Ijkhj3i0")</f>
        <v>https://www.instagram.com/p/Bg_Ijkhj3i0</v>
      </c>
      <c r="H2735" t="s">
        <v>6061</v>
      </c>
      <c r="I2735" t="s">
        <v>2350</v>
      </c>
      <c r="J2735" s="2" t="str">
        <f>HYPERLINK("http://instagram.com/monobank.com.ua")</f>
        <v>http://instagram.com/monobank.com.ua</v>
      </c>
      <c r="K2735">
        <v>5349</v>
      </c>
      <c r="N2735" t="s">
        <v>262</v>
      </c>
      <c r="O2735" t="s">
        <v>5097</v>
      </c>
      <c r="P2735" s="2" t="str">
        <f>HYPERLINK("http://instagram.com/hemi4cuda")</f>
        <v>http://instagram.com/hemi4cuda</v>
      </c>
      <c r="Q2735">
        <v>28</v>
      </c>
      <c r="R2735" t="s">
        <v>6067</v>
      </c>
    </row>
    <row r="2736" spans="1:19" ht="14.25" customHeight="1" x14ac:dyDescent="0.3">
      <c r="A2736" t="s">
        <v>5409</v>
      </c>
      <c r="B2736" t="s">
        <v>814</v>
      </c>
      <c r="C2736" t="s">
        <v>3538</v>
      </c>
      <c r="D2736" t="s">
        <v>4</v>
      </c>
      <c r="E2736" t="s">
        <v>5507</v>
      </c>
      <c r="F2736" t="s">
        <v>6056</v>
      </c>
      <c r="G2736" s="2" t="str">
        <f>HYPERLINK("https://www.instagram.com/p/Bg9K4LJHYq4")</f>
        <v>https://www.instagram.com/p/Bg9K4LJHYq4</v>
      </c>
      <c r="H2736" t="s">
        <v>6061</v>
      </c>
      <c r="I2736" t="s">
        <v>5508</v>
      </c>
      <c r="J2736" s="2" t="str">
        <f>HYPERLINK("http://instagram.com/monobank.bonus")</f>
        <v>http://instagram.com/monobank.bonus</v>
      </c>
      <c r="K2736">
        <v>51</v>
      </c>
      <c r="N2736" t="s">
        <v>262</v>
      </c>
      <c r="O2736" t="s">
        <v>5508</v>
      </c>
      <c r="P2736" s="2" t="str">
        <f>HYPERLINK("http://instagram.com/monobank.bonus")</f>
        <v>http://instagram.com/monobank.bonus</v>
      </c>
      <c r="Q2736">
        <v>51</v>
      </c>
      <c r="R2736" t="s">
        <v>6067</v>
      </c>
      <c r="S2736" t="s">
        <v>6073</v>
      </c>
    </row>
    <row r="2737" spans="1:19" ht="14.25" customHeight="1" x14ac:dyDescent="0.3">
      <c r="A2737" t="s">
        <v>4995</v>
      </c>
      <c r="B2737" t="s">
        <v>129</v>
      </c>
      <c r="C2737" t="s">
        <v>3538</v>
      </c>
      <c r="D2737" t="s">
        <v>4</v>
      </c>
      <c r="E2737" t="s">
        <v>5235</v>
      </c>
      <c r="F2737" t="s">
        <v>6056</v>
      </c>
      <c r="G2737" s="2" t="str">
        <f>HYPERLINK("https://www.instagram.com/p/Bg-9A2Vjc5F")</f>
        <v>https://www.instagram.com/p/Bg-9A2Vjc5F</v>
      </c>
      <c r="H2737" t="s">
        <v>6061</v>
      </c>
      <c r="I2737" t="s">
        <v>5236</v>
      </c>
      <c r="J2737" s="2" t="str">
        <f>HYPERLINK("http://instagram.com/torshynina")</f>
        <v>http://instagram.com/torshynina</v>
      </c>
      <c r="K2737">
        <v>353</v>
      </c>
      <c r="L2737" t="s">
        <v>6064</v>
      </c>
      <c r="N2737" t="s">
        <v>262</v>
      </c>
      <c r="O2737" t="s">
        <v>5236</v>
      </c>
      <c r="P2737" s="2" t="str">
        <f>HYPERLINK("http://instagram.com/torshynina")</f>
        <v>http://instagram.com/torshynina</v>
      </c>
      <c r="Q2737">
        <v>353</v>
      </c>
      <c r="R2737" t="s">
        <v>6067</v>
      </c>
      <c r="S2737" t="s">
        <v>6073</v>
      </c>
    </row>
    <row r="2738" spans="1:19" ht="14.25" customHeight="1" x14ac:dyDescent="0.3">
      <c r="A2738" t="s">
        <v>1</v>
      </c>
      <c r="B2738" t="s">
        <v>361</v>
      </c>
      <c r="C2738" t="s">
        <v>95</v>
      </c>
      <c r="D2738" t="s">
        <v>4</v>
      </c>
      <c r="E2738" t="s">
        <v>362</v>
      </c>
      <c r="F2738" t="s">
        <v>6056</v>
      </c>
      <c r="G2738" s="2" t="str">
        <f>HYPERLINK("https://www.instagram.com/p/BhLjApABJo0")</f>
        <v>https://www.instagram.com/p/BhLjApABJo0</v>
      </c>
      <c r="H2738" t="s">
        <v>6061</v>
      </c>
      <c r="I2738" t="s">
        <v>360</v>
      </c>
      <c r="J2738" s="2" t="str">
        <f>HYPERLINK("http://instagram.com/glavpost.media")</f>
        <v>http://instagram.com/glavpost.media</v>
      </c>
      <c r="K2738">
        <v>156</v>
      </c>
      <c r="L2738" t="s">
        <v>6063</v>
      </c>
      <c r="N2738" t="s">
        <v>262</v>
      </c>
      <c r="O2738" t="s">
        <v>360</v>
      </c>
      <c r="P2738" s="2" t="str">
        <f>HYPERLINK("http://instagram.com/glavpost.media")</f>
        <v>http://instagram.com/glavpost.media</v>
      </c>
      <c r="Q2738">
        <v>156</v>
      </c>
      <c r="R2738" t="s">
        <v>6067</v>
      </c>
      <c r="S2738" t="s">
        <v>6073</v>
      </c>
    </row>
    <row r="2739" spans="1:19" ht="14.25" customHeight="1" x14ac:dyDescent="0.3">
      <c r="A2739" t="s">
        <v>629</v>
      </c>
      <c r="B2739" t="s">
        <v>1429</v>
      </c>
      <c r="C2739" t="s">
        <v>95</v>
      </c>
      <c r="D2739" t="s">
        <v>4</v>
      </c>
      <c r="E2739" t="s">
        <v>1430</v>
      </c>
      <c r="F2739" t="s">
        <v>6056</v>
      </c>
      <c r="G2739" s="2" t="str">
        <f>HYPERLINK("https://www.instagram.com/p/BhJJpNIh7WB")</f>
        <v>https://www.instagram.com/p/BhJJpNIh7WB</v>
      </c>
      <c r="H2739" t="s">
        <v>6061</v>
      </c>
      <c r="I2739" t="s">
        <v>1431</v>
      </c>
      <c r="J2739" s="2" t="str">
        <f>HYPERLINK("http://instagram.com/slivki_vs")</f>
        <v>http://instagram.com/slivki_vs</v>
      </c>
      <c r="K2739">
        <v>1515</v>
      </c>
      <c r="N2739" t="s">
        <v>262</v>
      </c>
      <c r="O2739" t="s">
        <v>1431</v>
      </c>
      <c r="P2739" s="2" t="str">
        <f>HYPERLINK("http://instagram.com/slivki_vs")</f>
        <v>http://instagram.com/slivki_vs</v>
      </c>
      <c r="Q2739">
        <v>1515</v>
      </c>
      <c r="R2739" t="s">
        <v>6067</v>
      </c>
      <c r="S2739" t="s">
        <v>6073</v>
      </c>
    </row>
    <row r="2740" spans="1:19" ht="14.25" customHeight="1" x14ac:dyDescent="0.3">
      <c r="A2740" t="s">
        <v>629</v>
      </c>
      <c r="B2740" t="s">
        <v>591</v>
      </c>
      <c r="C2740" t="s">
        <v>95</v>
      </c>
      <c r="D2740" t="s">
        <v>4</v>
      </c>
      <c r="E2740" t="s">
        <v>2166</v>
      </c>
      <c r="F2740" t="s">
        <v>6056</v>
      </c>
      <c r="G2740" s="2" t="str">
        <f>HYPERLINK("https://www.instagram.com/p/BhH7I4pACus")</f>
        <v>https://www.instagram.com/p/BhH7I4pACus</v>
      </c>
      <c r="H2740" t="s">
        <v>6061</v>
      </c>
      <c r="I2740" t="s">
        <v>2167</v>
      </c>
      <c r="J2740" s="2" t="str">
        <f>HYPERLINK("http://instagram.com/berezh_noy")</f>
        <v>http://instagram.com/berezh_noy</v>
      </c>
      <c r="K2740">
        <v>87</v>
      </c>
      <c r="L2740" t="s">
        <v>6063</v>
      </c>
      <c r="N2740" t="s">
        <v>262</v>
      </c>
      <c r="O2740" t="s">
        <v>2167</v>
      </c>
      <c r="P2740" s="2" t="str">
        <f>HYPERLINK("http://instagram.com/berezh_noy")</f>
        <v>http://instagram.com/berezh_noy</v>
      </c>
      <c r="Q2740">
        <v>87</v>
      </c>
      <c r="R2740" t="s">
        <v>6067</v>
      </c>
    </row>
    <row r="2741" spans="1:19" ht="14.25" customHeight="1" x14ac:dyDescent="0.3">
      <c r="A2741" t="s">
        <v>5409</v>
      </c>
      <c r="B2741" t="s">
        <v>3065</v>
      </c>
      <c r="C2741" t="s">
        <v>3538</v>
      </c>
      <c r="D2741" t="s">
        <v>5522</v>
      </c>
      <c r="E2741" t="s">
        <v>5607</v>
      </c>
      <c r="F2741" t="s">
        <v>6059</v>
      </c>
      <c r="G2741" s="2" t="str">
        <f>HYPERLINK("https://www.instagram.com/p/Bg8UFgOgOT0")</f>
        <v>https://www.instagram.com/p/Bg8UFgOgOT0</v>
      </c>
      <c r="H2741" t="s">
        <v>6061</v>
      </c>
      <c r="I2741" t="s">
        <v>5608</v>
      </c>
      <c r="J2741" s="2" t="str">
        <f>HYPERLINK("http://instagram.com/independent_lika")</f>
        <v>http://instagram.com/independent_lika</v>
      </c>
      <c r="K2741">
        <v>197</v>
      </c>
      <c r="L2741" t="s">
        <v>6064</v>
      </c>
      <c r="N2741" t="s">
        <v>262</v>
      </c>
      <c r="O2741" t="s">
        <v>5524</v>
      </c>
      <c r="P2741" s="2" t="str">
        <f>HYPERLINK("http://instagram.com/pavloburlaka1996")</f>
        <v>http://instagram.com/pavloburlaka1996</v>
      </c>
      <c r="Q2741">
        <v>234</v>
      </c>
      <c r="R2741" t="s">
        <v>6067</v>
      </c>
      <c r="S2741" t="s">
        <v>6073</v>
      </c>
    </row>
    <row r="2742" spans="1:19" ht="14.25" customHeight="1" x14ac:dyDescent="0.3">
      <c r="A2742" t="s">
        <v>5409</v>
      </c>
      <c r="B2742" t="s">
        <v>1377</v>
      </c>
      <c r="C2742" t="s">
        <v>3538</v>
      </c>
      <c r="D2742" t="s">
        <v>5522</v>
      </c>
      <c r="E2742" t="s">
        <v>5746</v>
      </c>
      <c r="F2742" t="s">
        <v>6059</v>
      </c>
      <c r="G2742" s="2" t="str">
        <f>HYPERLINK("https://www.instagram.com/p/Bg8UFgOgOT0")</f>
        <v>https://www.instagram.com/p/Bg8UFgOgOT0</v>
      </c>
      <c r="H2742" t="s">
        <v>6061</v>
      </c>
      <c r="I2742" t="s">
        <v>5608</v>
      </c>
      <c r="J2742" s="2" t="str">
        <f>HYPERLINK("http://instagram.com/independent_lika")</f>
        <v>http://instagram.com/independent_lika</v>
      </c>
      <c r="K2742">
        <v>197</v>
      </c>
      <c r="L2742" t="s">
        <v>6064</v>
      </c>
      <c r="N2742" t="s">
        <v>262</v>
      </c>
      <c r="O2742" t="s">
        <v>5524</v>
      </c>
      <c r="P2742" s="2" t="str">
        <f>HYPERLINK("http://instagram.com/pavloburlaka1996")</f>
        <v>http://instagram.com/pavloburlaka1996</v>
      </c>
      <c r="Q2742">
        <v>234</v>
      </c>
      <c r="R2742" t="s">
        <v>6067</v>
      </c>
      <c r="S2742" t="s">
        <v>6073</v>
      </c>
    </row>
    <row r="2743" spans="1:19" ht="14.25" customHeight="1" x14ac:dyDescent="0.3">
      <c r="A2743" t="s">
        <v>5409</v>
      </c>
      <c r="B2743" t="s">
        <v>1389</v>
      </c>
      <c r="C2743" t="s">
        <v>3538</v>
      </c>
      <c r="D2743" t="s">
        <v>5522</v>
      </c>
      <c r="E2743" t="s">
        <v>5756</v>
      </c>
      <c r="F2743" t="s">
        <v>6059</v>
      </c>
      <c r="G2743" s="2" t="str">
        <f>HYPERLINK("https://www.instagram.com/p/Bg8UFgOgOT0")</f>
        <v>https://www.instagram.com/p/Bg8UFgOgOT0</v>
      </c>
      <c r="H2743" t="s">
        <v>6061</v>
      </c>
      <c r="I2743" t="s">
        <v>5608</v>
      </c>
      <c r="J2743" s="2" t="str">
        <f>HYPERLINK("http://instagram.com/independent_lika")</f>
        <v>http://instagram.com/independent_lika</v>
      </c>
      <c r="K2743">
        <v>197</v>
      </c>
      <c r="L2743" t="s">
        <v>6064</v>
      </c>
      <c r="N2743" t="s">
        <v>262</v>
      </c>
      <c r="O2743" t="s">
        <v>5524</v>
      </c>
      <c r="P2743" s="2" t="str">
        <f>HYPERLINK("http://instagram.com/pavloburlaka1996")</f>
        <v>http://instagram.com/pavloburlaka1996</v>
      </c>
      <c r="Q2743">
        <v>234</v>
      </c>
      <c r="R2743" t="s">
        <v>6067</v>
      </c>
      <c r="S2743" t="s">
        <v>6073</v>
      </c>
    </row>
    <row r="2744" spans="1:19" ht="14.25" customHeight="1" x14ac:dyDescent="0.3">
      <c r="A2744" t="s">
        <v>4995</v>
      </c>
      <c r="B2744" t="s">
        <v>5366</v>
      </c>
      <c r="C2744" t="s">
        <v>3538</v>
      </c>
      <c r="D2744" t="s">
        <v>5367</v>
      </c>
      <c r="E2744" t="s">
        <v>5368</v>
      </c>
      <c r="F2744" t="s">
        <v>6059</v>
      </c>
      <c r="G2744" s="2" t="str">
        <f>HYPERLINK("https://www.instagram.com/p/Bg-VNg_BTDs")</f>
        <v>https://www.instagram.com/p/Bg-VNg_BTDs</v>
      </c>
      <c r="H2744" t="s">
        <v>6061</v>
      </c>
      <c r="I2744" t="s">
        <v>5369</v>
      </c>
      <c r="J2744" s="2" t="str">
        <f>HYPERLINK("http://instagram.com/obu4_insta_haip")</f>
        <v>http://instagram.com/obu4_insta_haip</v>
      </c>
      <c r="K2744">
        <v>87</v>
      </c>
      <c r="N2744" t="s">
        <v>262</v>
      </c>
      <c r="O2744" t="s">
        <v>2350</v>
      </c>
      <c r="P2744" s="2" t="str">
        <f>HYPERLINK("http://instagram.com/monobank.official")</f>
        <v>http://instagram.com/monobank.official</v>
      </c>
      <c r="Q2744">
        <v>926</v>
      </c>
      <c r="R2744" t="s">
        <v>6067</v>
      </c>
      <c r="S2744" t="s">
        <v>6073</v>
      </c>
    </row>
    <row r="2745" spans="1:19" ht="14.25" customHeight="1" x14ac:dyDescent="0.3">
      <c r="A2745" t="s">
        <v>5409</v>
      </c>
      <c r="B2745" t="s">
        <v>1418</v>
      </c>
      <c r="C2745" t="s">
        <v>3538</v>
      </c>
      <c r="D2745" t="s">
        <v>4</v>
      </c>
      <c r="E2745" t="s">
        <v>5777</v>
      </c>
      <c r="F2745" t="s">
        <v>6056</v>
      </c>
      <c r="G2745" s="2" t="str">
        <f>HYPERLINK("https://www.instagram.com/p/Bg8UFgOgOT0")</f>
        <v>https://www.instagram.com/p/Bg8UFgOgOT0</v>
      </c>
      <c r="H2745" t="s">
        <v>6061</v>
      </c>
      <c r="I2745" t="s">
        <v>5524</v>
      </c>
      <c r="J2745" s="2" t="str">
        <f>HYPERLINK("http://instagram.com/pavloburlaka1996")</f>
        <v>http://instagram.com/pavloburlaka1996</v>
      </c>
      <c r="K2745">
        <v>234</v>
      </c>
      <c r="L2745" t="s">
        <v>6063</v>
      </c>
      <c r="N2745" t="s">
        <v>262</v>
      </c>
      <c r="O2745" t="s">
        <v>5524</v>
      </c>
      <c r="P2745" s="2" t="str">
        <f>HYPERLINK("http://instagram.com/pavloburlaka1996")</f>
        <v>http://instagram.com/pavloburlaka1996</v>
      </c>
      <c r="Q2745">
        <v>234</v>
      </c>
      <c r="R2745" t="s">
        <v>6067</v>
      </c>
      <c r="S2745" t="s">
        <v>6073</v>
      </c>
    </row>
    <row r="2746" spans="1:19" ht="14.25" customHeight="1" x14ac:dyDescent="0.3">
      <c r="A2746" t="s">
        <v>4439</v>
      </c>
      <c r="B2746" t="s">
        <v>2115</v>
      </c>
      <c r="C2746" t="s">
        <v>3538</v>
      </c>
      <c r="D2746" t="s">
        <v>522</v>
      </c>
      <c r="E2746" t="s">
        <v>4929</v>
      </c>
      <c r="F2746" t="s">
        <v>6059</v>
      </c>
      <c r="G2746" s="2" t="str">
        <f>HYPERLINK("https://www.instagram.com/p/Bg84Pymgf1s")</f>
        <v>https://www.instagram.com/p/Bg84Pymgf1s</v>
      </c>
      <c r="H2746" t="s">
        <v>6061</v>
      </c>
      <c r="I2746" t="s">
        <v>4930</v>
      </c>
      <c r="J2746" s="2" t="str">
        <f>HYPERLINK("http://instagram.com/uds.game.vrn")</f>
        <v>http://instagram.com/uds.game.vrn</v>
      </c>
      <c r="K2746">
        <v>1549</v>
      </c>
      <c r="N2746" t="s">
        <v>262</v>
      </c>
      <c r="O2746" t="s">
        <v>4931</v>
      </c>
      <c r="P2746" s="2" t="str">
        <f>HYPERLINK("http://instagram.com/weblancer_net")</f>
        <v>http://instagram.com/weblancer_net</v>
      </c>
      <c r="Q2746">
        <v>633</v>
      </c>
      <c r="R2746" t="s">
        <v>6067</v>
      </c>
    </row>
    <row r="2747" spans="1:19" ht="14.25" customHeight="1" x14ac:dyDescent="0.3">
      <c r="A2747" t="s">
        <v>5409</v>
      </c>
      <c r="B2747" t="s">
        <v>5988</v>
      </c>
      <c r="C2747" t="s">
        <v>3538</v>
      </c>
      <c r="D2747" t="s">
        <v>5989</v>
      </c>
      <c r="E2747" t="s">
        <v>5990</v>
      </c>
      <c r="F2747" t="s">
        <v>6056</v>
      </c>
      <c r="G2747" s="2" t="str">
        <f>HYPERLINK("http://k750.media/post/2252")</f>
        <v>http://k750.media/post/2252</v>
      </c>
      <c r="H2747" t="s">
        <v>6061</v>
      </c>
      <c r="I2747" t="s">
        <v>5991</v>
      </c>
      <c r="J2747" s="2" t="str">
        <f>HYPERLINK("http://k750.media")</f>
        <v>http://k750.media</v>
      </c>
      <c r="N2747" t="s">
        <v>5991</v>
      </c>
      <c r="R2747" t="s">
        <v>6069</v>
      </c>
      <c r="S2747" t="s">
        <v>6073</v>
      </c>
    </row>
    <row r="2748" spans="1:19" ht="14.25" customHeight="1" x14ac:dyDescent="0.3">
      <c r="A2748" t="s">
        <v>3527</v>
      </c>
      <c r="B2748" t="s">
        <v>1832</v>
      </c>
      <c r="C2748" t="s">
        <v>3538</v>
      </c>
      <c r="D2748" t="s">
        <v>4326</v>
      </c>
      <c r="E2748" t="s">
        <v>4327</v>
      </c>
      <c r="F2748" t="s">
        <v>6056</v>
      </c>
      <c r="G2748" s="2" t="str">
        <f>HYPERLINK("https://kfund-media.com/ru/5-byznes-yventov-aprelya-kotorye-nelzya-propustyt")</f>
        <v>https://kfund-media.com/ru/5-byznes-yventov-aprelya-kotorye-nelzya-propustyt</v>
      </c>
      <c r="H2748" t="s">
        <v>6062</v>
      </c>
      <c r="I2748" t="s">
        <v>4328</v>
      </c>
      <c r="J2748" s="2" t="str">
        <f>HYPERLINK("http://kfund-media.com")</f>
        <v>http://kfund-media.com</v>
      </c>
      <c r="N2748" t="s">
        <v>4329</v>
      </c>
      <c r="R2748" t="s">
        <v>6069</v>
      </c>
      <c r="S2748" t="s">
        <v>6073</v>
      </c>
    </row>
    <row r="2749" spans="1:19" ht="14.25" customHeight="1" x14ac:dyDescent="0.3">
      <c r="A2749" t="s">
        <v>629</v>
      </c>
      <c r="B2749" t="s">
        <v>700</v>
      </c>
      <c r="C2749" t="s">
        <v>95</v>
      </c>
      <c r="D2749" t="s">
        <v>701</v>
      </c>
      <c r="E2749" t="s">
        <v>702</v>
      </c>
      <c r="F2749" t="s">
        <v>6056</v>
      </c>
      <c r="G2749" s="2" t="str">
        <f>HYPERLINK("https://www.kharkovforum.com/showthread.php?t=5017739&amp;page=5#post63078554")</f>
        <v>https://www.kharkovforum.com/showthread.php?t=5017739&amp;page=5#post63078554</v>
      </c>
      <c r="H2749" t="s">
        <v>6062</v>
      </c>
      <c r="I2749" t="s">
        <v>703</v>
      </c>
      <c r="J2749" s="2" t="str">
        <f>HYPERLINK("https://www.kharkovforum.com/member.php?u=2523")</f>
        <v>https://www.kharkovforum.com/member.php?u=2523</v>
      </c>
      <c r="L2749" t="s">
        <v>6063</v>
      </c>
      <c r="N2749" t="s">
        <v>113</v>
      </c>
      <c r="O2749" t="s">
        <v>114</v>
      </c>
      <c r="P2749" s="2" t="str">
        <f>HYPERLINK("https://www.kharkovforum.com/forumdisplay.php?f=3")</f>
        <v>https://www.kharkovforum.com/forumdisplay.php?f=3</v>
      </c>
      <c r="R2749" t="s">
        <v>6066</v>
      </c>
      <c r="S2749" t="s">
        <v>6082</v>
      </c>
    </row>
    <row r="2750" spans="1:19" ht="14.25" customHeight="1" x14ac:dyDescent="0.3">
      <c r="A2750" t="s">
        <v>1</v>
      </c>
      <c r="B2750" t="s">
        <v>109</v>
      </c>
      <c r="C2750" t="s">
        <v>95</v>
      </c>
      <c r="D2750" t="s">
        <v>110</v>
      </c>
      <c r="E2750" t="s">
        <v>111</v>
      </c>
      <c r="F2750" t="s">
        <v>6056</v>
      </c>
      <c r="G2750" s="2" t="str">
        <f>HYPERLINK("https://www.kharkovforum.com/showthread.php?t=5017873&amp;page=3#post63082474")</f>
        <v>https://www.kharkovforum.com/showthread.php?t=5017873&amp;page=3#post63082474</v>
      </c>
      <c r="H2750" t="s">
        <v>6062</v>
      </c>
      <c r="I2750" t="s">
        <v>112</v>
      </c>
      <c r="J2750" s="2" t="str">
        <f>HYPERLINK("https://www.kharkovforum.com/member.php?u=12219")</f>
        <v>https://www.kharkovforum.com/member.php?u=12219</v>
      </c>
      <c r="L2750" t="s">
        <v>6063</v>
      </c>
      <c r="N2750" t="s">
        <v>113</v>
      </c>
      <c r="O2750" t="s">
        <v>114</v>
      </c>
      <c r="P2750" s="2" t="str">
        <f>HYPERLINK("https://www.kharkovforum.com/forumdisplay.php?f=3")</f>
        <v>https://www.kharkovforum.com/forumdisplay.php?f=3</v>
      </c>
      <c r="R2750" t="s">
        <v>6066</v>
      </c>
      <c r="S2750" t="s">
        <v>6073</v>
      </c>
    </row>
    <row r="2751" spans="1:19" ht="14.25" customHeight="1" x14ac:dyDescent="0.3">
      <c r="A2751" t="s">
        <v>5409</v>
      </c>
      <c r="B2751" t="s">
        <v>1985</v>
      </c>
      <c r="C2751" t="s">
        <v>3538</v>
      </c>
      <c r="D2751" t="s">
        <v>5925</v>
      </c>
      <c r="E2751" t="s">
        <v>5926</v>
      </c>
      <c r="F2751" t="s">
        <v>6056</v>
      </c>
      <c r="G2751" s="2" t="str">
        <f>HYPERLINK("https://www.kharkovforum.com/showthread.php?t=4941840&amp;page=156#post63030937")</f>
        <v>https://www.kharkovforum.com/showthread.php?t=4941840&amp;page=156#post63030937</v>
      </c>
      <c r="H2751" t="s">
        <v>6061</v>
      </c>
      <c r="I2751" t="s">
        <v>5927</v>
      </c>
      <c r="J2751" s="2" t="str">
        <f>HYPERLINK("https://www.kharkovforum.com/member.php?u=7484")</f>
        <v>https://www.kharkovforum.com/member.php?u=7484</v>
      </c>
      <c r="L2751" t="s">
        <v>6063</v>
      </c>
      <c r="N2751" t="s">
        <v>113</v>
      </c>
      <c r="O2751" t="s">
        <v>114</v>
      </c>
      <c r="P2751" s="2" t="str">
        <f>HYPERLINK("https://www.kharkovforum.com/forumdisplay.php?f=3")</f>
        <v>https://www.kharkovforum.com/forumdisplay.php?f=3</v>
      </c>
      <c r="R2751" t="s">
        <v>6066</v>
      </c>
      <c r="S2751" t="s">
        <v>6073</v>
      </c>
    </row>
    <row r="2752" spans="1:19" ht="14.25" customHeight="1" x14ac:dyDescent="0.3">
      <c r="A2752" t="s">
        <v>2225</v>
      </c>
      <c r="B2752" t="s">
        <v>3017</v>
      </c>
      <c r="C2752" t="s">
        <v>95</v>
      </c>
      <c r="D2752" t="s">
        <v>3021</v>
      </c>
      <c r="E2752" t="s">
        <v>3022</v>
      </c>
      <c r="F2752" t="s">
        <v>6056</v>
      </c>
      <c r="G2752" s="2" t="str">
        <f>HYPERLINK("http://logist.fm/news/e-awards-2018-ukrayinci-obirayut-naykrashchih-v-sferi-e-commerce-progolosuvati-mozhe-kozhen")</f>
        <v>http://logist.fm/news/e-awards-2018-ukrayinci-obirayut-naykrashchih-v-sferi-e-commerce-progolosuvati-mozhe-kozhen</v>
      </c>
      <c r="H2752" t="s">
        <v>6062</v>
      </c>
      <c r="I2752" t="s">
        <v>3023</v>
      </c>
      <c r="J2752" s="2" t="str">
        <f>HYPERLINK("http://logist.fm")</f>
        <v>http://logist.fm</v>
      </c>
      <c r="N2752" t="s">
        <v>3023</v>
      </c>
      <c r="R2752" t="s">
        <v>6069</v>
      </c>
      <c r="S2752" t="s">
        <v>6073</v>
      </c>
    </row>
    <row r="2753" spans="1:19" ht="14.25" customHeight="1" x14ac:dyDescent="0.3">
      <c r="A2753" t="s">
        <v>1</v>
      </c>
      <c r="B2753" t="s">
        <v>226</v>
      </c>
      <c r="C2753" t="s">
        <v>95</v>
      </c>
      <c r="D2753" t="s">
        <v>228</v>
      </c>
      <c r="E2753" t="s">
        <v>229</v>
      </c>
      <c r="F2753" t="s">
        <v>6056</v>
      </c>
      <c r="G2753" s="2" t="str">
        <f>HYPERLINK("https://mind.ua/news/20183610-igov-perejde-do-dnipropetrovskoyi-oda-dubilet")</f>
        <v>https://mind.ua/news/20183610-igov-perejde-do-dnipropetrovskoyi-oda-dubilet</v>
      </c>
      <c r="H2753" t="s">
        <v>6062</v>
      </c>
      <c r="I2753" t="s">
        <v>230</v>
      </c>
      <c r="J2753" s="2" t="str">
        <f>HYPERLINK("http://mind.ua")</f>
        <v>http://mind.ua</v>
      </c>
      <c r="N2753" t="s">
        <v>230</v>
      </c>
      <c r="R2753" t="s">
        <v>6069</v>
      </c>
      <c r="S2753" t="s">
        <v>6073</v>
      </c>
    </row>
    <row r="2754" spans="1:19" ht="14.25" customHeight="1" x14ac:dyDescent="0.3">
      <c r="A2754" t="s">
        <v>629</v>
      </c>
      <c r="B2754" t="s">
        <v>1089</v>
      </c>
      <c r="C2754" t="s">
        <v>95</v>
      </c>
      <c r="D2754" t="s">
        <v>1090</v>
      </c>
      <c r="E2754" t="s">
        <v>1091</v>
      </c>
      <c r="F2754" t="s">
        <v>6059</v>
      </c>
      <c r="G2754" s="2" t="str">
        <f>HYPERLINK("https://minfin.com.ua/company/monobank/review/113595/#com3383882")</f>
        <v>https://minfin.com.ua/company/monobank/review/113595/#com3383882</v>
      </c>
      <c r="H2754" t="s">
        <v>6060</v>
      </c>
      <c r="I2754" t="s">
        <v>1092</v>
      </c>
      <c r="J2754" s="2" t="str">
        <f>HYPERLINK("https://minfin.com.ua/users/ddimih/")</f>
        <v>https://minfin.com.ua/users/ddimih/</v>
      </c>
      <c r="N2754" t="s">
        <v>53</v>
      </c>
      <c r="R2754" t="s">
        <v>6071</v>
      </c>
      <c r="S2754" t="s">
        <v>6073</v>
      </c>
    </row>
    <row r="2755" spans="1:19" ht="14.25" customHeight="1" x14ac:dyDescent="0.3">
      <c r="A2755" t="s">
        <v>1</v>
      </c>
      <c r="B2755" t="s">
        <v>48</v>
      </c>
      <c r="C2755" t="s">
        <v>49</v>
      </c>
      <c r="D2755" t="s">
        <v>50</v>
      </c>
      <c r="E2755" t="s">
        <v>51</v>
      </c>
      <c r="F2755" t="s">
        <v>6059</v>
      </c>
      <c r="G2755" s="2" t="str">
        <f>HYPERLINK("https://minfin.com.ua/company/monobank/review/116220/#com3384355")</f>
        <v>https://minfin.com.ua/company/monobank/review/116220/#com3384355</v>
      </c>
      <c r="H2755" t="s">
        <v>6060</v>
      </c>
      <c r="I2755" t="s">
        <v>52</v>
      </c>
      <c r="J2755" s="2" t="str">
        <f>HYPERLINK("https://minfin.com.ua/users/monoobman/")</f>
        <v>https://minfin.com.ua/users/monoobman/</v>
      </c>
      <c r="N2755" t="s">
        <v>53</v>
      </c>
      <c r="O2755" t="s">
        <v>4</v>
      </c>
      <c r="P2755" t="s">
        <v>4</v>
      </c>
      <c r="R2755" t="s">
        <v>6071</v>
      </c>
      <c r="S2755" t="s">
        <v>6073</v>
      </c>
    </row>
    <row r="2756" spans="1:19" ht="14.25" customHeight="1" x14ac:dyDescent="0.3">
      <c r="A2756" t="s">
        <v>1</v>
      </c>
      <c r="B2756" t="s">
        <v>90</v>
      </c>
      <c r="C2756" t="s">
        <v>78</v>
      </c>
      <c r="D2756" t="s">
        <v>50</v>
      </c>
      <c r="E2756" t="s">
        <v>91</v>
      </c>
      <c r="F2756" t="s">
        <v>6059</v>
      </c>
      <c r="G2756" s="2" t="str">
        <f>HYPERLINK("https://minfin.com.ua/company/monobank/review/116220/#com3384316")</f>
        <v>https://minfin.com.ua/company/monobank/review/116220/#com3384316</v>
      </c>
      <c r="H2756" t="s">
        <v>6060</v>
      </c>
      <c r="I2756" t="s">
        <v>52</v>
      </c>
      <c r="J2756" s="2" t="str">
        <f>HYPERLINK("https://minfin.com.ua/users/monoobman/")</f>
        <v>https://minfin.com.ua/users/monoobman/</v>
      </c>
      <c r="N2756" t="s">
        <v>53</v>
      </c>
      <c r="O2756" t="s">
        <v>4</v>
      </c>
      <c r="P2756" t="s">
        <v>4</v>
      </c>
      <c r="R2756" t="s">
        <v>6071</v>
      </c>
      <c r="S2756" t="s">
        <v>6073</v>
      </c>
    </row>
    <row r="2757" spans="1:19" ht="14.25" customHeight="1" x14ac:dyDescent="0.3">
      <c r="A2757" t="s">
        <v>1</v>
      </c>
      <c r="B2757" t="s">
        <v>124</v>
      </c>
      <c r="C2757" t="s">
        <v>95</v>
      </c>
      <c r="D2757" t="s">
        <v>50</v>
      </c>
      <c r="E2757" t="s">
        <v>125</v>
      </c>
      <c r="F2757" t="s">
        <v>6059</v>
      </c>
      <c r="G2757" s="2" t="str">
        <f>HYPERLINK("https://minfin.com.ua/company/monobank/review/116220/#com3384263")</f>
        <v>https://minfin.com.ua/company/monobank/review/116220/#com3384263</v>
      </c>
      <c r="H2757" t="s">
        <v>6060</v>
      </c>
      <c r="I2757" t="s">
        <v>52</v>
      </c>
      <c r="J2757" s="2" t="str">
        <f>HYPERLINK("https://minfin.com.ua/users/monoobman/")</f>
        <v>https://minfin.com.ua/users/monoobman/</v>
      </c>
      <c r="N2757" t="s">
        <v>53</v>
      </c>
      <c r="R2757" t="s">
        <v>6071</v>
      </c>
      <c r="S2757" t="s">
        <v>6073</v>
      </c>
    </row>
    <row r="2758" spans="1:19" ht="14.25" customHeight="1" x14ac:dyDescent="0.3">
      <c r="A2758" t="s">
        <v>1</v>
      </c>
      <c r="B2758" t="s">
        <v>158</v>
      </c>
      <c r="C2758" t="s">
        <v>95</v>
      </c>
      <c r="D2758" t="s">
        <v>50</v>
      </c>
      <c r="E2758" t="s">
        <v>161</v>
      </c>
      <c r="F2758" t="s">
        <v>6059</v>
      </c>
      <c r="G2758" s="2" t="str">
        <f>HYPERLINK("https://minfin.com.ua/company/monobank/review/116220/#com3384242")</f>
        <v>https://minfin.com.ua/company/monobank/review/116220/#com3384242</v>
      </c>
      <c r="H2758" t="s">
        <v>6060</v>
      </c>
      <c r="I2758" t="s">
        <v>80</v>
      </c>
      <c r="J2758" s="2" t="str">
        <f>HYPERLINK("https://minfin.com.ua/users/Qwerty1999/")</f>
        <v>https://minfin.com.ua/users/Qwerty1999/</v>
      </c>
      <c r="N2758" t="s">
        <v>53</v>
      </c>
      <c r="R2758" t="s">
        <v>6071</v>
      </c>
      <c r="S2758" t="s">
        <v>6073</v>
      </c>
    </row>
    <row r="2759" spans="1:19" ht="14.25" customHeight="1" x14ac:dyDescent="0.3">
      <c r="A2759" t="s">
        <v>3527</v>
      </c>
      <c r="B2759" t="s">
        <v>3816</v>
      </c>
      <c r="C2759" t="s">
        <v>95</v>
      </c>
      <c r="D2759" t="s">
        <v>3817</v>
      </c>
      <c r="E2759" t="s">
        <v>3818</v>
      </c>
      <c r="F2759" t="s">
        <v>6059</v>
      </c>
      <c r="G2759" s="2" t="str">
        <f>HYPERLINK("https://minfin.com.ua/company/alfa-bank/review/116178/#com3383119")</f>
        <v>https://minfin.com.ua/company/alfa-bank/review/116178/#com3383119</v>
      </c>
      <c r="H2759" t="s">
        <v>6060</v>
      </c>
      <c r="I2759" t="s">
        <v>80</v>
      </c>
      <c r="J2759" s="2" t="str">
        <f>HYPERLINK("https://minfin.com.ua/users/Qwerty1999/")</f>
        <v>https://minfin.com.ua/users/Qwerty1999/</v>
      </c>
      <c r="N2759" t="s">
        <v>53</v>
      </c>
      <c r="R2759" t="s">
        <v>6071</v>
      </c>
      <c r="S2759" t="s">
        <v>6073</v>
      </c>
    </row>
    <row r="2760" spans="1:19" ht="14.25" customHeight="1" x14ac:dyDescent="0.3">
      <c r="A2760" t="s">
        <v>1</v>
      </c>
      <c r="B2760" t="s">
        <v>143</v>
      </c>
      <c r="C2760" t="s">
        <v>95</v>
      </c>
      <c r="D2760" t="s">
        <v>50</v>
      </c>
      <c r="E2760" t="s">
        <v>144</v>
      </c>
      <c r="F2760" t="s">
        <v>6059</v>
      </c>
      <c r="G2760" s="2" t="str">
        <f>HYPERLINK("https://minfin.com.ua/company/monobank/review/116220/#com3384249")</f>
        <v>https://minfin.com.ua/company/monobank/review/116220/#com3384249</v>
      </c>
      <c r="H2760" t="s">
        <v>6062</v>
      </c>
      <c r="I2760" t="s">
        <v>52</v>
      </c>
      <c r="J2760" s="2" t="str">
        <f>HYPERLINK("https://minfin.com.ua/users/monoobman/")</f>
        <v>https://minfin.com.ua/users/monoobman/</v>
      </c>
      <c r="N2760" t="s">
        <v>53</v>
      </c>
      <c r="R2760" t="s">
        <v>6071</v>
      </c>
      <c r="S2760" t="s">
        <v>6073</v>
      </c>
    </row>
    <row r="2761" spans="1:19" ht="14.25" customHeight="1" x14ac:dyDescent="0.3">
      <c r="A2761" t="s">
        <v>1</v>
      </c>
      <c r="B2761" t="s">
        <v>390</v>
      </c>
      <c r="C2761" t="s">
        <v>95</v>
      </c>
      <c r="D2761" t="s">
        <v>391</v>
      </c>
      <c r="E2761" t="s">
        <v>392</v>
      </c>
      <c r="F2761" t="s">
        <v>6059</v>
      </c>
      <c r="G2761" s="2" t="str">
        <f>HYPERLINK("https://minfin.com.ua/company/monobank/review/116200/#com3384113")</f>
        <v>https://minfin.com.ua/company/monobank/review/116200/#com3384113</v>
      </c>
      <c r="H2761" t="s">
        <v>6062</v>
      </c>
      <c r="I2761" t="s">
        <v>52</v>
      </c>
      <c r="J2761" s="2" t="str">
        <f>HYPERLINK("https://minfin.com.ua/users/monoobman/")</f>
        <v>https://minfin.com.ua/users/monoobman/</v>
      </c>
      <c r="N2761" t="s">
        <v>53</v>
      </c>
      <c r="R2761" t="s">
        <v>6071</v>
      </c>
      <c r="S2761" t="s">
        <v>6073</v>
      </c>
    </row>
    <row r="2762" spans="1:19" ht="14.25" customHeight="1" x14ac:dyDescent="0.3">
      <c r="A2762" t="s">
        <v>1</v>
      </c>
      <c r="B2762" t="s">
        <v>385</v>
      </c>
      <c r="C2762" t="s">
        <v>95</v>
      </c>
      <c r="D2762" t="s">
        <v>386</v>
      </c>
      <c r="E2762" t="s">
        <v>387</v>
      </c>
      <c r="F2762" t="s">
        <v>6056</v>
      </c>
      <c r="G2762" s="2" t="str">
        <f>HYPERLINK("http://minfin.com.ua/company/monobank/review/116220/#comments")</f>
        <v>http://minfin.com.ua/company/monobank/review/116220/#comments</v>
      </c>
      <c r="H2762" t="s">
        <v>6062</v>
      </c>
      <c r="I2762" t="s">
        <v>52</v>
      </c>
      <c r="J2762" s="2" t="str">
        <f>HYPERLINK("http://minfin.com.ua/company/monobank/review/116220/#comments")</f>
        <v>http://minfin.com.ua/company/monobank/review/116220/#comments</v>
      </c>
      <c r="N2762" t="s">
        <v>53</v>
      </c>
      <c r="O2762" t="s">
        <v>386</v>
      </c>
      <c r="P2762" s="2" t="str">
        <f>HYPERLINK("http://minfin.com.ua/company/monobank/")</f>
        <v>http://minfin.com.ua/company/monobank/</v>
      </c>
      <c r="R2762" t="s">
        <v>6071</v>
      </c>
      <c r="S2762" t="s">
        <v>6073</v>
      </c>
    </row>
    <row r="2763" spans="1:19" ht="14.25" customHeight="1" x14ac:dyDescent="0.3">
      <c r="A2763" t="s">
        <v>1</v>
      </c>
      <c r="B2763" t="s">
        <v>77</v>
      </c>
      <c r="C2763" t="s">
        <v>78</v>
      </c>
      <c r="D2763" t="s">
        <v>50</v>
      </c>
      <c r="E2763" t="s">
        <v>79</v>
      </c>
      <c r="F2763" t="s">
        <v>6059</v>
      </c>
      <c r="G2763" s="2" t="str">
        <f>HYPERLINK("https://minfin.com.ua/company/monobank/review/116220/#com3384324")</f>
        <v>https://minfin.com.ua/company/monobank/review/116220/#com3384324</v>
      </c>
      <c r="H2763" t="s">
        <v>6062</v>
      </c>
      <c r="I2763" t="s">
        <v>80</v>
      </c>
      <c r="J2763" s="2" t="str">
        <f>HYPERLINK("https://minfin.com.ua/users/Qwerty1999/")</f>
        <v>https://minfin.com.ua/users/Qwerty1999/</v>
      </c>
      <c r="N2763" t="s">
        <v>53</v>
      </c>
      <c r="O2763" t="s">
        <v>4</v>
      </c>
      <c r="P2763" t="s">
        <v>4</v>
      </c>
      <c r="R2763" t="s">
        <v>6071</v>
      </c>
      <c r="S2763" t="s">
        <v>6073</v>
      </c>
    </row>
    <row r="2764" spans="1:19" ht="14.25" customHeight="1" x14ac:dyDescent="0.3">
      <c r="A2764" t="s">
        <v>1</v>
      </c>
      <c r="B2764" t="s">
        <v>100</v>
      </c>
      <c r="C2764" t="s">
        <v>95</v>
      </c>
      <c r="D2764" t="s">
        <v>50</v>
      </c>
      <c r="E2764" t="s">
        <v>101</v>
      </c>
      <c r="F2764" t="s">
        <v>6059</v>
      </c>
      <c r="G2764" s="2" t="str">
        <f>HYPERLINK("https://minfin.com.ua/company/monobank/review/116220/#com3384296")</f>
        <v>https://minfin.com.ua/company/monobank/review/116220/#com3384296</v>
      </c>
      <c r="H2764" t="s">
        <v>6062</v>
      </c>
      <c r="I2764" t="s">
        <v>80</v>
      </c>
      <c r="J2764" s="2" t="str">
        <f>HYPERLINK("https://minfin.com.ua/users/Qwerty1999/")</f>
        <v>https://minfin.com.ua/users/Qwerty1999/</v>
      </c>
      <c r="N2764" t="s">
        <v>53</v>
      </c>
      <c r="R2764" t="s">
        <v>6071</v>
      </c>
      <c r="S2764" t="s">
        <v>6073</v>
      </c>
    </row>
    <row r="2765" spans="1:19" ht="14.25" customHeight="1" x14ac:dyDescent="0.3">
      <c r="A2765" t="s">
        <v>1</v>
      </c>
      <c r="B2765" t="s">
        <v>131</v>
      </c>
      <c r="C2765" t="s">
        <v>95</v>
      </c>
      <c r="D2765" t="s">
        <v>50</v>
      </c>
      <c r="E2765" t="s">
        <v>132</v>
      </c>
      <c r="F2765" t="s">
        <v>6059</v>
      </c>
      <c r="G2765" s="2" t="str">
        <f>HYPERLINK("https://minfin.com.ua/company/monobank/review/116220/#com3384257")</f>
        <v>https://minfin.com.ua/company/monobank/review/116220/#com3384257</v>
      </c>
      <c r="H2765" t="s">
        <v>6062</v>
      </c>
      <c r="I2765" t="s">
        <v>80</v>
      </c>
      <c r="J2765" s="2" t="str">
        <f>HYPERLINK("https://minfin.com.ua/users/Qwerty1999/")</f>
        <v>https://minfin.com.ua/users/Qwerty1999/</v>
      </c>
      <c r="N2765" t="s">
        <v>53</v>
      </c>
      <c r="R2765" t="s">
        <v>6071</v>
      </c>
      <c r="S2765" t="s">
        <v>6073</v>
      </c>
    </row>
    <row r="2766" spans="1:19" ht="14.25" customHeight="1" x14ac:dyDescent="0.3">
      <c r="A2766" t="s">
        <v>1</v>
      </c>
      <c r="B2766" t="s">
        <v>173</v>
      </c>
      <c r="C2766" t="s">
        <v>95</v>
      </c>
      <c r="D2766" t="s">
        <v>50</v>
      </c>
      <c r="E2766" t="s">
        <v>174</v>
      </c>
      <c r="F2766" t="s">
        <v>6059</v>
      </c>
      <c r="G2766" s="2" t="str">
        <f>HYPERLINK("https://minfin.com.ua/company/monobank/review/116220/#com3384239")</f>
        <v>https://minfin.com.ua/company/monobank/review/116220/#com3384239</v>
      </c>
      <c r="H2766" t="s">
        <v>6062</v>
      </c>
      <c r="I2766" t="s">
        <v>80</v>
      </c>
      <c r="J2766" s="2" t="str">
        <f>HYPERLINK("https://minfin.com.ua/users/Qwerty1999/")</f>
        <v>https://minfin.com.ua/users/Qwerty1999/</v>
      </c>
      <c r="N2766" t="s">
        <v>53</v>
      </c>
      <c r="R2766" t="s">
        <v>6071</v>
      </c>
      <c r="S2766" t="s">
        <v>6073</v>
      </c>
    </row>
    <row r="2767" spans="1:19" ht="14.25" customHeight="1" x14ac:dyDescent="0.3">
      <c r="A2767" t="s">
        <v>1</v>
      </c>
      <c r="B2767" t="s">
        <v>352</v>
      </c>
      <c r="C2767" t="s">
        <v>95</v>
      </c>
      <c r="D2767" t="s">
        <v>50</v>
      </c>
      <c r="E2767" t="s">
        <v>353</v>
      </c>
      <c r="F2767" t="s">
        <v>6059</v>
      </c>
      <c r="G2767" s="2" t="str">
        <f>HYPERLINK("https://minfin.com.ua/company/monobank/review/116220/#com3384152")</f>
        <v>https://minfin.com.ua/company/monobank/review/116220/#com3384152</v>
      </c>
      <c r="H2767" t="s">
        <v>6061</v>
      </c>
      <c r="I2767" t="s">
        <v>52</v>
      </c>
      <c r="J2767" s="2" t="str">
        <f>HYPERLINK("https://minfin.com.ua/users/monoobman/")</f>
        <v>https://minfin.com.ua/users/monoobman/</v>
      </c>
      <c r="N2767" t="s">
        <v>53</v>
      </c>
      <c r="R2767" t="s">
        <v>6071</v>
      </c>
      <c r="S2767" t="s">
        <v>6073</v>
      </c>
    </row>
    <row r="2768" spans="1:19" ht="14.25" customHeight="1" x14ac:dyDescent="0.3">
      <c r="A2768" t="s">
        <v>1</v>
      </c>
      <c r="B2768" t="s">
        <v>363</v>
      </c>
      <c r="C2768" t="s">
        <v>95</v>
      </c>
      <c r="D2768" t="s">
        <v>50</v>
      </c>
      <c r="E2768" t="s">
        <v>364</v>
      </c>
      <c r="F2768" t="s">
        <v>6059</v>
      </c>
      <c r="G2768" s="2" t="str">
        <f>HYPERLINK("https://minfin.com.ua/company/monobank/review/116220/#com3384135")</f>
        <v>https://minfin.com.ua/company/monobank/review/116220/#com3384135</v>
      </c>
      <c r="H2768" t="s">
        <v>6061</v>
      </c>
      <c r="I2768" t="s">
        <v>349</v>
      </c>
      <c r="J2768" s="2" t="str">
        <f>HYPERLINK("https://minfin.com.ua/users/rusgl/")</f>
        <v>https://minfin.com.ua/users/rusgl/</v>
      </c>
      <c r="N2768" t="s">
        <v>53</v>
      </c>
      <c r="R2768" t="s">
        <v>6071</v>
      </c>
      <c r="S2768" t="s">
        <v>6073</v>
      </c>
    </row>
    <row r="2769" spans="1:19" ht="14.25" customHeight="1" x14ac:dyDescent="0.3">
      <c r="A2769" t="s">
        <v>1</v>
      </c>
      <c r="B2769" t="s">
        <v>345</v>
      </c>
      <c r="C2769" t="s">
        <v>95</v>
      </c>
      <c r="D2769" t="s">
        <v>50</v>
      </c>
      <c r="E2769" t="s">
        <v>348</v>
      </c>
      <c r="F2769" t="s">
        <v>6059</v>
      </c>
      <c r="G2769" s="2" t="str">
        <f>HYPERLINK("https://minfin.com.ua/company/monobank/review/116220/#com3384161")</f>
        <v>https://minfin.com.ua/company/monobank/review/116220/#com3384161</v>
      </c>
      <c r="H2769" t="s">
        <v>6061</v>
      </c>
      <c r="I2769" t="s">
        <v>349</v>
      </c>
      <c r="J2769" s="2" t="str">
        <f>HYPERLINK("https://minfin.com.ua/users/rusgl/")</f>
        <v>https://minfin.com.ua/users/rusgl/</v>
      </c>
      <c r="N2769" t="s">
        <v>53</v>
      </c>
      <c r="R2769" t="s">
        <v>6071</v>
      </c>
      <c r="S2769" t="s">
        <v>6073</v>
      </c>
    </row>
    <row r="2770" spans="1:19" ht="14.25" customHeight="1" x14ac:dyDescent="0.3">
      <c r="A2770" t="s">
        <v>4439</v>
      </c>
      <c r="B2770" t="s">
        <v>1818</v>
      </c>
      <c r="C2770" t="s">
        <v>3538</v>
      </c>
      <c r="D2770" t="s">
        <v>386</v>
      </c>
      <c r="E2770" t="s">
        <v>4837</v>
      </c>
      <c r="F2770" t="s">
        <v>6056</v>
      </c>
      <c r="G2770" s="2" t="str">
        <f>HYPERLINK("http://minfin.com.ua/company/monobank/review/116158/#comments")</f>
        <v>http://minfin.com.ua/company/monobank/review/116158/#comments</v>
      </c>
      <c r="H2770" t="s">
        <v>6061</v>
      </c>
      <c r="I2770" t="s">
        <v>4838</v>
      </c>
      <c r="J2770" s="2" t="str">
        <f>HYPERLINK("http://minfin.com.ua/company/monobank/review/116158/#comments")</f>
        <v>http://minfin.com.ua/company/monobank/review/116158/#comments</v>
      </c>
      <c r="L2770" t="s">
        <v>6063</v>
      </c>
      <c r="N2770" t="s">
        <v>53</v>
      </c>
      <c r="O2770" t="s">
        <v>386</v>
      </c>
      <c r="P2770" s="2" t="str">
        <f>HYPERLINK("http://minfin.com.ua/company/monobank/")</f>
        <v>http://minfin.com.ua/company/monobank/</v>
      </c>
      <c r="R2770" t="s">
        <v>6071</v>
      </c>
      <c r="S2770" t="s">
        <v>6073</v>
      </c>
    </row>
    <row r="2771" spans="1:19" ht="14.25" customHeight="1" x14ac:dyDescent="0.3">
      <c r="A2771" t="s">
        <v>1</v>
      </c>
      <c r="B2771" t="s">
        <v>271</v>
      </c>
      <c r="C2771" t="s">
        <v>95</v>
      </c>
      <c r="D2771" t="s">
        <v>235</v>
      </c>
      <c r="E2771" t="s">
        <v>272</v>
      </c>
      <c r="F2771" t="s">
        <v>6056</v>
      </c>
      <c r="G2771" s="2" t="str">
        <f>HYPERLINK("http://news.meta.ua/cluster:58893228-Dlia-britanskogo-analoga-monobank-uzhe-vybiraiut-nazvanie")</f>
        <v>http://news.meta.ua/cluster:58893228-Dlia-britanskogo-analoga-monobank-uzhe-vybiraiut-nazvanie</v>
      </c>
      <c r="H2771" t="s">
        <v>6062</v>
      </c>
      <c r="I2771" t="s">
        <v>273</v>
      </c>
      <c r="J2771" s="2" t="str">
        <f>HYPERLINK("http://news.meta.ua")</f>
        <v>http://news.meta.ua</v>
      </c>
      <c r="N2771" t="s">
        <v>274</v>
      </c>
      <c r="R2771" t="s">
        <v>6069</v>
      </c>
      <c r="S2771" t="s">
        <v>6073</v>
      </c>
    </row>
    <row r="2772" spans="1:19" ht="14.25" customHeight="1" x14ac:dyDescent="0.3">
      <c r="A2772" t="s">
        <v>5409</v>
      </c>
      <c r="B2772" t="s">
        <v>3452</v>
      </c>
      <c r="C2772" t="s">
        <v>3538</v>
      </c>
      <c r="D2772" t="s">
        <v>5647</v>
      </c>
      <c r="E2772" t="s">
        <v>5648</v>
      </c>
      <c r="F2772" t="s">
        <v>6058</v>
      </c>
      <c r="G2772" s="2" t="str">
        <f>HYPERLINK("https://ok.ru/profile/561507475325/statuses/67897371686269")</f>
        <v>https://ok.ru/profile/561507475325/statuses/67897371686269</v>
      </c>
      <c r="H2772" t="s">
        <v>6062</v>
      </c>
      <c r="I2772" t="s">
        <v>3812</v>
      </c>
      <c r="J2772" s="2" t="str">
        <f>HYPERLINK("https://ok.ru/profile/561507475325")</f>
        <v>https://ok.ru/profile/561507475325</v>
      </c>
      <c r="K2772">
        <v>103</v>
      </c>
      <c r="L2772" t="s">
        <v>6064</v>
      </c>
      <c r="N2772" t="s">
        <v>906</v>
      </c>
      <c r="O2772" t="s">
        <v>3812</v>
      </c>
      <c r="P2772" s="2" t="str">
        <f>HYPERLINK("https://ok.ru/profile/561507475325")</f>
        <v>https://ok.ru/profile/561507475325</v>
      </c>
      <c r="Q2772">
        <v>103</v>
      </c>
      <c r="R2772" t="s">
        <v>6067</v>
      </c>
      <c r="S2772" t="s">
        <v>6073</v>
      </c>
    </row>
    <row r="2773" spans="1:19" ht="14.25" customHeight="1" x14ac:dyDescent="0.3">
      <c r="A2773" t="s">
        <v>3527</v>
      </c>
      <c r="B2773" t="s">
        <v>3810</v>
      </c>
      <c r="C2773" t="s">
        <v>3538</v>
      </c>
      <c r="D2773" t="s">
        <v>508</v>
      </c>
      <c r="E2773" t="s">
        <v>3811</v>
      </c>
      <c r="F2773" t="s">
        <v>6058</v>
      </c>
      <c r="G2773" s="2" t="str">
        <f>HYPERLINK("https://ok.ru/profile/561507475325/statuses/67913877583229")</f>
        <v>https://ok.ru/profile/561507475325/statuses/67913877583229</v>
      </c>
      <c r="H2773" t="s">
        <v>6062</v>
      </c>
      <c r="I2773" t="s">
        <v>3812</v>
      </c>
      <c r="J2773" s="2" t="str">
        <f>HYPERLINK("https://ok.ru/profile/561507475325")</f>
        <v>https://ok.ru/profile/561507475325</v>
      </c>
      <c r="K2773">
        <v>103</v>
      </c>
      <c r="L2773" t="s">
        <v>6064</v>
      </c>
      <c r="N2773" t="s">
        <v>906</v>
      </c>
      <c r="O2773" t="s">
        <v>3812</v>
      </c>
      <c r="P2773" s="2" t="str">
        <f>HYPERLINK("https://ok.ru/profile/561507475325")</f>
        <v>https://ok.ru/profile/561507475325</v>
      </c>
      <c r="Q2773">
        <v>103</v>
      </c>
      <c r="R2773" t="s">
        <v>6067</v>
      </c>
      <c r="S2773" t="s">
        <v>6073</v>
      </c>
    </row>
    <row r="2774" spans="1:19" ht="14.25" customHeight="1" x14ac:dyDescent="0.3">
      <c r="A2774" t="s">
        <v>5409</v>
      </c>
      <c r="B2774" t="s">
        <v>5646</v>
      </c>
      <c r="C2774" t="s">
        <v>3538</v>
      </c>
      <c r="D2774" t="s">
        <v>5647</v>
      </c>
      <c r="E2774" t="s">
        <v>5648</v>
      </c>
      <c r="F2774" t="s">
        <v>6058</v>
      </c>
      <c r="G2774" s="2" t="str">
        <f>HYPERLINK("https://ok.ru/profile/443544083527/statuses/68274533619015")</f>
        <v>https://ok.ru/profile/443544083527/statuses/68274533619015</v>
      </c>
      <c r="H2774" t="s">
        <v>6062</v>
      </c>
      <c r="I2774" t="s">
        <v>4418</v>
      </c>
      <c r="J2774" s="2" t="str">
        <f>HYPERLINK("https://ok.ru/profile/443544083527")</f>
        <v>https://ok.ru/profile/443544083527</v>
      </c>
      <c r="L2774" t="s">
        <v>6063</v>
      </c>
      <c r="M2774">
        <v>54</v>
      </c>
      <c r="N2774" t="s">
        <v>906</v>
      </c>
      <c r="O2774" t="s">
        <v>4418</v>
      </c>
      <c r="P2774" s="2" t="str">
        <f>HYPERLINK("https://ok.ru/profile/443544083527")</f>
        <v>https://ok.ru/profile/443544083527</v>
      </c>
      <c r="R2774" t="s">
        <v>6067</v>
      </c>
      <c r="S2774" t="s">
        <v>6073</v>
      </c>
    </row>
    <row r="2775" spans="1:19" ht="14.25" customHeight="1" x14ac:dyDescent="0.3">
      <c r="A2775" t="s">
        <v>5409</v>
      </c>
      <c r="B2775" t="s">
        <v>3159</v>
      </c>
      <c r="C2775" t="s">
        <v>3538</v>
      </c>
      <c r="D2775" t="s">
        <v>5644</v>
      </c>
      <c r="E2775" t="s">
        <v>5645</v>
      </c>
      <c r="F2775" t="s">
        <v>6058</v>
      </c>
      <c r="G2775" s="2" t="str">
        <f>HYPERLINK("https://ok.ru/profile/443544083527/statuses/68274542073159")</f>
        <v>https://ok.ru/profile/443544083527/statuses/68274542073159</v>
      </c>
      <c r="H2775" t="s">
        <v>6062</v>
      </c>
      <c r="I2775" t="s">
        <v>4418</v>
      </c>
      <c r="J2775" s="2" t="str">
        <f>HYPERLINK("https://ok.ru/profile/443544083527")</f>
        <v>https://ok.ru/profile/443544083527</v>
      </c>
      <c r="L2775" t="s">
        <v>6063</v>
      </c>
      <c r="M2775">
        <v>54</v>
      </c>
      <c r="N2775" t="s">
        <v>906</v>
      </c>
      <c r="O2775" t="s">
        <v>4418</v>
      </c>
      <c r="P2775" s="2" t="str">
        <f>HYPERLINK("https://ok.ru/profile/443544083527")</f>
        <v>https://ok.ru/profile/443544083527</v>
      </c>
      <c r="R2775" t="s">
        <v>6067</v>
      </c>
      <c r="S2775" t="s">
        <v>6073</v>
      </c>
    </row>
    <row r="2776" spans="1:19" ht="14.25" customHeight="1" x14ac:dyDescent="0.3">
      <c r="A2776" t="s">
        <v>3527</v>
      </c>
      <c r="B2776" t="s">
        <v>4417</v>
      </c>
      <c r="C2776" t="s">
        <v>3538</v>
      </c>
      <c r="D2776" t="s">
        <v>508</v>
      </c>
      <c r="E2776" t="s">
        <v>3811</v>
      </c>
      <c r="F2776" t="s">
        <v>6058</v>
      </c>
      <c r="G2776" s="2" t="str">
        <f>HYPERLINK("https://ok.ru/profile/443544083527/statuses/68288150623559")</f>
        <v>https://ok.ru/profile/443544083527/statuses/68288150623559</v>
      </c>
      <c r="H2776" t="s">
        <v>6062</v>
      </c>
      <c r="I2776" t="s">
        <v>4418</v>
      </c>
      <c r="J2776" s="2" t="str">
        <f>HYPERLINK("https://ok.ru/profile/443544083527")</f>
        <v>https://ok.ru/profile/443544083527</v>
      </c>
      <c r="L2776" t="s">
        <v>6063</v>
      </c>
      <c r="M2776">
        <v>54</v>
      </c>
      <c r="N2776" t="s">
        <v>906</v>
      </c>
      <c r="O2776" t="s">
        <v>4418</v>
      </c>
      <c r="P2776" s="2" t="str">
        <f>HYPERLINK("https://ok.ru/profile/443544083527")</f>
        <v>https://ok.ru/profile/443544083527</v>
      </c>
      <c r="R2776" t="s">
        <v>6067</v>
      </c>
      <c r="S2776" t="s">
        <v>6073</v>
      </c>
    </row>
    <row r="2777" spans="1:19" ht="14.25" customHeight="1" x14ac:dyDescent="0.3">
      <c r="A2777" t="s">
        <v>5409</v>
      </c>
      <c r="B2777" t="s">
        <v>745</v>
      </c>
      <c r="C2777" t="s">
        <v>3538</v>
      </c>
      <c r="D2777" t="s">
        <v>4257</v>
      </c>
      <c r="E2777" t="s">
        <v>4258</v>
      </c>
      <c r="F2777" t="s">
        <v>6058</v>
      </c>
      <c r="G2777" s="2" t="str">
        <f>HYPERLINK("https://ok.ru/profile/589644390957/statuses/68294634192941")</f>
        <v>https://ok.ru/profile/589644390957/statuses/68294634192941</v>
      </c>
      <c r="H2777" t="s">
        <v>6062</v>
      </c>
      <c r="I2777" t="s">
        <v>5474</v>
      </c>
      <c r="J2777" s="2" t="str">
        <f>HYPERLINK("https://ok.ru/profile/589644390957")</f>
        <v>https://ok.ru/profile/589644390957</v>
      </c>
      <c r="K2777">
        <v>896</v>
      </c>
      <c r="L2777" t="s">
        <v>6063</v>
      </c>
      <c r="M2777">
        <v>23</v>
      </c>
      <c r="N2777" t="s">
        <v>906</v>
      </c>
      <c r="O2777" t="s">
        <v>5474</v>
      </c>
      <c r="P2777" s="2" t="str">
        <f>HYPERLINK("https://ok.ru/profile/589644390957")</f>
        <v>https://ok.ru/profile/589644390957</v>
      </c>
      <c r="Q2777">
        <v>896</v>
      </c>
      <c r="R2777" t="s">
        <v>6067</v>
      </c>
      <c r="S2777" t="s">
        <v>6073</v>
      </c>
    </row>
    <row r="2778" spans="1:19" ht="14.25" customHeight="1" x14ac:dyDescent="0.3">
      <c r="A2778" t="s">
        <v>5409</v>
      </c>
      <c r="B2778" t="s">
        <v>1567</v>
      </c>
      <c r="C2778" t="s">
        <v>3538</v>
      </c>
      <c r="D2778" t="s">
        <v>5647</v>
      </c>
      <c r="E2778" t="s">
        <v>5648</v>
      </c>
      <c r="F2778" t="s">
        <v>6058</v>
      </c>
      <c r="G2778" s="2" t="str">
        <f>HYPERLINK("https://ok.ru/profile/526931561080/statuses/68080387784824")</f>
        <v>https://ok.ru/profile/526931561080/statuses/68080387784824</v>
      </c>
      <c r="H2778" t="s">
        <v>6062</v>
      </c>
      <c r="I2778" t="s">
        <v>5850</v>
      </c>
      <c r="J2778" s="2" t="str">
        <f>HYPERLINK("https://ok.ru/profile/526931561080")</f>
        <v>https://ok.ru/profile/526931561080</v>
      </c>
      <c r="K2778">
        <v>366</v>
      </c>
      <c r="L2778" t="s">
        <v>6064</v>
      </c>
      <c r="M2778">
        <v>28</v>
      </c>
      <c r="N2778" t="s">
        <v>906</v>
      </c>
      <c r="O2778" t="s">
        <v>5850</v>
      </c>
      <c r="P2778" s="2" t="str">
        <f>HYPERLINK("https://ok.ru/profile/526931561080")</f>
        <v>https://ok.ru/profile/526931561080</v>
      </c>
      <c r="Q2778">
        <v>366</v>
      </c>
      <c r="R2778" t="s">
        <v>6067</v>
      </c>
      <c r="S2778" t="s">
        <v>6073</v>
      </c>
    </row>
    <row r="2779" spans="1:19" ht="14.25" customHeight="1" x14ac:dyDescent="0.3">
      <c r="A2779" t="s">
        <v>3527</v>
      </c>
      <c r="B2779" t="s">
        <v>4369</v>
      </c>
      <c r="C2779" t="s">
        <v>3538</v>
      </c>
      <c r="D2779" t="s">
        <v>508</v>
      </c>
      <c r="E2779" t="s">
        <v>3811</v>
      </c>
      <c r="F2779" t="s">
        <v>6058</v>
      </c>
      <c r="G2779" s="2" t="str">
        <f>HYPERLINK("https://ok.ru/profile/561160242533/statuses/67913828693349")</f>
        <v>https://ok.ru/profile/561160242533/statuses/67913828693349</v>
      </c>
      <c r="H2779" t="s">
        <v>6062</v>
      </c>
      <c r="I2779" t="s">
        <v>4370</v>
      </c>
      <c r="J2779" s="2" t="str">
        <f>HYPERLINK("https://ok.ru/profile/561160242533")</f>
        <v>https://ok.ru/profile/561160242533</v>
      </c>
      <c r="K2779">
        <v>123</v>
      </c>
      <c r="L2779" t="s">
        <v>6064</v>
      </c>
      <c r="M2779">
        <v>40</v>
      </c>
      <c r="N2779" t="s">
        <v>906</v>
      </c>
      <c r="O2779" t="s">
        <v>4370</v>
      </c>
      <c r="P2779" s="2" t="str">
        <f>HYPERLINK("https://ok.ru/profile/561160242533")</f>
        <v>https://ok.ru/profile/561160242533</v>
      </c>
      <c r="Q2779">
        <v>123</v>
      </c>
      <c r="R2779" t="s">
        <v>6067</v>
      </c>
      <c r="S2779" t="s">
        <v>6072</v>
      </c>
    </row>
    <row r="2780" spans="1:19" ht="14.25" customHeight="1" x14ac:dyDescent="0.3">
      <c r="A2780" t="s">
        <v>5409</v>
      </c>
      <c r="B2780" t="s">
        <v>1192</v>
      </c>
      <c r="C2780" t="s">
        <v>3538</v>
      </c>
      <c r="D2780" t="s">
        <v>5685</v>
      </c>
      <c r="E2780" t="s">
        <v>5686</v>
      </c>
      <c r="F2780" t="s">
        <v>6058</v>
      </c>
      <c r="G2780" s="2" t="str">
        <f>HYPERLINK("https://ok.ru/profile/561160242533/statuses/67900875437413")</f>
        <v>https://ok.ru/profile/561160242533/statuses/67900875437413</v>
      </c>
      <c r="H2780" t="s">
        <v>6062</v>
      </c>
      <c r="I2780" t="s">
        <v>4370</v>
      </c>
      <c r="J2780" s="2" t="str">
        <f>HYPERLINK("https://ok.ru/profile/561160242533")</f>
        <v>https://ok.ru/profile/561160242533</v>
      </c>
      <c r="K2780">
        <v>123</v>
      </c>
      <c r="L2780" t="s">
        <v>6064</v>
      </c>
      <c r="M2780">
        <v>40</v>
      </c>
      <c r="N2780" t="s">
        <v>906</v>
      </c>
      <c r="O2780" t="s">
        <v>4370</v>
      </c>
      <c r="P2780" s="2" t="str">
        <f>HYPERLINK("https://ok.ru/profile/561160242533")</f>
        <v>https://ok.ru/profile/561160242533</v>
      </c>
      <c r="Q2780">
        <v>123</v>
      </c>
      <c r="R2780" t="s">
        <v>6067</v>
      </c>
      <c r="S2780" t="s">
        <v>6072</v>
      </c>
    </row>
    <row r="2781" spans="1:19" ht="14.25" customHeight="1" x14ac:dyDescent="0.3">
      <c r="A2781" t="s">
        <v>629</v>
      </c>
      <c r="B2781" t="s">
        <v>363</v>
      </c>
      <c r="C2781" t="s">
        <v>95</v>
      </c>
      <c r="D2781" t="s">
        <v>1656</v>
      </c>
      <c r="E2781" t="s">
        <v>1657</v>
      </c>
      <c r="F2781" t="s">
        <v>6056</v>
      </c>
      <c r="G2781" s="2" t="str">
        <f>HYPERLINK("https://ok.ru/profile/512777142196/statuses/68173014089908")</f>
        <v>https://ok.ru/profile/512777142196/statuses/68173014089908</v>
      </c>
      <c r="H2781" t="s">
        <v>6062</v>
      </c>
      <c r="I2781" t="s">
        <v>1658</v>
      </c>
      <c r="J2781" s="2" t="str">
        <f>HYPERLINK("https://ok.ru/profile/512777142196")</f>
        <v>https://ok.ru/profile/512777142196</v>
      </c>
      <c r="K2781">
        <v>18</v>
      </c>
      <c r="L2781" t="s">
        <v>6063</v>
      </c>
      <c r="M2781">
        <v>68</v>
      </c>
      <c r="N2781" t="s">
        <v>906</v>
      </c>
      <c r="O2781" t="s">
        <v>1658</v>
      </c>
      <c r="P2781" s="2" t="str">
        <f>HYPERLINK("https://ok.ru/profile/512777142196")</f>
        <v>https://ok.ru/profile/512777142196</v>
      </c>
      <c r="Q2781">
        <v>18</v>
      </c>
      <c r="R2781" t="s">
        <v>6067</v>
      </c>
      <c r="S2781" t="s">
        <v>6073</v>
      </c>
    </row>
    <row r="2782" spans="1:19" ht="14.25" customHeight="1" x14ac:dyDescent="0.3">
      <c r="A2782" t="s">
        <v>3527</v>
      </c>
      <c r="B2782" t="s">
        <v>4256</v>
      </c>
      <c r="C2782" t="s">
        <v>3538</v>
      </c>
      <c r="D2782" t="s">
        <v>4257</v>
      </c>
      <c r="E2782" t="s">
        <v>4258</v>
      </c>
      <c r="F2782" t="s">
        <v>6058</v>
      </c>
      <c r="G2782" s="2" t="str">
        <f>HYPERLINK("https://ok.ru/profile/573286426778/statuses/68031939767194")</f>
        <v>https://ok.ru/profile/573286426778/statuses/68031939767194</v>
      </c>
      <c r="H2782" t="s">
        <v>6062</v>
      </c>
      <c r="I2782" t="s">
        <v>4259</v>
      </c>
      <c r="J2782" s="2" t="str">
        <f>HYPERLINK("https://ok.ru/profile/573286426778")</f>
        <v>https://ok.ru/profile/573286426778</v>
      </c>
      <c r="K2782">
        <v>93</v>
      </c>
      <c r="L2782" t="s">
        <v>6063</v>
      </c>
      <c r="M2782">
        <v>19</v>
      </c>
      <c r="N2782" t="s">
        <v>906</v>
      </c>
      <c r="O2782" t="s">
        <v>4259</v>
      </c>
      <c r="P2782" s="2" t="str">
        <f>HYPERLINK("https://ok.ru/profile/573286426778")</f>
        <v>https://ok.ru/profile/573286426778</v>
      </c>
      <c r="Q2782">
        <v>93</v>
      </c>
      <c r="R2782" t="s">
        <v>6067</v>
      </c>
      <c r="S2782" t="s">
        <v>6073</v>
      </c>
    </row>
    <row r="2783" spans="1:19" ht="14.25" customHeight="1" x14ac:dyDescent="0.3">
      <c r="A2783" t="s">
        <v>4995</v>
      </c>
      <c r="B2783" t="s">
        <v>1571</v>
      </c>
      <c r="C2783" t="s">
        <v>3538</v>
      </c>
      <c r="D2783" t="s">
        <v>1593</v>
      </c>
      <c r="E2783" t="s">
        <v>5297</v>
      </c>
      <c r="F2783" t="s">
        <v>6056</v>
      </c>
      <c r="G2783" s="2" t="str">
        <f>HYPERLINK("https://ok.ru/profile/555736352579/statuses/67718980873027")</f>
        <v>https://ok.ru/profile/555736352579/statuses/67718980873027</v>
      </c>
      <c r="H2783" t="s">
        <v>6062</v>
      </c>
      <c r="I2783" t="s">
        <v>5298</v>
      </c>
      <c r="J2783" s="2" t="str">
        <f>HYPERLINK("https://ok.ru/profile/555736352579")</f>
        <v>https://ok.ru/profile/555736352579</v>
      </c>
      <c r="L2783" t="s">
        <v>6064</v>
      </c>
      <c r="M2783">
        <v>18</v>
      </c>
      <c r="N2783" t="s">
        <v>906</v>
      </c>
      <c r="O2783" t="s">
        <v>5298</v>
      </c>
      <c r="P2783" s="2" t="str">
        <f>HYPERLINK("https://ok.ru/profile/555736352579")</f>
        <v>https://ok.ru/profile/555736352579</v>
      </c>
      <c r="R2783" t="s">
        <v>6067</v>
      </c>
      <c r="S2783" t="s">
        <v>6073</v>
      </c>
    </row>
    <row r="2784" spans="1:19" ht="14.25" customHeight="1" x14ac:dyDescent="0.3">
      <c r="A2784" t="s">
        <v>629</v>
      </c>
      <c r="B2784" t="s">
        <v>903</v>
      </c>
      <c r="C2784" t="s">
        <v>95</v>
      </c>
      <c r="D2784" t="s">
        <v>904</v>
      </c>
      <c r="E2784" t="s">
        <v>905</v>
      </c>
      <c r="F2784" t="s">
        <v>6056</v>
      </c>
      <c r="G2784" s="2" t="str">
        <f>HYPERLINK("https://ok.ru/profile/585841047859/statuses/68326186303539")</f>
        <v>https://ok.ru/profile/585841047859/statuses/68326186303539</v>
      </c>
      <c r="H2784" t="s">
        <v>6061</v>
      </c>
      <c r="I2784" t="s">
        <v>655</v>
      </c>
      <c r="J2784" s="2" t="str">
        <f>HYPERLINK("https://ok.ru/profile/585841047859")</f>
        <v>https://ok.ru/profile/585841047859</v>
      </c>
      <c r="K2784">
        <v>247</v>
      </c>
      <c r="L2784" t="s">
        <v>6063</v>
      </c>
      <c r="N2784" t="s">
        <v>906</v>
      </c>
      <c r="O2784" t="s">
        <v>655</v>
      </c>
      <c r="P2784" s="2" t="str">
        <f>HYPERLINK("https://ok.ru/profile/585841047859")</f>
        <v>https://ok.ru/profile/585841047859</v>
      </c>
      <c r="Q2784">
        <v>247</v>
      </c>
      <c r="R2784" t="s">
        <v>6067</v>
      </c>
      <c r="S2784" t="s">
        <v>6073</v>
      </c>
    </row>
    <row r="2785" spans="1:19" ht="14.25" customHeight="1" x14ac:dyDescent="0.3">
      <c r="A2785" t="s">
        <v>4995</v>
      </c>
      <c r="B2785" t="s">
        <v>1732</v>
      </c>
      <c r="C2785" t="s">
        <v>3538</v>
      </c>
      <c r="D2785" t="s">
        <v>5315</v>
      </c>
      <c r="E2785" t="s">
        <v>5316</v>
      </c>
      <c r="F2785" t="s">
        <v>6056</v>
      </c>
      <c r="G2785" s="2" t="str">
        <f>HYPERLINK("https://play.google.com/store/apps/details?id=ua.pentegy.avalbank.production&amp;reviewId=Z3A6QU9xcFRPRzdDMU9IX0pLYTAyVHhiTVBUVExOcHRqWFlrQ000ZmRsOHJ3QTFRMVk4RkdobV9QdFZYYkpUcE9JX0pCYmxGQUJHcGU3T3hXcWZaa3JvZHc")</f>
        <v>https://play.google.com/store/apps/details?id=ua.pentegy.avalbank.production&amp;reviewId=Z3A6QU9xcFRPRzdDMU9IX0pLYTAyVHhiTVBUVExOcHRqWFlrQ000ZmRsOHJ3QTFRMVk4RkdobV9QdFZYYkpUcE9JX0pCYmxGQUJHcGU3T3hXcWZaa3JvZHc</v>
      </c>
      <c r="H2785" t="s">
        <v>6062</v>
      </c>
      <c r="I2785" t="s">
        <v>5317</v>
      </c>
      <c r="J2785" s="2" t="str">
        <f>HYPERLINK("https://play.google.com/store/apps/details?id=ua.pentegy.avalbank.production&amp;reviewId=Z3A6QU9xcFRPRzdDMU9IX0pLYTAyVHhiTVBUVExOcHRqWFlrQ000ZmRsOHJ3QTFRMVk4RkdobV9QdFZYYkpUcE9JX0pCYmxGQUJHcGU3T3hXcWZaa3JvZHc")</f>
        <v>https://play.google.com/store/apps/details?id=ua.pentegy.avalbank.production&amp;reviewId=Z3A6QU9xcFRPRzdDMU9IX0pLYTAyVHhiTVBUVExOcHRqWFlrQ000ZmRsOHJ3QTFRMVk4RkdobV9QdFZYYkpUcE9JX0pCYmxGQUJHcGU3T3hXcWZaa3JvZHc</v>
      </c>
      <c r="L2785" t="s">
        <v>6063</v>
      </c>
      <c r="N2785" t="s">
        <v>5318</v>
      </c>
      <c r="O2785" t="s">
        <v>5315</v>
      </c>
      <c r="P2785" s="2" t="str">
        <f>HYPERLINK("https://play.google.com/store/apps/details?id=ua.pentegy.avalbank.production&amp;hl=ru")</f>
        <v>https://play.google.com/store/apps/details?id=ua.pentegy.avalbank.production&amp;hl=ru</v>
      </c>
      <c r="R2785" t="s">
        <v>6071</v>
      </c>
      <c r="S2785" t="s">
        <v>6072</v>
      </c>
    </row>
    <row r="2786" spans="1:19" ht="14.25" customHeight="1" x14ac:dyDescent="0.3">
      <c r="A2786" t="s">
        <v>4439</v>
      </c>
      <c r="B2786" t="s">
        <v>4992</v>
      </c>
      <c r="C2786" t="s">
        <v>3538</v>
      </c>
      <c r="D2786" t="s">
        <v>4</v>
      </c>
      <c r="E2786" t="s">
        <v>4994</v>
      </c>
      <c r="F2786" t="s">
        <v>6056</v>
      </c>
      <c r="G2786" s="2" t="str">
        <f>HYPERLINK("https://plus.google.com/+IvanButko/posts/Ym713J4fYtF")</f>
        <v>https://plus.google.com/+IvanButko/posts/Ym713J4fYtF</v>
      </c>
      <c r="H2786" t="s">
        <v>6062</v>
      </c>
      <c r="I2786" t="s">
        <v>4991</v>
      </c>
      <c r="J2786" s="2" t="str">
        <f>HYPERLINK("https://plus.google.com/110517426493674773988")</f>
        <v>https://plus.google.com/110517426493674773988</v>
      </c>
      <c r="K2786">
        <v>54</v>
      </c>
      <c r="L2786" t="s">
        <v>6063</v>
      </c>
      <c r="N2786" t="s">
        <v>1948</v>
      </c>
      <c r="O2786" t="s">
        <v>4991</v>
      </c>
      <c r="P2786" s="2" t="str">
        <f>HYPERLINK("https://plus.google.com/110517426493674773988")</f>
        <v>https://plus.google.com/110517426493674773988</v>
      </c>
      <c r="Q2786">
        <v>54</v>
      </c>
      <c r="R2786" t="s">
        <v>6067</v>
      </c>
    </row>
    <row r="2787" spans="1:19" ht="14.25" customHeight="1" x14ac:dyDescent="0.3">
      <c r="A2787" t="s">
        <v>4439</v>
      </c>
      <c r="B2787" t="s">
        <v>4992</v>
      </c>
      <c r="C2787" t="s">
        <v>3538</v>
      </c>
      <c r="D2787" t="s">
        <v>4</v>
      </c>
      <c r="E2787" t="s">
        <v>4994</v>
      </c>
      <c r="F2787" t="s">
        <v>6056</v>
      </c>
      <c r="G2787" s="2" t="str">
        <f>HYPERLINK("https://plus.google.com/+IvanButko/posts/WpurEA5yh3E")</f>
        <v>https://plus.google.com/+IvanButko/posts/WpurEA5yh3E</v>
      </c>
      <c r="H2787" t="s">
        <v>6062</v>
      </c>
      <c r="I2787" t="s">
        <v>4991</v>
      </c>
      <c r="J2787" s="2" t="str">
        <f>HYPERLINK("https://plus.google.com/110517426493674773988")</f>
        <v>https://plus.google.com/110517426493674773988</v>
      </c>
      <c r="K2787">
        <v>54</v>
      </c>
      <c r="L2787" t="s">
        <v>6063</v>
      </c>
      <c r="N2787" t="s">
        <v>1948</v>
      </c>
      <c r="O2787" t="s">
        <v>4991</v>
      </c>
      <c r="P2787" s="2" t="str">
        <f>HYPERLINK("https://plus.google.com/110517426493674773988")</f>
        <v>https://plus.google.com/110517426493674773988</v>
      </c>
      <c r="Q2787">
        <v>54</v>
      </c>
      <c r="R2787" t="s">
        <v>6067</v>
      </c>
    </row>
    <row r="2788" spans="1:19" ht="14.25" customHeight="1" x14ac:dyDescent="0.3">
      <c r="A2788" t="s">
        <v>4439</v>
      </c>
      <c r="B2788" t="s">
        <v>4987</v>
      </c>
      <c r="C2788" t="s">
        <v>3538</v>
      </c>
      <c r="D2788" t="s">
        <v>4</v>
      </c>
      <c r="E2788" t="s">
        <v>4990</v>
      </c>
      <c r="F2788" t="s">
        <v>6056</v>
      </c>
      <c r="G2788" s="2" t="str">
        <f>HYPERLINK("https://plus.google.com/+IvanButko/posts/Zxq7GBeEAjw")</f>
        <v>https://plus.google.com/+IvanButko/posts/Zxq7GBeEAjw</v>
      </c>
      <c r="H2788" t="s">
        <v>6062</v>
      </c>
      <c r="I2788" t="s">
        <v>4991</v>
      </c>
      <c r="J2788" s="2" t="str">
        <f>HYPERLINK("https://plus.google.com/110517426493674773988")</f>
        <v>https://plus.google.com/110517426493674773988</v>
      </c>
      <c r="K2788">
        <v>54</v>
      </c>
      <c r="L2788" t="s">
        <v>6063</v>
      </c>
      <c r="N2788" t="s">
        <v>1948</v>
      </c>
      <c r="O2788" t="s">
        <v>4991</v>
      </c>
      <c r="P2788" s="2" t="str">
        <f>HYPERLINK("https://plus.google.com/110517426493674773988")</f>
        <v>https://plus.google.com/110517426493674773988</v>
      </c>
      <c r="Q2788">
        <v>54</v>
      </c>
      <c r="R2788" t="s">
        <v>6067</v>
      </c>
    </row>
    <row r="2789" spans="1:19" ht="14.25" customHeight="1" x14ac:dyDescent="0.3">
      <c r="A2789" t="s">
        <v>4439</v>
      </c>
      <c r="B2789" t="s">
        <v>627</v>
      </c>
      <c r="C2789" t="s">
        <v>3538</v>
      </c>
      <c r="D2789" t="s">
        <v>4</v>
      </c>
      <c r="E2789" t="s">
        <v>4990</v>
      </c>
      <c r="F2789" t="s">
        <v>6056</v>
      </c>
      <c r="G2789" s="2" t="str">
        <f>HYPERLINK("https://plus.google.com/+IvanButko/posts/QFDb15yUiij")</f>
        <v>https://plus.google.com/+IvanButko/posts/QFDb15yUiij</v>
      </c>
      <c r="H2789" t="s">
        <v>6062</v>
      </c>
      <c r="I2789" t="s">
        <v>4991</v>
      </c>
      <c r="J2789" s="2" t="str">
        <f>HYPERLINK("https://plus.google.com/110517426493674773988")</f>
        <v>https://plus.google.com/110517426493674773988</v>
      </c>
      <c r="K2789">
        <v>54</v>
      </c>
      <c r="L2789" t="s">
        <v>6063</v>
      </c>
      <c r="N2789" t="s">
        <v>1948</v>
      </c>
      <c r="O2789" t="s">
        <v>4991</v>
      </c>
      <c r="P2789" s="2" t="str">
        <f>HYPERLINK("https://plus.google.com/110517426493674773988")</f>
        <v>https://plus.google.com/110517426493674773988</v>
      </c>
      <c r="Q2789">
        <v>54</v>
      </c>
      <c r="R2789" t="s">
        <v>6067</v>
      </c>
    </row>
    <row r="2790" spans="1:19" ht="14.25" customHeight="1" x14ac:dyDescent="0.3">
      <c r="A2790" t="s">
        <v>5409</v>
      </c>
      <c r="B2790" t="s">
        <v>5597</v>
      </c>
      <c r="C2790" t="s">
        <v>3538</v>
      </c>
      <c r="D2790" t="s">
        <v>4</v>
      </c>
      <c r="E2790" t="s">
        <v>3994</v>
      </c>
      <c r="F2790" t="s">
        <v>6056</v>
      </c>
      <c r="G2790" s="2" t="str">
        <f>HYPERLINK("https://plus.google.com/+Weblancernetmedia/posts/BABL94BHcWy")</f>
        <v>https://plus.google.com/+Weblancernetmedia/posts/BABL94BHcWy</v>
      </c>
      <c r="H2790" t="s">
        <v>6062</v>
      </c>
      <c r="I2790" t="s">
        <v>5598</v>
      </c>
      <c r="J2790" s="2" t="str">
        <f>HYPERLINK("https://plus.google.com/117066193929741014424")</f>
        <v>https://plus.google.com/117066193929741014424</v>
      </c>
      <c r="K2790">
        <v>323</v>
      </c>
      <c r="L2790" t="s">
        <v>6065</v>
      </c>
      <c r="N2790" t="s">
        <v>1948</v>
      </c>
      <c r="O2790" t="s">
        <v>5598</v>
      </c>
      <c r="P2790" s="2" t="str">
        <f>HYPERLINK("https://plus.google.com/117066193929741014424")</f>
        <v>https://plus.google.com/117066193929741014424</v>
      </c>
      <c r="Q2790">
        <v>323</v>
      </c>
      <c r="R2790" t="s">
        <v>6067</v>
      </c>
    </row>
    <row r="2791" spans="1:19" ht="14.25" customHeight="1" x14ac:dyDescent="0.3">
      <c r="A2791" t="s">
        <v>5409</v>
      </c>
      <c r="B2791" t="s">
        <v>5977</v>
      </c>
      <c r="C2791" t="s">
        <v>3538</v>
      </c>
      <c r="D2791" t="s">
        <v>4</v>
      </c>
      <c r="E2791" t="s">
        <v>5978</v>
      </c>
      <c r="F2791" t="s">
        <v>6056</v>
      </c>
      <c r="G2791" s="2" t="str">
        <f>HYPERLINK("https://plus.google.com/+АнтонПодлесный1990/posts/AeG2b2Gp8Ex")</f>
        <v>https://plus.google.com/+АнтонПодлесный1990/posts/AeG2b2Gp8Ex</v>
      </c>
      <c r="H2791" t="s">
        <v>6062</v>
      </c>
      <c r="I2791" t="s">
        <v>5979</v>
      </c>
      <c r="J2791" s="2" t="str">
        <f>HYPERLINK("https://plus.google.com/114703522604175145409")</f>
        <v>https://plus.google.com/114703522604175145409</v>
      </c>
      <c r="K2791">
        <v>32</v>
      </c>
      <c r="L2791" t="s">
        <v>6063</v>
      </c>
      <c r="N2791" t="s">
        <v>1948</v>
      </c>
      <c r="O2791" t="s">
        <v>5979</v>
      </c>
      <c r="P2791" s="2" t="str">
        <f>HYPERLINK("https://plus.google.com/114703522604175145409")</f>
        <v>https://plus.google.com/114703522604175145409</v>
      </c>
      <c r="Q2791">
        <v>32</v>
      </c>
      <c r="R2791" t="s">
        <v>6067</v>
      </c>
      <c r="S2791" t="s">
        <v>6073</v>
      </c>
    </row>
    <row r="2792" spans="1:19" ht="14.25" customHeight="1" x14ac:dyDescent="0.3">
      <c r="A2792" t="s">
        <v>5409</v>
      </c>
      <c r="B2792" t="s">
        <v>5980</v>
      </c>
      <c r="C2792" t="s">
        <v>3538</v>
      </c>
      <c r="D2792" t="s">
        <v>4</v>
      </c>
      <c r="E2792" t="s">
        <v>5981</v>
      </c>
      <c r="F2792" t="s">
        <v>6056</v>
      </c>
      <c r="G2792" s="2" t="str">
        <f>HYPERLINK("https://plus.google.com/+АнтонПодлесный1990/posts/9gNPMqP3jHz")</f>
        <v>https://plus.google.com/+АнтонПодлесный1990/posts/9gNPMqP3jHz</v>
      </c>
      <c r="H2792" t="s">
        <v>6062</v>
      </c>
      <c r="I2792" t="s">
        <v>5979</v>
      </c>
      <c r="J2792" s="2" t="str">
        <f>HYPERLINK("https://plus.google.com/114703522604175145409")</f>
        <v>https://plus.google.com/114703522604175145409</v>
      </c>
      <c r="K2792">
        <v>32</v>
      </c>
      <c r="L2792" t="s">
        <v>6063</v>
      </c>
      <c r="N2792" t="s">
        <v>1948</v>
      </c>
      <c r="O2792" t="s">
        <v>5979</v>
      </c>
      <c r="P2792" s="2" t="str">
        <f>HYPERLINK("https://plus.google.com/114703522604175145409")</f>
        <v>https://plus.google.com/114703522604175145409</v>
      </c>
      <c r="Q2792">
        <v>32</v>
      </c>
      <c r="R2792" t="s">
        <v>6067</v>
      </c>
      <c r="S2792" t="s">
        <v>6073</v>
      </c>
    </row>
    <row r="2793" spans="1:19" ht="14.25" customHeight="1" x14ac:dyDescent="0.3">
      <c r="A2793" t="s">
        <v>4995</v>
      </c>
      <c r="B2793" t="s">
        <v>2226</v>
      </c>
      <c r="C2793" t="s">
        <v>3538</v>
      </c>
      <c r="D2793" t="s">
        <v>4</v>
      </c>
      <c r="E2793" t="s">
        <v>4996</v>
      </c>
      <c r="F2793" t="s">
        <v>6056</v>
      </c>
      <c r="G2793" s="2" t="str">
        <f>HYPERLINK("https://plus.google.com/105528120913633191465/posts/XUk9xhZCNer")</f>
        <v>https://plus.google.com/105528120913633191465/posts/XUk9xhZCNer</v>
      </c>
      <c r="H2793" t="s">
        <v>6062</v>
      </c>
      <c r="I2793" t="s">
        <v>4997</v>
      </c>
      <c r="J2793" s="2" t="str">
        <f>HYPERLINK("https://plus.google.com/105528120913633191465")</f>
        <v>https://plus.google.com/105528120913633191465</v>
      </c>
      <c r="K2793">
        <v>85</v>
      </c>
      <c r="L2793" t="s">
        <v>6063</v>
      </c>
      <c r="N2793" t="s">
        <v>1948</v>
      </c>
      <c r="O2793" t="s">
        <v>4997</v>
      </c>
      <c r="P2793" s="2" t="str">
        <f>HYPERLINK("https://plus.google.com/105528120913633191465")</f>
        <v>https://plus.google.com/105528120913633191465</v>
      </c>
      <c r="Q2793">
        <v>85</v>
      </c>
      <c r="R2793" t="s">
        <v>6067</v>
      </c>
      <c r="S2793" t="s">
        <v>6073</v>
      </c>
    </row>
    <row r="2794" spans="1:19" ht="14.25" customHeight="1" x14ac:dyDescent="0.3">
      <c r="A2794" t="s">
        <v>629</v>
      </c>
      <c r="B2794" t="s">
        <v>1943</v>
      </c>
      <c r="C2794" t="s">
        <v>95</v>
      </c>
      <c r="D2794" t="s">
        <v>4</v>
      </c>
      <c r="E2794" t="s">
        <v>1946</v>
      </c>
      <c r="F2794" t="s">
        <v>6056</v>
      </c>
      <c r="G2794" s="2" t="str">
        <f>HYPERLINK("https://plus.google.com/+Банкифишкиплатежи/posts/P3939CLW7zH")</f>
        <v>https://plus.google.com/+Банкифишкиплатежи/posts/P3939CLW7zH</v>
      </c>
      <c r="H2794" t="s">
        <v>6062</v>
      </c>
      <c r="I2794" t="s">
        <v>1947</v>
      </c>
      <c r="J2794" s="2" t="str">
        <f>HYPERLINK("https://plus.google.com/105594431497225709888")</f>
        <v>https://plus.google.com/105594431497225709888</v>
      </c>
      <c r="K2794">
        <v>4</v>
      </c>
      <c r="L2794" t="s">
        <v>6065</v>
      </c>
      <c r="N2794" t="s">
        <v>1948</v>
      </c>
      <c r="O2794" t="s">
        <v>1947</v>
      </c>
      <c r="P2794" s="2" t="str">
        <f>HYPERLINK("https://plus.google.com/105594431497225709888")</f>
        <v>https://plus.google.com/105594431497225709888</v>
      </c>
      <c r="Q2794">
        <v>4</v>
      </c>
      <c r="R2794" t="s">
        <v>6067</v>
      </c>
    </row>
    <row r="2795" spans="1:19" ht="14.25" customHeight="1" x14ac:dyDescent="0.3">
      <c r="A2795" t="s">
        <v>2225</v>
      </c>
      <c r="B2795" t="s">
        <v>862</v>
      </c>
      <c r="C2795" t="s">
        <v>95</v>
      </c>
      <c r="D2795" t="s">
        <v>4</v>
      </c>
      <c r="E2795" t="s">
        <v>2974</v>
      </c>
      <c r="F2795" t="s">
        <v>6056</v>
      </c>
      <c r="G2795" s="2" t="str">
        <f>HYPERLINK("https://plus.google.com/116501853021085637161/posts/YsQcQPJyE5h")</f>
        <v>https://plus.google.com/116501853021085637161/posts/YsQcQPJyE5h</v>
      </c>
      <c r="H2795" t="s">
        <v>6062</v>
      </c>
      <c r="I2795" t="s">
        <v>2977</v>
      </c>
      <c r="J2795" s="2" t="str">
        <f>HYPERLINK("https://plus.google.com/116501853021085637161")</f>
        <v>https://plus.google.com/116501853021085637161</v>
      </c>
      <c r="K2795">
        <v>7</v>
      </c>
      <c r="L2795" t="s">
        <v>6063</v>
      </c>
      <c r="N2795" t="s">
        <v>1948</v>
      </c>
      <c r="O2795" t="s">
        <v>2977</v>
      </c>
      <c r="P2795" s="2" t="str">
        <f>HYPERLINK("https://plus.google.com/116501853021085637161")</f>
        <v>https://plus.google.com/116501853021085637161</v>
      </c>
      <c r="Q2795">
        <v>7</v>
      </c>
      <c r="R2795" t="s">
        <v>6067</v>
      </c>
    </row>
    <row r="2796" spans="1:19" ht="14.25" customHeight="1" x14ac:dyDescent="0.3">
      <c r="A2796" t="s">
        <v>2225</v>
      </c>
      <c r="B2796" t="s">
        <v>288</v>
      </c>
      <c r="C2796" t="s">
        <v>95</v>
      </c>
      <c r="D2796" t="s">
        <v>4</v>
      </c>
      <c r="E2796" t="s">
        <v>3363</v>
      </c>
      <c r="F2796" t="s">
        <v>6056</v>
      </c>
      <c r="G2796" s="2" t="str">
        <f>HYPERLINK("https://plus.google.com/+МихайловскийМаксим/posts/UnUZ4Rp5Psv")</f>
        <v>https://plus.google.com/+МихайловскийМаксим/posts/UnUZ4Rp5Psv</v>
      </c>
      <c r="H2796" t="s">
        <v>6062</v>
      </c>
      <c r="I2796" t="s">
        <v>3364</v>
      </c>
      <c r="J2796" s="2" t="str">
        <f>HYPERLINK("https://plus.google.com/117966016853973390352")</f>
        <v>https://plus.google.com/117966016853973390352</v>
      </c>
      <c r="K2796">
        <v>64</v>
      </c>
      <c r="L2796" t="s">
        <v>6063</v>
      </c>
      <c r="N2796" t="s">
        <v>1948</v>
      </c>
      <c r="O2796" t="s">
        <v>3364</v>
      </c>
      <c r="P2796" s="2" t="str">
        <f>HYPERLINK("https://plus.google.com/117966016853973390352")</f>
        <v>https://plus.google.com/117966016853973390352</v>
      </c>
      <c r="Q2796">
        <v>64</v>
      </c>
      <c r="R2796" t="s">
        <v>6067</v>
      </c>
      <c r="S2796" t="s">
        <v>6073</v>
      </c>
    </row>
    <row r="2797" spans="1:19" ht="14.25" customHeight="1" x14ac:dyDescent="0.3">
      <c r="A2797" t="s">
        <v>3527</v>
      </c>
      <c r="B2797" t="s">
        <v>1456</v>
      </c>
      <c r="C2797" t="s">
        <v>3538</v>
      </c>
      <c r="D2797" t="s">
        <v>4</v>
      </c>
      <c r="E2797" t="s">
        <v>4266</v>
      </c>
      <c r="F2797" t="s">
        <v>6056</v>
      </c>
      <c r="G2797" s="2" t="str">
        <f>HYPERLINK("https://plus.google.com/+Freelancehunt/posts/C1CiJHFpVPu")</f>
        <v>https://plus.google.com/+Freelancehunt/posts/C1CiJHFpVPu</v>
      </c>
      <c r="H2797" t="s">
        <v>6061</v>
      </c>
      <c r="I2797" t="s">
        <v>4267</v>
      </c>
      <c r="J2797" s="2" t="str">
        <f>HYPERLINK("https://plus.google.com/115644738167178496254")</f>
        <v>https://plus.google.com/115644738167178496254</v>
      </c>
      <c r="K2797">
        <v>1797</v>
      </c>
      <c r="L2797" t="s">
        <v>6065</v>
      </c>
      <c r="N2797" t="s">
        <v>1948</v>
      </c>
      <c r="O2797" t="s">
        <v>4267</v>
      </c>
      <c r="P2797" s="2" t="str">
        <f>HYPERLINK("https://plus.google.com/115644738167178496254")</f>
        <v>https://plus.google.com/115644738167178496254</v>
      </c>
      <c r="Q2797">
        <v>1797</v>
      </c>
      <c r="R2797" t="s">
        <v>6067</v>
      </c>
    </row>
    <row r="2798" spans="1:19" ht="14.25" customHeight="1" x14ac:dyDescent="0.3">
      <c r="A2798" t="s">
        <v>1</v>
      </c>
      <c r="B2798" t="s">
        <v>231</v>
      </c>
      <c r="C2798" t="s">
        <v>95</v>
      </c>
      <c r="D2798" t="s">
        <v>235</v>
      </c>
      <c r="E2798" t="s">
        <v>236</v>
      </c>
      <c r="F2798" t="s">
        <v>6056</v>
      </c>
      <c r="G2798" s="2" t="str">
        <f>HYPERLINK("https://psm7.com/news/dlya-britanskogo-analoga-monobank-uzhe-vybirayut-nazvanie.html")</f>
        <v>https://psm7.com/news/dlya-britanskogo-analoga-monobank-uzhe-vybirayut-nazvanie.html</v>
      </c>
      <c r="H2798" t="s">
        <v>6062</v>
      </c>
      <c r="N2798" t="s">
        <v>237</v>
      </c>
      <c r="R2798" t="s">
        <v>6069</v>
      </c>
    </row>
    <row r="2799" spans="1:19" ht="14.25" customHeight="1" x14ac:dyDescent="0.3">
      <c r="A2799" t="s">
        <v>629</v>
      </c>
      <c r="B2799" t="s">
        <v>852</v>
      </c>
      <c r="C2799" t="s">
        <v>95</v>
      </c>
      <c r="D2799" t="s">
        <v>857</v>
      </c>
      <c r="E2799" t="s">
        <v>858</v>
      </c>
      <c r="F2799" t="s">
        <v>6056</v>
      </c>
      <c r="G2799" s="2" t="str">
        <f>HYPERLINK("https://rau.ua/news/e-awards-2018-2")</f>
        <v>https://rau.ua/news/e-awards-2018-2</v>
      </c>
      <c r="H2799" t="s">
        <v>6062</v>
      </c>
      <c r="I2799" t="s">
        <v>859</v>
      </c>
      <c r="J2799" s="2" t="str">
        <f>HYPERLINK("http://rau.ua")</f>
        <v>http://rau.ua</v>
      </c>
      <c r="N2799" t="s">
        <v>859</v>
      </c>
      <c r="R2799" t="s">
        <v>6069</v>
      </c>
      <c r="S2799" t="s">
        <v>6073</v>
      </c>
    </row>
    <row r="2800" spans="1:19" ht="14.25" customHeight="1" x14ac:dyDescent="0.3">
      <c r="A2800" t="s">
        <v>4439</v>
      </c>
      <c r="B2800" t="s">
        <v>2723</v>
      </c>
      <c r="C2800" t="s">
        <v>3538</v>
      </c>
      <c r="D2800" t="s">
        <v>211</v>
      </c>
      <c r="E2800" t="s">
        <v>4509</v>
      </c>
      <c r="F2800" t="s">
        <v>6056</v>
      </c>
      <c r="G2800" s="2" t="str">
        <f>HYPERLINK("http://red-forum.com/showthread.php?t=29428&amp;page=244#post1370144")</f>
        <v>http://red-forum.com/showthread.php?t=29428&amp;page=244#post1370144</v>
      </c>
      <c r="H2800" t="s">
        <v>6060</v>
      </c>
      <c r="I2800" t="s">
        <v>213</v>
      </c>
      <c r="J2800" s="2" t="str">
        <f>HYPERLINK("http://red-forum.com/member.php?u=7209")</f>
        <v>http://red-forum.com/member.php?u=7209</v>
      </c>
      <c r="N2800" t="s">
        <v>214</v>
      </c>
      <c r="O2800" t="s">
        <v>215</v>
      </c>
      <c r="P2800" s="2" t="str">
        <f t="shared" ref="P2800:P2831" si="78">HYPERLINK("http://red-forum.com/forumdisplay.php?f=43")</f>
        <v>http://red-forum.com/forumdisplay.php?f=43</v>
      </c>
      <c r="R2800" t="s">
        <v>6066</v>
      </c>
      <c r="S2800" t="s">
        <v>6073</v>
      </c>
    </row>
    <row r="2801" spans="1:19" ht="14.25" customHeight="1" x14ac:dyDescent="0.3">
      <c r="A2801" t="s">
        <v>3527</v>
      </c>
      <c r="B2801" t="s">
        <v>1377</v>
      </c>
      <c r="C2801" t="s">
        <v>95</v>
      </c>
      <c r="D2801" t="s">
        <v>211</v>
      </c>
      <c r="E2801" t="s">
        <v>4220</v>
      </c>
      <c r="F2801" t="s">
        <v>6056</v>
      </c>
      <c r="G2801" s="2" t="str">
        <f>HYPERLINK("http://red-forum.com/showthread.php?t=29428&amp;page=245#post1370401")</f>
        <v>http://red-forum.com/showthread.php?t=29428&amp;page=245#post1370401</v>
      </c>
      <c r="H2801" t="s">
        <v>6060</v>
      </c>
      <c r="I2801" t="s">
        <v>4221</v>
      </c>
      <c r="J2801" s="2" t="str">
        <f>HYPERLINK("http://red-forum.com/member.php?u=6063")</f>
        <v>http://red-forum.com/member.php?u=6063</v>
      </c>
      <c r="N2801" t="s">
        <v>214</v>
      </c>
      <c r="O2801" t="s">
        <v>215</v>
      </c>
      <c r="P2801" s="2" t="str">
        <f t="shared" si="78"/>
        <v>http://red-forum.com/forumdisplay.php?f=43</v>
      </c>
      <c r="R2801" t="s">
        <v>6066</v>
      </c>
      <c r="S2801" t="s">
        <v>6073</v>
      </c>
    </row>
    <row r="2802" spans="1:19" ht="14.25" customHeight="1" x14ac:dyDescent="0.3">
      <c r="A2802" t="s">
        <v>4439</v>
      </c>
      <c r="B2802" t="s">
        <v>265</v>
      </c>
      <c r="C2802" t="s">
        <v>3538</v>
      </c>
      <c r="D2802" t="s">
        <v>211</v>
      </c>
      <c r="E2802" t="s">
        <v>4766</v>
      </c>
      <c r="F2802" t="s">
        <v>6056</v>
      </c>
      <c r="G2802" s="2" t="str">
        <f>HYPERLINK("http://red-forum.com/showthread.php?t=29428&amp;page=243#post1369907")</f>
        <v>http://red-forum.com/showthread.php?t=29428&amp;page=243#post1369907</v>
      </c>
      <c r="H2802" t="s">
        <v>6060</v>
      </c>
      <c r="I2802" t="s">
        <v>3683</v>
      </c>
      <c r="J2802" s="2" t="str">
        <f>HYPERLINK("http://red-forum.com/member.php?u=18686")</f>
        <v>http://red-forum.com/member.php?u=18686</v>
      </c>
      <c r="N2802" t="s">
        <v>214</v>
      </c>
      <c r="O2802" t="s">
        <v>215</v>
      </c>
      <c r="P2802" s="2" t="str">
        <f t="shared" si="78"/>
        <v>http://red-forum.com/forumdisplay.php?f=43</v>
      </c>
      <c r="R2802" t="s">
        <v>6066</v>
      </c>
      <c r="S2802" t="s">
        <v>6073</v>
      </c>
    </row>
    <row r="2803" spans="1:19" ht="14.25" customHeight="1" x14ac:dyDescent="0.3">
      <c r="A2803" t="s">
        <v>3527</v>
      </c>
      <c r="B2803" t="s">
        <v>162</v>
      </c>
      <c r="C2803" t="s">
        <v>3538</v>
      </c>
      <c r="D2803" t="s">
        <v>211</v>
      </c>
      <c r="E2803" t="s">
        <v>4245</v>
      </c>
      <c r="F2803" t="s">
        <v>6056</v>
      </c>
      <c r="G2803" s="2" t="str">
        <f>HYPERLINK("http://red-forum.com/showthread.php?t=29428&amp;page=245#post1370367")</f>
        <v>http://red-forum.com/showthread.php?t=29428&amp;page=245#post1370367</v>
      </c>
      <c r="H2803" t="s">
        <v>6060</v>
      </c>
      <c r="I2803" t="s">
        <v>4246</v>
      </c>
      <c r="J2803" s="2" t="str">
        <f>HYPERLINK("http://red-forum.com/member.php?u=13952")</f>
        <v>http://red-forum.com/member.php?u=13952</v>
      </c>
      <c r="N2803" t="s">
        <v>214</v>
      </c>
      <c r="O2803" t="s">
        <v>215</v>
      </c>
      <c r="P2803" s="2" t="str">
        <f t="shared" si="78"/>
        <v>http://red-forum.com/forumdisplay.php?f=43</v>
      </c>
      <c r="R2803" t="s">
        <v>6066</v>
      </c>
      <c r="S2803" t="s">
        <v>6073</v>
      </c>
    </row>
    <row r="2804" spans="1:19" ht="14.25" customHeight="1" x14ac:dyDescent="0.3">
      <c r="A2804" t="s">
        <v>4439</v>
      </c>
      <c r="B2804" t="s">
        <v>1122</v>
      </c>
      <c r="C2804" t="s">
        <v>3538</v>
      </c>
      <c r="D2804" t="s">
        <v>211</v>
      </c>
      <c r="E2804" t="s">
        <v>4634</v>
      </c>
      <c r="F2804" t="s">
        <v>6056</v>
      </c>
      <c r="G2804" s="2" t="str">
        <f>HYPERLINK("http://red-forum.com/showthread.php?t=29428&amp;page=243#post1370009")</f>
        <v>http://red-forum.com/showthread.php?t=29428&amp;page=243#post1370009</v>
      </c>
      <c r="H2804" t="s">
        <v>6060</v>
      </c>
      <c r="I2804" t="s">
        <v>3498</v>
      </c>
      <c r="J2804" s="2" t="str">
        <f>HYPERLINK("http://red-forum.com/member.php?u=1862")</f>
        <v>http://red-forum.com/member.php?u=1862</v>
      </c>
      <c r="N2804" t="s">
        <v>214</v>
      </c>
      <c r="O2804" t="s">
        <v>215</v>
      </c>
      <c r="P2804" s="2" t="str">
        <f t="shared" si="78"/>
        <v>http://red-forum.com/forumdisplay.php?f=43</v>
      </c>
      <c r="R2804" t="s">
        <v>6066</v>
      </c>
      <c r="S2804" t="s">
        <v>6073</v>
      </c>
    </row>
    <row r="2805" spans="1:19" ht="14.25" customHeight="1" x14ac:dyDescent="0.3">
      <c r="A2805" t="s">
        <v>4439</v>
      </c>
      <c r="B2805" t="s">
        <v>1676</v>
      </c>
      <c r="C2805" t="s">
        <v>3538</v>
      </c>
      <c r="D2805" t="s">
        <v>211</v>
      </c>
      <c r="E2805" t="s">
        <v>4819</v>
      </c>
      <c r="F2805" t="s">
        <v>6056</v>
      </c>
      <c r="G2805" s="2" t="str">
        <f>HYPERLINK("http://red-forum.com/showthread.php?t=29428&amp;page=242#post1369870")</f>
        <v>http://red-forum.com/showthread.php?t=29428&amp;page=242#post1369870</v>
      </c>
      <c r="H2805" t="s">
        <v>6060</v>
      </c>
      <c r="I2805" t="s">
        <v>4820</v>
      </c>
      <c r="J2805" s="2" t="str">
        <f>HYPERLINK("http://red-forum.com/member.php?u=4020")</f>
        <v>http://red-forum.com/member.php?u=4020</v>
      </c>
      <c r="N2805" t="s">
        <v>214</v>
      </c>
      <c r="O2805" t="s">
        <v>215</v>
      </c>
      <c r="P2805" s="2" t="str">
        <f t="shared" si="78"/>
        <v>http://red-forum.com/forumdisplay.php?f=43</v>
      </c>
      <c r="R2805" t="s">
        <v>6066</v>
      </c>
      <c r="S2805" t="s">
        <v>6073</v>
      </c>
    </row>
    <row r="2806" spans="1:19" ht="14.25" customHeight="1" x14ac:dyDescent="0.3">
      <c r="A2806" t="s">
        <v>4439</v>
      </c>
      <c r="B2806" t="s">
        <v>4895</v>
      </c>
      <c r="C2806" t="s">
        <v>3538</v>
      </c>
      <c r="D2806" t="s">
        <v>211</v>
      </c>
      <c r="E2806" t="s">
        <v>4896</v>
      </c>
      <c r="F2806" t="s">
        <v>6056</v>
      </c>
      <c r="G2806" s="2" t="str">
        <f>HYPERLINK("http://red-forum.com/showthread.php?t=29428&amp;page=241#post1369840")</f>
        <v>http://red-forum.com/showthread.php?t=29428&amp;page=241#post1369840</v>
      </c>
      <c r="H2806" t="s">
        <v>6060</v>
      </c>
      <c r="I2806" t="s">
        <v>4060</v>
      </c>
      <c r="J2806" s="2" t="str">
        <f>HYPERLINK("http://red-forum.com/member.php?u=14655")</f>
        <v>http://red-forum.com/member.php?u=14655</v>
      </c>
      <c r="N2806" t="s">
        <v>214</v>
      </c>
      <c r="O2806" t="s">
        <v>215</v>
      </c>
      <c r="P2806" s="2" t="str">
        <f t="shared" si="78"/>
        <v>http://red-forum.com/forumdisplay.php?f=43</v>
      </c>
      <c r="R2806" t="s">
        <v>6066</v>
      </c>
      <c r="S2806" t="s">
        <v>6073</v>
      </c>
    </row>
    <row r="2807" spans="1:19" ht="14.25" customHeight="1" x14ac:dyDescent="0.3">
      <c r="A2807" t="s">
        <v>4439</v>
      </c>
      <c r="B2807" t="s">
        <v>4682</v>
      </c>
      <c r="C2807" t="s">
        <v>3538</v>
      </c>
      <c r="D2807" t="s">
        <v>211</v>
      </c>
      <c r="E2807" t="s">
        <v>4684</v>
      </c>
      <c r="F2807" t="s">
        <v>6056</v>
      </c>
      <c r="G2807" s="2" t="str">
        <f>HYPERLINK("http://red-forum.com/showthread.php?t=29428&amp;page=243#post1369941")</f>
        <v>http://red-forum.com/showthread.php?t=29428&amp;page=243#post1369941</v>
      </c>
      <c r="H2807" t="s">
        <v>6060</v>
      </c>
      <c r="I2807" t="s">
        <v>4023</v>
      </c>
      <c r="J2807" s="2" t="str">
        <f>HYPERLINK("http://red-forum.com/member.php?u=4392")</f>
        <v>http://red-forum.com/member.php?u=4392</v>
      </c>
      <c r="N2807" t="s">
        <v>214</v>
      </c>
      <c r="O2807" t="s">
        <v>215</v>
      </c>
      <c r="P2807" s="2" t="str">
        <f t="shared" si="78"/>
        <v>http://red-forum.com/forumdisplay.php?f=43</v>
      </c>
      <c r="R2807" t="s">
        <v>6066</v>
      </c>
      <c r="S2807" t="s">
        <v>6073</v>
      </c>
    </row>
    <row r="2808" spans="1:19" ht="14.25" customHeight="1" x14ac:dyDescent="0.3">
      <c r="A2808" t="s">
        <v>3527</v>
      </c>
      <c r="B2808" t="s">
        <v>3804</v>
      </c>
      <c r="C2808" t="s">
        <v>95</v>
      </c>
      <c r="D2808" t="s">
        <v>211</v>
      </c>
      <c r="E2808" t="s">
        <v>3808</v>
      </c>
      <c r="F2808" t="s">
        <v>6056</v>
      </c>
      <c r="G2808" s="2" t="str">
        <f>HYPERLINK("http://red-forum.com/showthread.php?t=29428&amp;page=245#post1370565")</f>
        <v>http://red-forum.com/showthread.php?t=29428&amp;page=245#post1370565</v>
      </c>
      <c r="H2808" t="s">
        <v>6062</v>
      </c>
      <c r="I2808" t="s">
        <v>3809</v>
      </c>
      <c r="J2808" s="2" t="str">
        <f>HYPERLINK("http://red-forum.com/member.php?u=1598")</f>
        <v>http://red-forum.com/member.php?u=1598</v>
      </c>
      <c r="N2808" t="s">
        <v>214</v>
      </c>
      <c r="O2808" t="s">
        <v>215</v>
      </c>
      <c r="P2808" s="2" t="str">
        <f t="shared" si="78"/>
        <v>http://red-forum.com/forumdisplay.php?f=43</v>
      </c>
      <c r="R2808" t="s">
        <v>6066</v>
      </c>
      <c r="S2808" t="s">
        <v>6073</v>
      </c>
    </row>
    <row r="2809" spans="1:19" ht="14.25" customHeight="1" x14ac:dyDescent="0.3">
      <c r="A2809" t="s">
        <v>3527</v>
      </c>
      <c r="B2809" t="s">
        <v>770</v>
      </c>
      <c r="C2809" t="s">
        <v>95</v>
      </c>
      <c r="D2809" t="s">
        <v>211</v>
      </c>
      <c r="E2809" t="s">
        <v>3720</v>
      </c>
      <c r="F2809" t="s">
        <v>6056</v>
      </c>
      <c r="G2809" s="2" t="str">
        <f>HYPERLINK("http://red-forum.com/showthread.php?t=29428&amp;page=247#post1370949")</f>
        <v>http://red-forum.com/showthread.php?t=29428&amp;page=247#post1370949</v>
      </c>
      <c r="H2809" t="s">
        <v>6062</v>
      </c>
      <c r="I2809" t="s">
        <v>3721</v>
      </c>
      <c r="J2809" s="2" t="str">
        <f>HYPERLINK("http://red-forum.com/member.php?u=4647")</f>
        <v>http://red-forum.com/member.php?u=4647</v>
      </c>
      <c r="N2809" t="s">
        <v>214</v>
      </c>
      <c r="O2809" t="s">
        <v>215</v>
      </c>
      <c r="P2809" s="2" t="str">
        <f t="shared" si="78"/>
        <v>http://red-forum.com/forumdisplay.php?f=43</v>
      </c>
      <c r="R2809" t="s">
        <v>6066</v>
      </c>
      <c r="S2809" t="s">
        <v>6073</v>
      </c>
    </row>
    <row r="2810" spans="1:19" ht="14.25" customHeight="1" x14ac:dyDescent="0.3">
      <c r="A2810" t="s">
        <v>4439</v>
      </c>
      <c r="B2810" t="s">
        <v>1468</v>
      </c>
      <c r="C2810" t="s">
        <v>3538</v>
      </c>
      <c r="D2810" t="s">
        <v>211</v>
      </c>
      <c r="E2810" t="s">
        <v>4759</v>
      </c>
      <c r="F2810" t="s">
        <v>6056</v>
      </c>
      <c r="G2810" s="2" t="str">
        <f>HYPERLINK("http://red-forum.com/showthread.php?t=29428&amp;page=243#post1369913")</f>
        <v>http://red-forum.com/showthread.php?t=29428&amp;page=243#post1369913</v>
      </c>
      <c r="H2810" t="s">
        <v>6062</v>
      </c>
      <c r="I2810" t="s">
        <v>3721</v>
      </c>
      <c r="J2810" s="2" t="str">
        <f>HYPERLINK("http://red-forum.com/member.php?u=4647")</f>
        <v>http://red-forum.com/member.php?u=4647</v>
      </c>
      <c r="N2810" t="s">
        <v>214</v>
      </c>
      <c r="O2810" t="s">
        <v>215</v>
      </c>
      <c r="P2810" s="2" t="str">
        <f t="shared" si="78"/>
        <v>http://red-forum.com/forumdisplay.php?f=43</v>
      </c>
      <c r="R2810" t="s">
        <v>6066</v>
      </c>
      <c r="S2810" t="s">
        <v>6073</v>
      </c>
    </row>
    <row r="2811" spans="1:19" ht="14.25" customHeight="1" x14ac:dyDescent="0.3">
      <c r="A2811" t="s">
        <v>4439</v>
      </c>
      <c r="B2811" t="s">
        <v>4532</v>
      </c>
      <c r="C2811" t="s">
        <v>3538</v>
      </c>
      <c r="D2811" t="s">
        <v>211</v>
      </c>
      <c r="E2811" t="s">
        <v>4533</v>
      </c>
      <c r="F2811" t="s">
        <v>6056</v>
      </c>
      <c r="G2811" s="2" t="str">
        <f>HYPERLINK("http://red-forum.com/showthread.php?t=29428&amp;page=244#post1370093")</f>
        <v>http://red-forum.com/showthread.php?t=29428&amp;page=244#post1370093</v>
      </c>
      <c r="H2811" t="s">
        <v>6062</v>
      </c>
      <c r="I2811" t="s">
        <v>4534</v>
      </c>
      <c r="J2811" s="2" t="str">
        <f>HYPERLINK("http://red-forum.com/member.php?u=9729")</f>
        <v>http://red-forum.com/member.php?u=9729</v>
      </c>
      <c r="N2811" t="s">
        <v>214</v>
      </c>
      <c r="O2811" t="s">
        <v>215</v>
      </c>
      <c r="P2811" s="2" t="str">
        <f t="shared" si="78"/>
        <v>http://red-forum.com/forumdisplay.php?f=43</v>
      </c>
      <c r="R2811" t="s">
        <v>6066</v>
      </c>
      <c r="S2811" t="s">
        <v>6073</v>
      </c>
    </row>
    <row r="2812" spans="1:19" ht="14.25" customHeight="1" x14ac:dyDescent="0.3">
      <c r="A2812" t="s">
        <v>4439</v>
      </c>
      <c r="B2812" t="s">
        <v>1119</v>
      </c>
      <c r="C2812" t="s">
        <v>3538</v>
      </c>
      <c r="D2812" t="s">
        <v>211</v>
      </c>
      <c r="E2812" t="s">
        <v>4632</v>
      </c>
      <c r="F2812" t="s">
        <v>6056</v>
      </c>
      <c r="G2812" s="2" t="str">
        <f>HYPERLINK("http://red-forum.com/showthread.php?t=29428&amp;page=243#post1370011")</f>
        <v>http://red-forum.com/showthread.php?t=29428&amp;page=243#post1370011</v>
      </c>
      <c r="H2812" t="s">
        <v>6062</v>
      </c>
      <c r="I2812" t="s">
        <v>4633</v>
      </c>
      <c r="J2812" s="2" t="str">
        <f>HYPERLINK("http://red-forum.com/member.php?u=16127")</f>
        <v>http://red-forum.com/member.php?u=16127</v>
      </c>
      <c r="N2812" t="s">
        <v>214</v>
      </c>
      <c r="O2812" t="s">
        <v>215</v>
      </c>
      <c r="P2812" s="2" t="str">
        <f t="shared" si="78"/>
        <v>http://red-forum.com/forumdisplay.php?f=43</v>
      </c>
      <c r="R2812" t="s">
        <v>6066</v>
      </c>
      <c r="S2812" t="s">
        <v>6073</v>
      </c>
    </row>
    <row r="2813" spans="1:19" ht="14.25" customHeight="1" x14ac:dyDescent="0.3">
      <c r="A2813" t="s">
        <v>3527</v>
      </c>
      <c r="B2813" t="s">
        <v>3889</v>
      </c>
      <c r="C2813" t="s">
        <v>95</v>
      </c>
      <c r="D2813" t="s">
        <v>211</v>
      </c>
      <c r="E2813" t="s">
        <v>3892</v>
      </c>
      <c r="F2813" t="s">
        <v>6056</v>
      </c>
      <c r="G2813" s="2" t="str">
        <f>HYPERLINK("http://red-forum.com/showthread.php?t=29428&amp;page=247#post1370896")</f>
        <v>http://red-forum.com/showthread.php?t=29428&amp;page=247#post1370896</v>
      </c>
      <c r="H2813" t="s">
        <v>6062</v>
      </c>
      <c r="I2813" t="s">
        <v>213</v>
      </c>
      <c r="J2813" s="2" t="str">
        <f>HYPERLINK("http://red-forum.com/member.php?u=7209")</f>
        <v>http://red-forum.com/member.php?u=7209</v>
      </c>
      <c r="N2813" t="s">
        <v>214</v>
      </c>
      <c r="O2813" t="s">
        <v>215</v>
      </c>
      <c r="P2813" s="2" t="str">
        <f t="shared" si="78"/>
        <v>http://red-forum.com/forumdisplay.php?f=43</v>
      </c>
      <c r="R2813" t="s">
        <v>6066</v>
      </c>
      <c r="S2813" t="s">
        <v>6073</v>
      </c>
    </row>
    <row r="2814" spans="1:19" ht="14.25" customHeight="1" x14ac:dyDescent="0.3">
      <c r="A2814" t="s">
        <v>1</v>
      </c>
      <c r="B2814" t="s">
        <v>206</v>
      </c>
      <c r="C2814" t="s">
        <v>95</v>
      </c>
      <c r="D2814" t="s">
        <v>211</v>
      </c>
      <c r="E2814" t="s">
        <v>212</v>
      </c>
      <c r="F2814" t="s">
        <v>6056</v>
      </c>
      <c r="G2814" s="2" t="str">
        <f>HYPERLINK("http://red-forum.com/showthread.php?t=29428&amp;page=248#post1371499")</f>
        <v>http://red-forum.com/showthread.php?t=29428&amp;page=248#post1371499</v>
      </c>
      <c r="H2814" t="s">
        <v>6062</v>
      </c>
      <c r="I2814" t="s">
        <v>213</v>
      </c>
      <c r="J2814" s="2" t="str">
        <f>HYPERLINK("http://red-forum.com/member.php?u=7209")</f>
        <v>http://red-forum.com/member.php?u=7209</v>
      </c>
      <c r="N2814" t="s">
        <v>214</v>
      </c>
      <c r="O2814" t="s">
        <v>215</v>
      </c>
      <c r="P2814" s="2" t="str">
        <f t="shared" si="78"/>
        <v>http://red-forum.com/forumdisplay.php?f=43</v>
      </c>
      <c r="R2814" t="s">
        <v>6066</v>
      </c>
      <c r="S2814" t="s">
        <v>6073</v>
      </c>
    </row>
    <row r="2815" spans="1:19" ht="14.25" customHeight="1" x14ac:dyDescent="0.3">
      <c r="A2815" t="s">
        <v>3527</v>
      </c>
      <c r="B2815" t="s">
        <v>814</v>
      </c>
      <c r="C2815" t="s">
        <v>95</v>
      </c>
      <c r="D2815" t="s">
        <v>211</v>
      </c>
      <c r="E2815" t="s">
        <v>3761</v>
      </c>
      <c r="F2815" t="s">
        <v>6056</v>
      </c>
      <c r="G2815" s="2" t="str">
        <f>HYPERLINK("http://red-forum.com/showthread.php?t=29428&amp;page=246#post1370577")</f>
        <v>http://red-forum.com/showthread.php?t=29428&amp;page=246#post1370577</v>
      </c>
      <c r="H2815" t="s">
        <v>6062</v>
      </c>
      <c r="I2815" t="s">
        <v>3583</v>
      </c>
      <c r="J2815" s="2" t="str">
        <f>HYPERLINK("http://red-forum.com/member.php?u=13727")</f>
        <v>http://red-forum.com/member.php?u=13727</v>
      </c>
      <c r="N2815" t="s">
        <v>214</v>
      </c>
      <c r="O2815" t="s">
        <v>215</v>
      </c>
      <c r="P2815" s="2" t="str">
        <f t="shared" si="78"/>
        <v>http://red-forum.com/forumdisplay.php?f=43</v>
      </c>
      <c r="R2815" t="s">
        <v>6066</v>
      </c>
      <c r="S2815" t="s">
        <v>6073</v>
      </c>
    </row>
    <row r="2816" spans="1:19" ht="14.25" customHeight="1" x14ac:dyDescent="0.3">
      <c r="A2816" t="s">
        <v>3527</v>
      </c>
      <c r="B2816" t="s">
        <v>3580</v>
      </c>
      <c r="C2816" t="s">
        <v>95</v>
      </c>
      <c r="D2816" t="s">
        <v>211</v>
      </c>
      <c r="E2816" t="s">
        <v>3582</v>
      </c>
      <c r="F2816" t="s">
        <v>6056</v>
      </c>
      <c r="G2816" s="2" t="str">
        <f>HYPERLINK("http://red-forum.com/showthread.php?t=29428&amp;page=246#post1370638")</f>
        <v>http://red-forum.com/showthread.php?t=29428&amp;page=246#post1370638</v>
      </c>
      <c r="H2816" t="s">
        <v>6062</v>
      </c>
      <c r="I2816" t="s">
        <v>3583</v>
      </c>
      <c r="J2816" s="2" t="str">
        <f>HYPERLINK("http://red-forum.com/member.php?u=13727")</f>
        <v>http://red-forum.com/member.php?u=13727</v>
      </c>
      <c r="N2816" t="s">
        <v>214</v>
      </c>
      <c r="O2816" t="s">
        <v>215</v>
      </c>
      <c r="P2816" s="2" t="str">
        <f t="shared" si="78"/>
        <v>http://red-forum.com/forumdisplay.php?f=43</v>
      </c>
      <c r="R2816" t="s">
        <v>6066</v>
      </c>
      <c r="S2816" t="s">
        <v>6073</v>
      </c>
    </row>
    <row r="2817" spans="1:19" ht="14.25" customHeight="1" x14ac:dyDescent="0.3">
      <c r="A2817" t="s">
        <v>3527</v>
      </c>
      <c r="B2817" t="s">
        <v>2346</v>
      </c>
      <c r="C2817" t="s">
        <v>95</v>
      </c>
      <c r="D2817" t="s">
        <v>211</v>
      </c>
      <c r="E2817" t="s">
        <v>3620</v>
      </c>
      <c r="F2817" t="s">
        <v>6056</v>
      </c>
      <c r="G2817" s="2" t="str">
        <f>HYPERLINK("http://red-forum.com/showthread.php?t=29428&amp;page=246#post1370628")</f>
        <v>http://red-forum.com/showthread.php?t=29428&amp;page=246#post1370628</v>
      </c>
      <c r="H2817" t="s">
        <v>6062</v>
      </c>
      <c r="I2817" t="s">
        <v>3583</v>
      </c>
      <c r="J2817" s="2" t="str">
        <f>HYPERLINK("http://red-forum.com/member.php?u=13727")</f>
        <v>http://red-forum.com/member.php?u=13727</v>
      </c>
      <c r="N2817" t="s">
        <v>214</v>
      </c>
      <c r="O2817" t="s">
        <v>215</v>
      </c>
      <c r="P2817" s="2" t="str">
        <f t="shared" si="78"/>
        <v>http://red-forum.com/forumdisplay.php?f=43</v>
      </c>
      <c r="R2817" t="s">
        <v>6066</v>
      </c>
      <c r="S2817" t="s">
        <v>6073</v>
      </c>
    </row>
    <row r="2818" spans="1:19" ht="14.25" customHeight="1" x14ac:dyDescent="0.3">
      <c r="A2818" t="s">
        <v>3527</v>
      </c>
      <c r="B2818" t="s">
        <v>740</v>
      </c>
      <c r="C2818" t="s">
        <v>95</v>
      </c>
      <c r="D2818" t="s">
        <v>211</v>
      </c>
      <c r="E2818" t="s">
        <v>3682</v>
      </c>
      <c r="F2818" t="s">
        <v>6056</v>
      </c>
      <c r="G2818" s="2" t="str">
        <f>HYPERLINK("http://red-forum.com/showthread.php?t=29428&amp;page=247#post1370961")</f>
        <v>http://red-forum.com/showthread.php?t=29428&amp;page=247#post1370961</v>
      </c>
      <c r="H2818" t="s">
        <v>6062</v>
      </c>
      <c r="I2818" t="s">
        <v>3683</v>
      </c>
      <c r="J2818" s="2" t="str">
        <f>HYPERLINK("http://red-forum.com/member.php?u=18686")</f>
        <v>http://red-forum.com/member.php?u=18686</v>
      </c>
      <c r="N2818" t="s">
        <v>214</v>
      </c>
      <c r="O2818" t="s">
        <v>215</v>
      </c>
      <c r="P2818" s="2" t="str">
        <f t="shared" si="78"/>
        <v>http://red-forum.com/forumdisplay.php?f=43</v>
      </c>
      <c r="R2818" t="s">
        <v>6066</v>
      </c>
      <c r="S2818" t="s">
        <v>6073</v>
      </c>
    </row>
    <row r="2819" spans="1:19" ht="14.25" customHeight="1" x14ac:dyDescent="0.3">
      <c r="A2819" t="s">
        <v>3527</v>
      </c>
      <c r="B2819" t="s">
        <v>4019</v>
      </c>
      <c r="C2819" t="s">
        <v>95</v>
      </c>
      <c r="D2819" t="s">
        <v>211</v>
      </c>
      <c r="E2819" t="s">
        <v>4020</v>
      </c>
      <c r="F2819" t="s">
        <v>6056</v>
      </c>
      <c r="G2819" s="2" t="str">
        <f>HYPERLINK("http://red-forum.com/showthread.php?t=29428&amp;page=247#post1370866")</f>
        <v>http://red-forum.com/showthread.php?t=29428&amp;page=247#post1370866</v>
      </c>
      <c r="H2819" t="s">
        <v>6062</v>
      </c>
      <c r="I2819" t="s">
        <v>3683</v>
      </c>
      <c r="J2819" s="2" t="str">
        <f>HYPERLINK("http://red-forum.com/member.php?u=18686")</f>
        <v>http://red-forum.com/member.php?u=18686</v>
      </c>
      <c r="N2819" t="s">
        <v>214</v>
      </c>
      <c r="O2819" t="s">
        <v>215</v>
      </c>
      <c r="P2819" s="2" t="str">
        <f t="shared" si="78"/>
        <v>http://red-forum.com/forumdisplay.php?f=43</v>
      </c>
      <c r="R2819" t="s">
        <v>6066</v>
      </c>
      <c r="S2819" t="s">
        <v>6073</v>
      </c>
    </row>
    <row r="2820" spans="1:19" ht="14.25" customHeight="1" x14ac:dyDescent="0.3">
      <c r="A2820" t="s">
        <v>629</v>
      </c>
      <c r="B2820" t="s">
        <v>1412</v>
      </c>
      <c r="C2820" t="s">
        <v>95</v>
      </c>
      <c r="D2820" t="s">
        <v>211</v>
      </c>
      <c r="E2820" t="s">
        <v>1413</v>
      </c>
      <c r="F2820" t="s">
        <v>6056</v>
      </c>
      <c r="G2820" s="2" t="str">
        <f>HYPERLINK("http://red-forum.com/showthread.php?t=29428&amp;page=248#post1371162")</f>
        <v>http://red-forum.com/showthread.php?t=29428&amp;page=248#post1371162</v>
      </c>
      <c r="H2820" t="s">
        <v>6062</v>
      </c>
      <c r="I2820" t="s">
        <v>1414</v>
      </c>
      <c r="J2820" s="2" t="str">
        <f>HYPERLINK("http://red-forum.com/member.php?u=4619")</f>
        <v>http://red-forum.com/member.php?u=4619</v>
      </c>
      <c r="N2820" t="s">
        <v>214</v>
      </c>
      <c r="O2820" t="s">
        <v>215</v>
      </c>
      <c r="P2820" s="2" t="str">
        <f t="shared" si="78"/>
        <v>http://red-forum.com/forumdisplay.php?f=43</v>
      </c>
      <c r="R2820" t="s">
        <v>6066</v>
      </c>
      <c r="S2820" t="s">
        <v>6073</v>
      </c>
    </row>
    <row r="2821" spans="1:19" ht="14.25" customHeight="1" x14ac:dyDescent="0.3">
      <c r="A2821" t="s">
        <v>3527</v>
      </c>
      <c r="B2821" t="s">
        <v>3880</v>
      </c>
      <c r="C2821" t="s">
        <v>95</v>
      </c>
      <c r="D2821" t="s">
        <v>211</v>
      </c>
      <c r="E2821" t="s">
        <v>3881</v>
      </c>
      <c r="F2821" t="s">
        <v>6056</v>
      </c>
      <c r="G2821" s="2" t="str">
        <f>HYPERLINK("http://red-forum.com/showthread.php?t=29428&amp;page=247#post1370898")</f>
        <v>http://red-forum.com/showthread.php?t=29428&amp;page=247#post1370898</v>
      </c>
      <c r="H2821" t="s">
        <v>6062</v>
      </c>
      <c r="I2821" t="s">
        <v>3882</v>
      </c>
      <c r="J2821" s="2" t="str">
        <f>HYPERLINK("http://red-forum.com/member.php?u=1597")</f>
        <v>http://red-forum.com/member.php?u=1597</v>
      </c>
      <c r="N2821" t="s">
        <v>214</v>
      </c>
      <c r="O2821" t="s">
        <v>215</v>
      </c>
      <c r="P2821" s="2" t="str">
        <f t="shared" si="78"/>
        <v>http://red-forum.com/forumdisplay.php?f=43</v>
      </c>
      <c r="R2821" t="s">
        <v>6066</v>
      </c>
      <c r="S2821" t="s">
        <v>6073</v>
      </c>
    </row>
    <row r="2822" spans="1:19" ht="14.25" customHeight="1" x14ac:dyDescent="0.3">
      <c r="A2822" t="s">
        <v>4439</v>
      </c>
      <c r="B2822" t="s">
        <v>4907</v>
      </c>
      <c r="C2822" t="s">
        <v>3538</v>
      </c>
      <c r="D2822" t="s">
        <v>211</v>
      </c>
      <c r="E2822" t="s">
        <v>4908</v>
      </c>
      <c r="F2822" t="s">
        <v>6056</v>
      </c>
      <c r="G2822" s="2" t="str">
        <f>HYPERLINK("http://red-forum.com/showthread.php?t=29428&amp;page=241#post1369832")</f>
        <v>http://red-forum.com/showthread.php?t=29428&amp;page=241#post1369832</v>
      </c>
      <c r="H2822" t="s">
        <v>6062</v>
      </c>
      <c r="I2822" t="s">
        <v>3882</v>
      </c>
      <c r="J2822" s="2" t="str">
        <f>HYPERLINK("http://red-forum.com/member.php?u=1597")</f>
        <v>http://red-forum.com/member.php?u=1597</v>
      </c>
      <c r="N2822" t="s">
        <v>214</v>
      </c>
      <c r="O2822" t="s">
        <v>215</v>
      </c>
      <c r="P2822" s="2" t="str">
        <f t="shared" si="78"/>
        <v>http://red-forum.com/forumdisplay.php?f=43</v>
      </c>
      <c r="R2822" t="s">
        <v>6066</v>
      </c>
      <c r="S2822" t="s">
        <v>6073</v>
      </c>
    </row>
    <row r="2823" spans="1:19" ht="14.25" customHeight="1" x14ac:dyDescent="0.3">
      <c r="A2823" t="s">
        <v>4439</v>
      </c>
      <c r="B2823" t="s">
        <v>363</v>
      </c>
      <c r="C2823" t="s">
        <v>3538</v>
      </c>
      <c r="D2823" t="s">
        <v>211</v>
      </c>
      <c r="E2823" t="s">
        <v>4813</v>
      </c>
      <c r="F2823" t="s">
        <v>6056</v>
      </c>
      <c r="G2823" s="2" t="str">
        <f>HYPERLINK("http://red-forum.com/showthread.php?t=29428&amp;page=242#post1369877")</f>
        <v>http://red-forum.com/showthread.php?t=29428&amp;page=242#post1369877</v>
      </c>
      <c r="H2823" t="s">
        <v>6062</v>
      </c>
      <c r="I2823" t="s">
        <v>4814</v>
      </c>
      <c r="J2823" s="2" t="str">
        <f>HYPERLINK("http://red-forum.com/member.php?u=4997")</f>
        <v>http://red-forum.com/member.php?u=4997</v>
      </c>
      <c r="N2823" t="s">
        <v>214</v>
      </c>
      <c r="O2823" t="s">
        <v>215</v>
      </c>
      <c r="P2823" s="2" t="str">
        <f t="shared" si="78"/>
        <v>http://red-forum.com/forumdisplay.php?f=43</v>
      </c>
      <c r="R2823" t="s">
        <v>6066</v>
      </c>
      <c r="S2823" t="s">
        <v>6073</v>
      </c>
    </row>
    <row r="2824" spans="1:19" ht="14.25" customHeight="1" x14ac:dyDescent="0.3">
      <c r="A2824" t="s">
        <v>4439</v>
      </c>
      <c r="B2824" t="s">
        <v>329</v>
      </c>
      <c r="C2824" t="s">
        <v>3538</v>
      </c>
      <c r="D2824" t="s">
        <v>211</v>
      </c>
      <c r="E2824" t="s">
        <v>4782</v>
      </c>
      <c r="F2824" t="s">
        <v>6056</v>
      </c>
      <c r="G2824" s="2" t="str">
        <f>HYPERLINK("http://red-forum.com/showthread.php?t=29428&amp;page=242#post1369894")</f>
        <v>http://red-forum.com/showthread.php?t=29428&amp;page=242#post1369894</v>
      </c>
      <c r="H2824" t="s">
        <v>6062</v>
      </c>
      <c r="I2824" t="s">
        <v>4783</v>
      </c>
      <c r="J2824" s="2" t="str">
        <f>HYPERLINK("http://red-forum.com/member.php?u=5509")</f>
        <v>http://red-forum.com/member.php?u=5509</v>
      </c>
      <c r="N2824" t="s">
        <v>214</v>
      </c>
      <c r="O2824" t="s">
        <v>215</v>
      </c>
      <c r="P2824" s="2" t="str">
        <f t="shared" si="78"/>
        <v>http://red-forum.com/forumdisplay.php?f=43</v>
      </c>
      <c r="R2824" t="s">
        <v>6066</v>
      </c>
      <c r="S2824" t="s">
        <v>6073</v>
      </c>
    </row>
    <row r="2825" spans="1:19" ht="14.25" customHeight="1" x14ac:dyDescent="0.3">
      <c r="A2825" t="s">
        <v>3527</v>
      </c>
      <c r="B2825" t="s">
        <v>4016</v>
      </c>
      <c r="C2825" t="s">
        <v>95</v>
      </c>
      <c r="D2825" t="s">
        <v>211</v>
      </c>
      <c r="E2825" t="s">
        <v>4017</v>
      </c>
      <c r="F2825" t="s">
        <v>6056</v>
      </c>
      <c r="G2825" s="2" t="str">
        <f>HYPERLINK("http://red-forum.com/showthread.php?t=29428&amp;page=247#post1370868")</f>
        <v>http://red-forum.com/showthread.php?t=29428&amp;page=247#post1370868</v>
      </c>
      <c r="H2825" t="s">
        <v>6062</v>
      </c>
      <c r="I2825" t="s">
        <v>4018</v>
      </c>
      <c r="J2825" s="2" t="str">
        <f>HYPERLINK("http://red-forum.com/member.php?u=17619")</f>
        <v>http://red-forum.com/member.php?u=17619</v>
      </c>
      <c r="N2825" t="s">
        <v>214</v>
      </c>
      <c r="O2825" t="s">
        <v>215</v>
      </c>
      <c r="P2825" s="2" t="str">
        <f t="shared" si="78"/>
        <v>http://red-forum.com/forumdisplay.php?f=43</v>
      </c>
      <c r="R2825" t="s">
        <v>6066</v>
      </c>
      <c r="S2825" t="s">
        <v>6073</v>
      </c>
    </row>
    <row r="2826" spans="1:19" ht="14.25" customHeight="1" x14ac:dyDescent="0.3">
      <c r="A2826" t="s">
        <v>4439</v>
      </c>
      <c r="B2826" t="s">
        <v>2913</v>
      </c>
      <c r="C2826" t="s">
        <v>3538</v>
      </c>
      <c r="D2826" t="s">
        <v>211</v>
      </c>
      <c r="E2826" t="s">
        <v>4520</v>
      </c>
      <c r="F2826" t="s">
        <v>6056</v>
      </c>
      <c r="G2826" s="2" t="str">
        <f>HYPERLINK("http://red-forum.com/showthread.php?t=29428&amp;page=244#post1370125")</f>
        <v>http://red-forum.com/showthread.php?t=29428&amp;page=244#post1370125</v>
      </c>
      <c r="H2826" t="s">
        <v>6062</v>
      </c>
      <c r="I2826" t="s">
        <v>4521</v>
      </c>
      <c r="J2826" s="2" t="str">
        <f>HYPERLINK("http://red-forum.com/member.php?u=17798")</f>
        <v>http://red-forum.com/member.php?u=17798</v>
      </c>
      <c r="N2826" t="s">
        <v>214</v>
      </c>
      <c r="O2826" t="s">
        <v>215</v>
      </c>
      <c r="P2826" s="2" t="str">
        <f t="shared" si="78"/>
        <v>http://red-forum.com/forumdisplay.php?f=43</v>
      </c>
      <c r="R2826" t="s">
        <v>6066</v>
      </c>
      <c r="S2826" t="s">
        <v>6073</v>
      </c>
    </row>
    <row r="2827" spans="1:19" ht="14.25" customHeight="1" x14ac:dyDescent="0.3">
      <c r="A2827" t="s">
        <v>4439</v>
      </c>
      <c r="B2827" t="s">
        <v>2536</v>
      </c>
      <c r="C2827" t="s">
        <v>3538</v>
      </c>
      <c r="D2827" t="s">
        <v>211</v>
      </c>
      <c r="E2827" t="s">
        <v>4487</v>
      </c>
      <c r="F2827" t="s">
        <v>6056</v>
      </c>
      <c r="G2827" s="2" t="str">
        <f>HYPERLINK("http://red-forum.com/showthread.php?t=29428&amp;page=245#post1370155")</f>
        <v>http://red-forum.com/showthread.php?t=29428&amp;page=245#post1370155</v>
      </c>
      <c r="H2827" t="s">
        <v>6062</v>
      </c>
      <c r="I2827" t="s">
        <v>4488</v>
      </c>
      <c r="J2827" s="2" t="str">
        <f>HYPERLINK("http://red-forum.com/member.php?u=1556")</f>
        <v>http://red-forum.com/member.php?u=1556</v>
      </c>
      <c r="N2827" t="s">
        <v>214</v>
      </c>
      <c r="O2827" t="s">
        <v>215</v>
      </c>
      <c r="P2827" s="2" t="str">
        <f t="shared" si="78"/>
        <v>http://red-forum.com/forumdisplay.php?f=43</v>
      </c>
      <c r="R2827" t="s">
        <v>6066</v>
      </c>
      <c r="S2827" t="s">
        <v>6073</v>
      </c>
    </row>
    <row r="2828" spans="1:19" ht="14.25" customHeight="1" x14ac:dyDescent="0.3">
      <c r="A2828" t="s">
        <v>3527</v>
      </c>
      <c r="B2828" t="s">
        <v>1780</v>
      </c>
      <c r="C2828" t="s">
        <v>3538</v>
      </c>
      <c r="D2828" t="s">
        <v>211</v>
      </c>
      <c r="E2828" t="s">
        <v>4311</v>
      </c>
      <c r="F2828" t="s">
        <v>6056</v>
      </c>
      <c r="G2828" s="2" t="str">
        <f>HYPERLINK("http://red-forum.com/showthread.php?t=29428&amp;page=246#post1370696")</f>
        <v>http://red-forum.com/showthread.php?t=29428&amp;page=246#post1370696</v>
      </c>
      <c r="H2828" t="s">
        <v>6062</v>
      </c>
      <c r="I2828" t="s">
        <v>4312</v>
      </c>
      <c r="J2828" s="2" t="str">
        <f>HYPERLINK("http://red-forum.com/member.php?u=17614")</f>
        <v>http://red-forum.com/member.php?u=17614</v>
      </c>
      <c r="N2828" t="s">
        <v>214</v>
      </c>
      <c r="O2828" t="s">
        <v>215</v>
      </c>
      <c r="P2828" s="2" t="str">
        <f t="shared" si="78"/>
        <v>http://red-forum.com/forumdisplay.php?f=43</v>
      </c>
      <c r="R2828" t="s">
        <v>6066</v>
      </c>
      <c r="S2828" t="s">
        <v>6073</v>
      </c>
    </row>
    <row r="2829" spans="1:19" ht="14.25" customHeight="1" x14ac:dyDescent="0.3">
      <c r="A2829" t="s">
        <v>3527</v>
      </c>
      <c r="B2829" t="s">
        <v>993</v>
      </c>
      <c r="C2829" t="s">
        <v>95</v>
      </c>
      <c r="D2829" t="s">
        <v>211</v>
      </c>
      <c r="E2829" t="s">
        <v>4036</v>
      </c>
      <c r="F2829" t="s">
        <v>6056</v>
      </c>
      <c r="G2829" s="2" t="str">
        <f>HYPERLINK("http://red-forum.com/showthread.php?t=29428&amp;page=247#post1370864")</f>
        <v>http://red-forum.com/showthread.php?t=29428&amp;page=247#post1370864</v>
      </c>
      <c r="H2829" t="s">
        <v>6062</v>
      </c>
      <c r="I2829" t="s">
        <v>3923</v>
      </c>
      <c r="J2829" s="2" t="str">
        <f>HYPERLINK("http://red-forum.com/member.php?u=16723")</f>
        <v>http://red-forum.com/member.php?u=16723</v>
      </c>
      <c r="N2829" t="s">
        <v>214</v>
      </c>
      <c r="O2829" t="s">
        <v>215</v>
      </c>
      <c r="P2829" s="2" t="str">
        <f t="shared" si="78"/>
        <v>http://red-forum.com/forumdisplay.php?f=43</v>
      </c>
      <c r="R2829" t="s">
        <v>6066</v>
      </c>
      <c r="S2829" t="s">
        <v>6073</v>
      </c>
    </row>
    <row r="2830" spans="1:19" ht="14.25" customHeight="1" x14ac:dyDescent="0.3">
      <c r="A2830" t="s">
        <v>3527</v>
      </c>
      <c r="B2830" t="s">
        <v>3036</v>
      </c>
      <c r="C2830" t="s">
        <v>95</v>
      </c>
      <c r="D2830" t="s">
        <v>211</v>
      </c>
      <c r="E2830" t="s">
        <v>3922</v>
      </c>
      <c r="F2830" t="s">
        <v>6056</v>
      </c>
      <c r="G2830" s="2" t="str">
        <f>HYPERLINK("http://red-forum.com/showthread.php?t=29428&amp;page=247#post1370888")</f>
        <v>http://red-forum.com/showthread.php?t=29428&amp;page=247#post1370888</v>
      </c>
      <c r="H2830" t="s">
        <v>6062</v>
      </c>
      <c r="I2830" t="s">
        <v>3923</v>
      </c>
      <c r="J2830" s="2" t="str">
        <f>HYPERLINK("http://red-forum.com/member.php?u=16723")</f>
        <v>http://red-forum.com/member.php?u=16723</v>
      </c>
      <c r="N2830" t="s">
        <v>214</v>
      </c>
      <c r="O2830" t="s">
        <v>215</v>
      </c>
      <c r="P2830" s="2" t="str">
        <f t="shared" si="78"/>
        <v>http://red-forum.com/forumdisplay.php?f=43</v>
      </c>
      <c r="R2830" t="s">
        <v>6066</v>
      </c>
      <c r="S2830" t="s">
        <v>6073</v>
      </c>
    </row>
    <row r="2831" spans="1:19" ht="14.25" customHeight="1" x14ac:dyDescent="0.3">
      <c r="A2831" t="s">
        <v>4439</v>
      </c>
      <c r="B2831" t="s">
        <v>4085</v>
      </c>
      <c r="C2831" t="s">
        <v>3538</v>
      </c>
      <c r="D2831" t="s">
        <v>211</v>
      </c>
      <c r="E2831" t="s">
        <v>4625</v>
      </c>
      <c r="F2831" t="s">
        <v>6056</v>
      </c>
      <c r="G2831" s="2" t="str">
        <f>HYPERLINK("http://red-forum.com/showthread.php?t=29428&amp;page=244#post1370012")</f>
        <v>http://red-forum.com/showthread.php?t=29428&amp;page=244#post1370012</v>
      </c>
      <c r="H2831" t="s">
        <v>6062</v>
      </c>
      <c r="I2831" t="s">
        <v>3498</v>
      </c>
      <c r="J2831" s="2" t="str">
        <f>HYPERLINK("http://red-forum.com/member.php?u=1862")</f>
        <v>http://red-forum.com/member.php?u=1862</v>
      </c>
      <c r="N2831" t="s">
        <v>214</v>
      </c>
      <c r="O2831" t="s">
        <v>215</v>
      </c>
      <c r="P2831" s="2" t="str">
        <f t="shared" si="78"/>
        <v>http://red-forum.com/forumdisplay.php?f=43</v>
      </c>
      <c r="R2831" t="s">
        <v>6066</v>
      </c>
      <c r="S2831" t="s">
        <v>6073</v>
      </c>
    </row>
    <row r="2832" spans="1:19" ht="14.25" customHeight="1" x14ac:dyDescent="0.3">
      <c r="A2832" t="s">
        <v>2225</v>
      </c>
      <c r="B2832" t="s">
        <v>587</v>
      </c>
      <c r="C2832" t="s">
        <v>95</v>
      </c>
      <c r="D2832" t="s">
        <v>211</v>
      </c>
      <c r="E2832" t="s">
        <v>3497</v>
      </c>
      <c r="F2832" t="s">
        <v>6056</v>
      </c>
      <c r="G2832" s="2" t="str">
        <f>HYPERLINK("http://red-forum.com/showthread.php?t=29428&amp;page=248#post1371009")</f>
        <v>http://red-forum.com/showthread.php?t=29428&amp;page=248#post1371009</v>
      </c>
      <c r="H2832" t="s">
        <v>6062</v>
      </c>
      <c r="I2832" t="s">
        <v>3498</v>
      </c>
      <c r="J2832" s="2" t="str">
        <f>HYPERLINK("http://red-forum.com/member.php?u=1862")</f>
        <v>http://red-forum.com/member.php?u=1862</v>
      </c>
      <c r="N2832" t="s">
        <v>214</v>
      </c>
      <c r="O2832" t="s">
        <v>215</v>
      </c>
      <c r="P2832" s="2" t="str">
        <f t="shared" ref="P2832:P2863" si="79">HYPERLINK("http://red-forum.com/forumdisplay.php?f=43")</f>
        <v>http://red-forum.com/forumdisplay.php?f=43</v>
      </c>
      <c r="R2832" t="s">
        <v>6066</v>
      </c>
      <c r="S2832" t="s">
        <v>6073</v>
      </c>
    </row>
    <row r="2833" spans="1:19" ht="14.25" customHeight="1" x14ac:dyDescent="0.3">
      <c r="A2833" t="s">
        <v>4439</v>
      </c>
      <c r="B2833" t="s">
        <v>2191</v>
      </c>
      <c r="C2833" t="s">
        <v>3538</v>
      </c>
      <c r="D2833" t="s">
        <v>211</v>
      </c>
      <c r="E2833" t="s">
        <v>4966</v>
      </c>
      <c r="F2833" t="s">
        <v>6056</v>
      </c>
      <c r="G2833" s="2" t="str">
        <f>HYPERLINK("http://red-forum.com/showthread.php?t=29428&amp;page=241#post1369805")</f>
        <v>http://red-forum.com/showthread.php?t=29428&amp;page=241#post1369805</v>
      </c>
      <c r="H2833" t="s">
        <v>6062</v>
      </c>
      <c r="I2833" t="s">
        <v>3498</v>
      </c>
      <c r="J2833" s="2" t="str">
        <f>HYPERLINK("http://red-forum.com/member.php?u=1862")</f>
        <v>http://red-forum.com/member.php?u=1862</v>
      </c>
      <c r="N2833" t="s">
        <v>214</v>
      </c>
      <c r="O2833" t="s">
        <v>215</v>
      </c>
      <c r="P2833" s="2" t="str">
        <f t="shared" si="79"/>
        <v>http://red-forum.com/forumdisplay.php?f=43</v>
      </c>
      <c r="R2833" t="s">
        <v>6066</v>
      </c>
      <c r="S2833" t="s">
        <v>6073</v>
      </c>
    </row>
    <row r="2834" spans="1:19" ht="14.25" customHeight="1" x14ac:dyDescent="0.3">
      <c r="A2834" t="s">
        <v>4439</v>
      </c>
      <c r="B2834" t="s">
        <v>279</v>
      </c>
      <c r="C2834" t="s">
        <v>3538</v>
      </c>
      <c r="D2834" t="s">
        <v>211</v>
      </c>
      <c r="E2834" t="s">
        <v>4770</v>
      </c>
      <c r="F2834" t="s">
        <v>6056</v>
      </c>
      <c r="G2834" s="2" t="str">
        <f>HYPERLINK("http://red-forum.com/showthread.php?t=29428&amp;page=243#post1369904")</f>
        <v>http://red-forum.com/showthread.php?t=29428&amp;page=243#post1369904</v>
      </c>
      <c r="H2834" t="s">
        <v>6062</v>
      </c>
      <c r="I2834" t="s">
        <v>3498</v>
      </c>
      <c r="J2834" s="2" t="str">
        <f>HYPERLINK("http://red-forum.com/member.php?u=1862")</f>
        <v>http://red-forum.com/member.php?u=1862</v>
      </c>
      <c r="N2834" t="s">
        <v>214</v>
      </c>
      <c r="O2834" t="s">
        <v>215</v>
      </c>
      <c r="P2834" s="2" t="str">
        <f t="shared" si="79"/>
        <v>http://red-forum.com/forumdisplay.php?f=43</v>
      </c>
      <c r="R2834" t="s">
        <v>6066</v>
      </c>
      <c r="S2834" t="s">
        <v>6073</v>
      </c>
    </row>
    <row r="2835" spans="1:19" ht="14.25" customHeight="1" x14ac:dyDescent="0.3">
      <c r="A2835" t="s">
        <v>4439</v>
      </c>
      <c r="B2835" t="s">
        <v>2970</v>
      </c>
      <c r="C2835" t="s">
        <v>3538</v>
      </c>
      <c r="D2835" t="s">
        <v>211</v>
      </c>
      <c r="E2835" t="s">
        <v>4557</v>
      </c>
      <c r="F2835" t="s">
        <v>6056</v>
      </c>
      <c r="G2835" s="2" t="str">
        <f>HYPERLINK("http://red-forum.com/showthread.php?t=29428&amp;page=244#post1370082")</f>
        <v>http://red-forum.com/showthread.php?t=29428&amp;page=244#post1370082</v>
      </c>
      <c r="H2835" t="s">
        <v>6062</v>
      </c>
      <c r="I2835" t="s">
        <v>3498</v>
      </c>
      <c r="J2835" s="2" t="str">
        <f>HYPERLINK("http://red-forum.com/member.php?u=1862")</f>
        <v>http://red-forum.com/member.php?u=1862</v>
      </c>
      <c r="N2835" t="s">
        <v>214</v>
      </c>
      <c r="O2835" t="s">
        <v>215</v>
      </c>
      <c r="P2835" s="2" t="str">
        <f t="shared" si="79"/>
        <v>http://red-forum.com/forumdisplay.php?f=43</v>
      </c>
      <c r="R2835" t="s">
        <v>6066</v>
      </c>
      <c r="S2835" t="s">
        <v>6073</v>
      </c>
    </row>
    <row r="2836" spans="1:19" ht="14.25" customHeight="1" x14ac:dyDescent="0.3">
      <c r="A2836" t="s">
        <v>4439</v>
      </c>
      <c r="B2836" t="s">
        <v>2628</v>
      </c>
      <c r="C2836" t="s">
        <v>3538</v>
      </c>
      <c r="D2836" t="s">
        <v>211</v>
      </c>
      <c r="E2836" t="s">
        <v>4501</v>
      </c>
      <c r="F2836" t="s">
        <v>6056</v>
      </c>
      <c r="G2836" s="2" t="str">
        <f>HYPERLINK("http://red-forum.com/showthread.php?t=29428&amp;page=245#post1370149")</f>
        <v>http://red-forum.com/showthread.php?t=29428&amp;page=245#post1370149</v>
      </c>
      <c r="H2836" t="s">
        <v>6062</v>
      </c>
      <c r="I2836" t="s">
        <v>4200</v>
      </c>
      <c r="J2836" s="2" t="str">
        <f>HYPERLINK("http://red-forum.com/member.php?u=9283")</f>
        <v>http://red-forum.com/member.php?u=9283</v>
      </c>
      <c r="L2836" t="s">
        <v>6063</v>
      </c>
      <c r="N2836" t="s">
        <v>214</v>
      </c>
      <c r="O2836" t="s">
        <v>215</v>
      </c>
      <c r="P2836" s="2" t="str">
        <f t="shared" si="79"/>
        <v>http://red-forum.com/forumdisplay.php?f=43</v>
      </c>
      <c r="R2836" t="s">
        <v>6066</v>
      </c>
      <c r="S2836" t="s">
        <v>6073</v>
      </c>
    </row>
    <row r="2837" spans="1:19" ht="14.25" customHeight="1" x14ac:dyDescent="0.3">
      <c r="A2837" t="s">
        <v>3527</v>
      </c>
      <c r="B2837" t="s">
        <v>1370</v>
      </c>
      <c r="C2837" t="s">
        <v>95</v>
      </c>
      <c r="D2837" t="s">
        <v>211</v>
      </c>
      <c r="E2837" t="s">
        <v>4199</v>
      </c>
      <c r="F2837" t="s">
        <v>6056</v>
      </c>
      <c r="G2837" s="2" t="str">
        <f>HYPERLINK("http://red-forum.com/showthread.php?t=29428&amp;page=245#post1370405")</f>
        <v>http://red-forum.com/showthread.php?t=29428&amp;page=245#post1370405</v>
      </c>
      <c r="H2837" t="s">
        <v>6062</v>
      </c>
      <c r="I2837" t="s">
        <v>4200</v>
      </c>
      <c r="J2837" s="2" t="str">
        <f>HYPERLINK("http://red-forum.com/member.php?u=9283")</f>
        <v>http://red-forum.com/member.php?u=9283</v>
      </c>
      <c r="L2837" t="s">
        <v>6063</v>
      </c>
      <c r="N2837" t="s">
        <v>214</v>
      </c>
      <c r="O2837" t="s">
        <v>215</v>
      </c>
      <c r="P2837" s="2" t="str">
        <f t="shared" si="79"/>
        <v>http://red-forum.com/forumdisplay.php?f=43</v>
      </c>
      <c r="R2837" t="s">
        <v>6066</v>
      </c>
      <c r="S2837" t="s">
        <v>6073</v>
      </c>
    </row>
    <row r="2838" spans="1:19" ht="14.25" customHeight="1" x14ac:dyDescent="0.3">
      <c r="A2838" t="s">
        <v>4439</v>
      </c>
      <c r="B2838" t="s">
        <v>3828</v>
      </c>
      <c r="C2838" t="s">
        <v>3538</v>
      </c>
      <c r="D2838" t="s">
        <v>211</v>
      </c>
      <c r="E2838" t="s">
        <v>4543</v>
      </c>
      <c r="F2838" t="s">
        <v>6056</v>
      </c>
      <c r="G2838" s="2" t="str">
        <f>HYPERLINK("http://red-forum.com/showthread.php?t=29428&amp;page=244#post1370086")</f>
        <v>http://red-forum.com/showthread.php?t=29428&amp;page=244#post1370086</v>
      </c>
      <c r="H2838" t="s">
        <v>6062</v>
      </c>
      <c r="I2838" t="s">
        <v>4544</v>
      </c>
      <c r="J2838" s="2" t="str">
        <f>HYPERLINK("http://red-forum.com/member.php?u=3113")</f>
        <v>http://red-forum.com/member.php?u=3113</v>
      </c>
      <c r="N2838" t="s">
        <v>214</v>
      </c>
      <c r="O2838" t="s">
        <v>215</v>
      </c>
      <c r="P2838" s="2" t="str">
        <f t="shared" si="79"/>
        <v>http://red-forum.com/forumdisplay.php?f=43</v>
      </c>
      <c r="R2838" t="s">
        <v>6066</v>
      </c>
      <c r="S2838" t="s">
        <v>6073</v>
      </c>
    </row>
    <row r="2839" spans="1:19" ht="14.25" customHeight="1" x14ac:dyDescent="0.3">
      <c r="A2839" t="s">
        <v>4439</v>
      </c>
      <c r="B2839" t="s">
        <v>2060</v>
      </c>
      <c r="C2839" t="s">
        <v>3538</v>
      </c>
      <c r="D2839" t="s">
        <v>211</v>
      </c>
      <c r="E2839" t="s">
        <v>4886</v>
      </c>
      <c r="F2839" t="s">
        <v>6056</v>
      </c>
      <c r="G2839" s="2" t="str">
        <f>HYPERLINK("http://red-forum.com/showthread.php?t=29428&amp;page=242#post1369845")</f>
        <v>http://red-forum.com/showthread.php?t=29428&amp;page=242#post1369845</v>
      </c>
      <c r="H2839" t="s">
        <v>6062</v>
      </c>
      <c r="I2839" t="s">
        <v>4887</v>
      </c>
      <c r="J2839" s="2" t="str">
        <f>HYPERLINK("http://red-forum.com/member.php?u=83")</f>
        <v>http://red-forum.com/member.php?u=83</v>
      </c>
      <c r="N2839" t="s">
        <v>214</v>
      </c>
      <c r="O2839" t="s">
        <v>215</v>
      </c>
      <c r="P2839" s="2" t="str">
        <f t="shared" si="79"/>
        <v>http://red-forum.com/forumdisplay.php?f=43</v>
      </c>
      <c r="R2839" t="s">
        <v>6066</v>
      </c>
      <c r="S2839" t="s">
        <v>6073</v>
      </c>
    </row>
    <row r="2840" spans="1:19" ht="14.25" customHeight="1" x14ac:dyDescent="0.3">
      <c r="A2840" t="s">
        <v>4439</v>
      </c>
      <c r="B2840" t="s">
        <v>3732</v>
      </c>
      <c r="C2840" t="s">
        <v>3538</v>
      </c>
      <c r="D2840" t="s">
        <v>211</v>
      </c>
      <c r="E2840" t="s">
        <v>4522</v>
      </c>
      <c r="F2840" t="s">
        <v>6056</v>
      </c>
      <c r="G2840" s="2" t="str">
        <f>HYPERLINK("http://red-forum.com/showthread.php?t=29428&amp;page=244#post1370124")</f>
        <v>http://red-forum.com/showthread.php?t=29428&amp;page=244#post1370124</v>
      </c>
      <c r="H2840" t="s">
        <v>6062</v>
      </c>
      <c r="I2840" t="s">
        <v>4523</v>
      </c>
      <c r="J2840" s="2" t="str">
        <f>HYPERLINK("http://red-forum.com/member.php?u=816")</f>
        <v>http://red-forum.com/member.php?u=816</v>
      </c>
      <c r="N2840" t="s">
        <v>214</v>
      </c>
      <c r="O2840" t="s">
        <v>215</v>
      </c>
      <c r="P2840" s="2" t="str">
        <f t="shared" si="79"/>
        <v>http://red-forum.com/forumdisplay.php?f=43</v>
      </c>
      <c r="R2840" t="s">
        <v>6066</v>
      </c>
      <c r="S2840" t="s">
        <v>6073</v>
      </c>
    </row>
    <row r="2841" spans="1:19" ht="14.25" customHeight="1" x14ac:dyDescent="0.3">
      <c r="A2841" t="s">
        <v>4439</v>
      </c>
      <c r="B2841" t="s">
        <v>4924</v>
      </c>
      <c r="C2841" t="s">
        <v>3538</v>
      </c>
      <c r="D2841" t="s">
        <v>211</v>
      </c>
      <c r="E2841" t="s">
        <v>4925</v>
      </c>
      <c r="F2841" t="s">
        <v>6056</v>
      </c>
      <c r="G2841" s="2" t="str">
        <f>HYPERLINK("http://red-forum.com/showthread.php?t=29428&amp;page=241#post1369825")</f>
        <v>http://red-forum.com/showthread.php?t=29428&amp;page=241#post1369825</v>
      </c>
      <c r="H2841" t="s">
        <v>6062</v>
      </c>
      <c r="I2841" t="s">
        <v>4926</v>
      </c>
      <c r="J2841" s="2" t="str">
        <f>HYPERLINK("http://red-forum.com/member.php?u=1643")</f>
        <v>http://red-forum.com/member.php?u=1643</v>
      </c>
      <c r="N2841" t="s">
        <v>214</v>
      </c>
      <c r="O2841" t="s">
        <v>215</v>
      </c>
      <c r="P2841" s="2" t="str">
        <f t="shared" si="79"/>
        <v>http://red-forum.com/forumdisplay.php?f=43</v>
      </c>
      <c r="R2841" t="s">
        <v>6066</v>
      </c>
      <c r="S2841" t="s">
        <v>6073</v>
      </c>
    </row>
    <row r="2842" spans="1:19" ht="14.25" customHeight="1" x14ac:dyDescent="0.3">
      <c r="A2842" t="s">
        <v>3527</v>
      </c>
      <c r="B2842" t="s">
        <v>2275</v>
      </c>
      <c r="C2842" t="s">
        <v>95</v>
      </c>
      <c r="D2842" t="s">
        <v>211</v>
      </c>
      <c r="E2842" t="s">
        <v>3574</v>
      </c>
      <c r="F2842" t="s">
        <v>6056</v>
      </c>
      <c r="G2842" s="2" t="str">
        <f>HYPERLINK("http://red-forum.com/showthread.php?t=29428&amp;page=248#post1370987")</f>
        <v>http://red-forum.com/showthread.php?t=29428&amp;page=248#post1370987</v>
      </c>
      <c r="H2842" t="s">
        <v>6062</v>
      </c>
      <c r="I2842" t="s">
        <v>3575</v>
      </c>
      <c r="J2842" s="2" t="str">
        <f>HYPERLINK("http://red-forum.com/member.php?u=1602")</f>
        <v>http://red-forum.com/member.php?u=1602</v>
      </c>
      <c r="N2842" t="s">
        <v>214</v>
      </c>
      <c r="O2842" t="s">
        <v>215</v>
      </c>
      <c r="P2842" s="2" t="str">
        <f t="shared" si="79"/>
        <v>http://red-forum.com/forumdisplay.php?f=43</v>
      </c>
      <c r="R2842" t="s">
        <v>6066</v>
      </c>
      <c r="S2842" t="s">
        <v>6073</v>
      </c>
    </row>
    <row r="2843" spans="1:19" ht="14.25" customHeight="1" x14ac:dyDescent="0.3">
      <c r="A2843" t="s">
        <v>3527</v>
      </c>
      <c r="B2843" t="s">
        <v>143</v>
      </c>
      <c r="C2843" t="s">
        <v>3538</v>
      </c>
      <c r="D2843" t="s">
        <v>211</v>
      </c>
      <c r="E2843" t="s">
        <v>4235</v>
      </c>
      <c r="F2843" t="s">
        <v>6056</v>
      </c>
      <c r="G2843" s="2" t="str">
        <f>HYPERLINK("http://red-forum.com/showthread.php?t=29428&amp;page=245#post1370374")</f>
        <v>http://red-forum.com/showthread.php?t=29428&amp;page=245#post1370374</v>
      </c>
      <c r="H2843" t="s">
        <v>6062</v>
      </c>
      <c r="I2843" t="s">
        <v>2146</v>
      </c>
      <c r="J2843" s="2" t="str">
        <f>HYPERLINK("http://red-forum.com/member.php?u=14")</f>
        <v>http://red-forum.com/member.php?u=14</v>
      </c>
      <c r="N2843" t="s">
        <v>214</v>
      </c>
      <c r="O2843" t="s">
        <v>215</v>
      </c>
      <c r="P2843" s="2" t="str">
        <f t="shared" si="79"/>
        <v>http://red-forum.com/forumdisplay.php?f=43</v>
      </c>
      <c r="R2843" t="s">
        <v>6066</v>
      </c>
      <c r="S2843" t="s">
        <v>6073</v>
      </c>
    </row>
    <row r="2844" spans="1:19" ht="14.25" customHeight="1" x14ac:dyDescent="0.3">
      <c r="A2844" t="s">
        <v>629</v>
      </c>
      <c r="B2844" t="s">
        <v>2144</v>
      </c>
      <c r="C2844" t="s">
        <v>95</v>
      </c>
      <c r="D2844" t="s">
        <v>211</v>
      </c>
      <c r="E2844" t="s">
        <v>2145</v>
      </c>
      <c r="F2844" t="s">
        <v>6056</v>
      </c>
      <c r="G2844" s="2" t="str">
        <f>HYPERLINK("http://red-forum.com/showthread.php?t=29428&amp;page=248#post1371012")</f>
        <v>http://red-forum.com/showthread.php?t=29428&amp;page=248#post1371012</v>
      </c>
      <c r="H2844" t="s">
        <v>6062</v>
      </c>
      <c r="I2844" t="s">
        <v>2146</v>
      </c>
      <c r="J2844" s="2" t="str">
        <f>HYPERLINK("http://red-forum.com/member.php?u=14")</f>
        <v>http://red-forum.com/member.php?u=14</v>
      </c>
      <c r="N2844" t="s">
        <v>214</v>
      </c>
      <c r="O2844" t="s">
        <v>215</v>
      </c>
      <c r="P2844" s="2" t="str">
        <f t="shared" si="79"/>
        <v>http://red-forum.com/forumdisplay.php?f=43</v>
      </c>
      <c r="R2844" t="s">
        <v>6066</v>
      </c>
      <c r="S2844" t="s">
        <v>6073</v>
      </c>
    </row>
    <row r="2845" spans="1:19" ht="14.25" customHeight="1" x14ac:dyDescent="0.3">
      <c r="A2845" t="s">
        <v>3527</v>
      </c>
      <c r="B2845" t="s">
        <v>2324</v>
      </c>
      <c r="C2845" t="s">
        <v>95</v>
      </c>
      <c r="D2845" t="s">
        <v>211</v>
      </c>
      <c r="E2845" t="s">
        <v>3603</v>
      </c>
      <c r="F2845" t="s">
        <v>6056</v>
      </c>
      <c r="G2845" s="2" t="str">
        <f>HYPERLINK("http://red-forum.com/showthread.php?t=29428&amp;page=246#post1370632")</f>
        <v>http://red-forum.com/showthread.php?t=29428&amp;page=246#post1370632</v>
      </c>
      <c r="H2845" t="s">
        <v>6062</v>
      </c>
      <c r="I2845" t="s">
        <v>3566</v>
      </c>
      <c r="J2845" s="2" t="str">
        <f t="shared" ref="J2845:J2850" si="80">HYPERLINK("http://red-forum.com/member.php?u=6492")</f>
        <v>http://red-forum.com/member.php?u=6492</v>
      </c>
      <c r="N2845" t="s">
        <v>214</v>
      </c>
      <c r="O2845" t="s">
        <v>215</v>
      </c>
      <c r="P2845" s="2" t="str">
        <f t="shared" si="79"/>
        <v>http://red-forum.com/forumdisplay.php?f=43</v>
      </c>
      <c r="R2845" t="s">
        <v>6066</v>
      </c>
      <c r="S2845" t="s">
        <v>6073</v>
      </c>
    </row>
    <row r="2846" spans="1:19" ht="14.25" customHeight="1" x14ac:dyDescent="0.3">
      <c r="A2846" t="s">
        <v>3527</v>
      </c>
      <c r="B2846" t="s">
        <v>3562</v>
      </c>
      <c r="C2846" t="s">
        <v>95</v>
      </c>
      <c r="D2846" t="s">
        <v>211</v>
      </c>
      <c r="E2846" t="s">
        <v>3565</v>
      </c>
      <c r="F2846" t="s">
        <v>6056</v>
      </c>
      <c r="G2846" s="2" t="str">
        <f>HYPERLINK("http://red-forum.com/showthread.php?t=29428&amp;page=246#post1370642")</f>
        <v>http://red-forum.com/showthread.php?t=29428&amp;page=246#post1370642</v>
      </c>
      <c r="H2846" t="s">
        <v>6062</v>
      </c>
      <c r="I2846" t="s">
        <v>3566</v>
      </c>
      <c r="J2846" s="2" t="str">
        <f t="shared" si="80"/>
        <v>http://red-forum.com/member.php?u=6492</v>
      </c>
      <c r="N2846" t="s">
        <v>214</v>
      </c>
      <c r="O2846" t="s">
        <v>215</v>
      </c>
      <c r="P2846" s="2" t="str">
        <f t="shared" si="79"/>
        <v>http://red-forum.com/forumdisplay.php?f=43</v>
      </c>
      <c r="R2846" t="s">
        <v>6066</v>
      </c>
      <c r="S2846" t="s">
        <v>6073</v>
      </c>
    </row>
    <row r="2847" spans="1:19" ht="14.25" customHeight="1" x14ac:dyDescent="0.3">
      <c r="A2847" t="s">
        <v>4439</v>
      </c>
      <c r="B2847" t="s">
        <v>767</v>
      </c>
      <c r="C2847" t="s">
        <v>3538</v>
      </c>
      <c r="D2847" t="s">
        <v>211</v>
      </c>
      <c r="E2847" t="s">
        <v>4516</v>
      </c>
      <c r="F2847" t="s">
        <v>6056</v>
      </c>
      <c r="G2847" s="2" t="str">
        <f>HYPERLINK("http://red-forum.com/showthread.php?t=29428&amp;page=244#post1370134")</f>
        <v>http://red-forum.com/showthread.php?t=29428&amp;page=244#post1370134</v>
      </c>
      <c r="H2847" t="s">
        <v>6062</v>
      </c>
      <c r="I2847" t="s">
        <v>3566</v>
      </c>
      <c r="J2847" s="2" t="str">
        <f t="shared" si="80"/>
        <v>http://red-forum.com/member.php?u=6492</v>
      </c>
      <c r="N2847" t="s">
        <v>214</v>
      </c>
      <c r="O2847" t="s">
        <v>215</v>
      </c>
      <c r="P2847" s="2" t="str">
        <f t="shared" si="79"/>
        <v>http://red-forum.com/forumdisplay.php?f=43</v>
      </c>
      <c r="R2847" t="s">
        <v>6066</v>
      </c>
      <c r="S2847" t="s">
        <v>6073</v>
      </c>
    </row>
    <row r="2848" spans="1:19" ht="14.25" customHeight="1" x14ac:dyDescent="0.3">
      <c r="A2848" t="s">
        <v>4439</v>
      </c>
      <c r="B2848" t="s">
        <v>1391</v>
      </c>
      <c r="C2848" t="s">
        <v>3538</v>
      </c>
      <c r="D2848" t="s">
        <v>211</v>
      </c>
      <c r="E2848" t="s">
        <v>4685</v>
      </c>
      <c r="F2848" t="s">
        <v>6056</v>
      </c>
      <c r="G2848" s="2" t="str">
        <f>HYPERLINK("http://red-forum.com/showthread.php?t=29428&amp;page=243#post1369938")</f>
        <v>http://red-forum.com/showthread.php?t=29428&amp;page=243#post1369938</v>
      </c>
      <c r="H2848" t="s">
        <v>6062</v>
      </c>
      <c r="I2848" t="s">
        <v>3566</v>
      </c>
      <c r="J2848" s="2" t="str">
        <f t="shared" si="80"/>
        <v>http://red-forum.com/member.php?u=6492</v>
      </c>
      <c r="N2848" t="s">
        <v>214</v>
      </c>
      <c r="O2848" t="s">
        <v>215</v>
      </c>
      <c r="P2848" s="2" t="str">
        <f t="shared" si="79"/>
        <v>http://red-forum.com/forumdisplay.php?f=43</v>
      </c>
      <c r="R2848" t="s">
        <v>6066</v>
      </c>
      <c r="S2848" t="s">
        <v>6073</v>
      </c>
    </row>
    <row r="2849" spans="1:19" ht="14.25" customHeight="1" x14ac:dyDescent="0.3">
      <c r="A2849" t="s">
        <v>4439</v>
      </c>
      <c r="B2849" t="s">
        <v>3234</v>
      </c>
      <c r="C2849" t="s">
        <v>3538</v>
      </c>
      <c r="D2849" t="s">
        <v>211</v>
      </c>
      <c r="E2849" t="s">
        <v>4671</v>
      </c>
      <c r="F2849" t="s">
        <v>6056</v>
      </c>
      <c r="G2849" s="2" t="str">
        <f>HYPERLINK("http://red-forum.com/showthread.php?t=29428&amp;page=243#post1369958")</f>
        <v>http://red-forum.com/showthread.php?t=29428&amp;page=243#post1369958</v>
      </c>
      <c r="H2849" t="s">
        <v>6062</v>
      </c>
      <c r="I2849" t="s">
        <v>3566</v>
      </c>
      <c r="J2849" s="2" t="str">
        <f t="shared" si="80"/>
        <v>http://red-forum.com/member.php?u=6492</v>
      </c>
      <c r="N2849" t="s">
        <v>214</v>
      </c>
      <c r="O2849" t="s">
        <v>215</v>
      </c>
      <c r="P2849" s="2" t="str">
        <f t="shared" si="79"/>
        <v>http://red-forum.com/forumdisplay.php?f=43</v>
      </c>
      <c r="R2849" t="s">
        <v>6066</v>
      </c>
      <c r="S2849" t="s">
        <v>6073</v>
      </c>
    </row>
    <row r="2850" spans="1:19" ht="14.25" customHeight="1" x14ac:dyDescent="0.3">
      <c r="A2850" t="s">
        <v>4439</v>
      </c>
      <c r="B2850" t="s">
        <v>340</v>
      </c>
      <c r="C2850" t="s">
        <v>3538</v>
      </c>
      <c r="D2850" t="s">
        <v>211</v>
      </c>
      <c r="E2850" t="s">
        <v>4786</v>
      </c>
      <c r="F2850" t="s">
        <v>6056</v>
      </c>
      <c r="G2850" s="2" t="str">
        <f>HYPERLINK("http://red-forum.com/showthread.php?t=29428&amp;page=242#post1369890")</f>
        <v>http://red-forum.com/showthread.php?t=29428&amp;page=242#post1369890</v>
      </c>
      <c r="H2850" t="s">
        <v>6062</v>
      </c>
      <c r="I2850" t="s">
        <v>3566</v>
      </c>
      <c r="J2850" s="2" t="str">
        <f t="shared" si="80"/>
        <v>http://red-forum.com/member.php?u=6492</v>
      </c>
      <c r="N2850" t="s">
        <v>214</v>
      </c>
      <c r="O2850" t="s">
        <v>215</v>
      </c>
      <c r="P2850" s="2" t="str">
        <f t="shared" si="79"/>
        <v>http://red-forum.com/forumdisplay.php?f=43</v>
      </c>
      <c r="R2850" t="s">
        <v>6066</v>
      </c>
      <c r="S2850" t="s">
        <v>6073</v>
      </c>
    </row>
    <row r="2851" spans="1:19" ht="14.25" customHeight="1" x14ac:dyDescent="0.3">
      <c r="A2851" t="s">
        <v>3527</v>
      </c>
      <c r="B2851" t="s">
        <v>828</v>
      </c>
      <c r="C2851" t="s">
        <v>95</v>
      </c>
      <c r="D2851" t="s">
        <v>211</v>
      </c>
      <c r="E2851" t="s">
        <v>3794</v>
      </c>
      <c r="F2851" t="s">
        <v>6056</v>
      </c>
      <c r="G2851" s="2" t="str">
        <f>HYPERLINK("http://red-forum.com/showthread.php?t=29428&amp;page=246#post1370566")</f>
        <v>http://red-forum.com/showthread.php?t=29428&amp;page=246#post1370566</v>
      </c>
      <c r="H2851" t="s">
        <v>6062</v>
      </c>
      <c r="I2851" t="s">
        <v>3795</v>
      </c>
      <c r="J2851" s="2" t="str">
        <f>HYPERLINK("http://red-forum.com/member.php?u=9560")</f>
        <v>http://red-forum.com/member.php?u=9560</v>
      </c>
      <c r="N2851" t="s">
        <v>214</v>
      </c>
      <c r="O2851" t="s">
        <v>215</v>
      </c>
      <c r="P2851" s="2" t="str">
        <f t="shared" si="79"/>
        <v>http://red-forum.com/forumdisplay.php?f=43</v>
      </c>
      <c r="R2851" t="s">
        <v>6066</v>
      </c>
      <c r="S2851" t="s">
        <v>6073</v>
      </c>
    </row>
    <row r="2852" spans="1:19" ht="14.25" customHeight="1" x14ac:dyDescent="0.3">
      <c r="A2852" t="s">
        <v>3527</v>
      </c>
      <c r="B2852" t="s">
        <v>3604</v>
      </c>
      <c r="C2852" t="s">
        <v>95</v>
      </c>
      <c r="D2852" t="s">
        <v>211</v>
      </c>
      <c r="E2852" t="s">
        <v>3608</v>
      </c>
      <c r="F2852" t="s">
        <v>6056</v>
      </c>
      <c r="G2852" s="2" t="str">
        <f>HYPERLINK("http://red-forum.com/showthread.php?t=29428&amp;page=246#post1370631")</f>
        <v>http://red-forum.com/showthread.php?t=29428&amp;page=246#post1370631</v>
      </c>
      <c r="H2852" t="s">
        <v>6062</v>
      </c>
      <c r="I2852" t="s">
        <v>3609</v>
      </c>
      <c r="J2852" s="2" t="str">
        <f>HYPERLINK("http://red-forum.com/member.php?u=4504")</f>
        <v>http://red-forum.com/member.php?u=4504</v>
      </c>
      <c r="N2852" t="s">
        <v>214</v>
      </c>
      <c r="O2852" t="s">
        <v>215</v>
      </c>
      <c r="P2852" s="2" t="str">
        <f t="shared" si="79"/>
        <v>http://red-forum.com/forumdisplay.php?f=43</v>
      </c>
      <c r="R2852" t="s">
        <v>6066</v>
      </c>
      <c r="S2852" t="s">
        <v>6073</v>
      </c>
    </row>
    <row r="2853" spans="1:19" ht="14.25" customHeight="1" x14ac:dyDescent="0.3">
      <c r="A2853" t="s">
        <v>4439</v>
      </c>
      <c r="B2853" t="s">
        <v>675</v>
      </c>
      <c r="C2853" t="s">
        <v>3538</v>
      </c>
      <c r="D2853" t="s">
        <v>211</v>
      </c>
      <c r="E2853" t="s">
        <v>4449</v>
      </c>
      <c r="F2853" t="s">
        <v>6056</v>
      </c>
      <c r="G2853" s="2" t="str">
        <f>HYPERLINK("http://red-forum.com/showthread.php?t=29428&amp;page=245#post1370189")</f>
        <v>http://red-forum.com/showthread.php?t=29428&amp;page=245#post1370189</v>
      </c>
      <c r="H2853" t="s">
        <v>6062</v>
      </c>
      <c r="I2853" t="s">
        <v>4450</v>
      </c>
      <c r="J2853" s="2" t="str">
        <f>HYPERLINK("http://red-forum.com/member.php?u=2619")</f>
        <v>http://red-forum.com/member.php?u=2619</v>
      </c>
      <c r="N2853" t="s">
        <v>214</v>
      </c>
      <c r="O2853" t="s">
        <v>215</v>
      </c>
      <c r="P2853" s="2" t="str">
        <f t="shared" si="79"/>
        <v>http://red-forum.com/forumdisplay.php?f=43</v>
      </c>
      <c r="R2853" t="s">
        <v>6066</v>
      </c>
      <c r="S2853" t="s">
        <v>6073</v>
      </c>
    </row>
    <row r="2854" spans="1:19" ht="14.25" customHeight="1" x14ac:dyDescent="0.3">
      <c r="A2854" t="s">
        <v>3527</v>
      </c>
      <c r="B2854" t="s">
        <v>1003</v>
      </c>
      <c r="C2854" t="s">
        <v>95</v>
      </c>
      <c r="D2854" t="s">
        <v>211</v>
      </c>
      <c r="E2854" t="s">
        <v>4041</v>
      </c>
      <c r="F2854" t="s">
        <v>6056</v>
      </c>
      <c r="G2854" s="2" t="str">
        <f>HYPERLINK("http://red-forum.com/showthread.php?t=29428&amp;page=247#post1370860")</f>
        <v>http://red-forum.com/showthread.php?t=29428&amp;page=247#post1370860</v>
      </c>
      <c r="H2854" t="s">
        <v>6062</v>
      </c>
      <c r="I2854" t="s">
        <v>4042</v>
      </c>
      <c r="J2854" s="2" t="str">
        <f>HYPERLINK("http://red-forum.com/member.php?u=16787")</f>
        <v>http://red-forum.com/member.php?u=16787</v>
      </c>
      <c r="N2854" t="s">
        <v>214</v>
      </c>
      <c r="O2854" t="s">
        <v>215</v>
      </c>
      <c r="P2854" s="2" t="str">
        <f t="shared" si="79"/>
        <v>http://red-forum.com/forumdisplay.php?f=43</v>
      </c>
      <c r="R2854" t="s">
        <v>6066</v>
      </c>
      <c r="S2854" t="s">
        <v>6073</v>
      </c>
    </row>
    <row r="2855" spans="1:19" ht="14.25" customHeight="1" x14ac:dyDescent="0.3">
      <c r="A2855" t="s">
        <v>4439</v>
      </c>
      <c r="B2855" t="s">
        <v>2596</v>
      </c>
      <c r="C2855" t="s">
        <v>3538</v>
      </c>
      <c r="D2855" t="s">
        <v>211</v>
      </c>
      <c r="E2855" t="s">
        <v>4494</v>
      </c>
      <c r="F2855" t="s">
        <v>6056</v>
      </c>
      <c r="G2855" s="2" t="str">
        <f>HYPERLINK("http://red-forum.com/showthread.php?t=29428&amp;page=245#post1370153")</f>
        <v>http://red-forum.com/showthread.php?t=29428&amp;page=245#post1370153</v>
      </c>
      <c r="H2855" t="s">
        <v>6062</v>
      </c>
      <c r="I2855" t="s">
        <v>4495</v>
      </c>
      <c r="J2855" s="2" t="str">
        <f>HYPERLINK("http://red-forum.com/member.php?u=12382")</f>
        <v>http://red-forum.com/member.php?u=12382</v>
      </c>
      <c r="N2855" t="s">
        <v>214</v>
      </c>
      <c r="O2855" t="s">
        <v>215</v>
      </c>
      <c r="P2855" s="2" t="str">
        <f t="shared" si="79"/>
        <v>http://red-forum.com/forumdisplay.php?f=43</v>
      </c>
      <c r="R2855" t="s">
        <v>6066</v>
      </c>
      <c r="S2855" t="s">
        <v>6073</v>
      </c>
    </row>
    <row r="2856" spans="1:19" ht="14.25" customHeight="1" x14ac:dyDescent="0.3">
      <c r="A2856" t="s">
        <v>4439</v>
      </c>
      <c r="B2856" t="s">
        <v>4892</v>
      </c>
      <c r="C2856" t="s">
        <v>3538</v>
      </c>
      <c r="D2856" t="s">
        <v>211</v>
      </c>
      <c r="E2856" t="s">
        <v>4893</v>
      </c>
      <c r="F2856" t="s">
        <v>6056</v>
      </c>
      <c r="G2856" s="2" t="str">
        <f>HYPERLINK("http://red-forum.com/showthread.php?t=29428&amp;page=241#post1369841")</f>
        <v>http://red-forum.com/showthread.php?t=29428&amp;page=241#post1369841</v>
      </c>
      <c r="H2856" t="s">
        <v>6062</v>
      </c>
      <c r="I2856" t="s">
        <v>4894</v>
      </c>
      <c r="J2856" s="2" t="str">
        <f>HYPERLINK("http://red-forum.com/member.php?u=49")</f>
        <v>http://red-forum.com/member.php?u=49</v>
      </c>
      <c r="N2856" t="s">
        <v>214</v>
      </c>
      <c r="O2856" t="s">
        <v>215</v>
      </c>
      <c r="P2856" s="2" t="str">
        <f t="shared" si="79"/>
        <v>http://red-forum.com/forumdisplay.php?f=43</v>
      </c>
      <c r="R2856" t="s">
        <v>6066</v>
      </c>
      <c r="S2856" t="s">
        <v>6073</v>
      </c>
    </row>
    <row r="2857" spans="1:19" ht="14.25" customHeight="1" x14ac:dyDescent="0.3">
      <c r="A2857" t="s">
        <v>4439</v>
      </c>
      <c r="B2857" t="s">
        <v>4912</v>
      </c>
      <c r="C2857" t="s">
        <v>3538</v>
      </c>
      <c r="D2857" t="s">
        <v>211</v>
      </c>
      <c r="E2857" t="s">
        <v>4913</v>
      </c>
      <c r="F2857" t="s">
        <v>6056</v>
      </c>
      <c r="G2857" s="2" t="str">
        <f>HYPERLINK("http://red-forum.com/showthread.php?t=29428&amp;page=241#post1369830")</f>
        <v>http://red-forum.com/showthread.php?t=29428&amp;page=241#post1369830</v>
      </c>
      <c r="H2857" t="s">
        <v>6062</v>
      </c>
      <c r="I2857" t="s">
        <v>4681</v>
      </c>
      <c r="J2857" s="2" t="str">
        <f>HYPERLINK("http://red-forum.com/member.php?u=11750")</f>
        <v>http://red-forum.com/member.php?u=11750</v>
      </c>
      <c r="N2857" t="s">
        <v>214</v>
      </c>
      <c r="O2857" t="s">
        <v>215</v>
      </c>
      <c r="P2857" s="2" t="str">
        <f t="shared" si="79"/>
        <v>http://red-forum.com/forumdisplay.php?f=43</v>
      </c>
      <c r="R2857" t="s">
        <v>6066</v>
      </c>
      <c r="S2857" t="s">
        <v>6073</v>
      </c>
    </row>
    <row r="2858" spans="1:19" ht="14.25" customHeight="1" x14ac:dyDescent="0.3">
      <c r="A2858" t="s">
        <v>4439</v>
      </c>
      <c r="B2858" t="s">
        <v>102</v>
      </c>
      <c r="C2858" t="s">
        <v>3538</v>
      </c>
      <c r="D2858" t="s">
        <v>211</v>
      </c>
      <c r="E2858" t="s">
        <v>4680</v>
      </c>
      <c r="F2858" t="s">
        <v>6056</v>
      </c>
      <c r="G2858" s="2" t="str">
        <f>HYPERLINK("http://red-forum.com/showthread.php?t=29428&amp;page=243#post1369942")</f>
        <v>http://red-forum.com/showthread.php?t=29428&amp;page=243#post1369942</v>
      </c>
      <c r="H2858" t="s">
        <v>6062</v>
      </c>
      <c r="I2858" t="s">
        <v>4681</v>
      </c>
      <c r="J2858" s="2" t="str">
        <f>HYPERLINK("http://red-forum.com/member.php?u=11750")</f>
        <v>http://red-forum.com/member.php?u=11750</v>
      </c>
      <c r="N2858" t="s">
        <v>214</v>
      </c>
      <c r="O2858" t="s">
        <v>215</v>
      </c>
      <c r="P2858" s="2" t="str">
        <f t="shared" si="79"/>
        <v>http://red-forum.com/forumdisplay.php?f=43</v>
      </c>
      <c r="R2858" t="s">
        <v>6066</v>
      </c>
      <c r="S2858" t="s">
        <v>6073</v>
      </c>
    </row>
    <row r="2859" spans="1:19" ht="14.25" customHeight="1" x14ac:dyDescent="0.3">
      <c r="A2859" t="s">
        <v>629</v>
      </c>
      <c r="B2859" t="s">
        <v>1362</v>
      </c>
      <c r="C2859" t="s">
        <v>95</v>
      </c>
      <c r="D2859" t="s">
        <v>211</v>
      </c>
      <c r="E2859" t="s">
        <v>1363</v>
      </c>
      <c r="F2859" t="s">
        <v>6056</v>
      </c>
      <c r="G2859" s="2" t="str">
        <f>HYPERLINK("http://red-forum.com/showthread.php?t=29428&amp;page=248#post1371206")</f>
        <v>http://red-forum.com/showthread.php?t=29428&amp;page=248#post1371206</v>
      </c>
      <c r="H2859" t="s">
        <v>6062</v>
      </c>
      <c r="I2859" t="s">
        <v>1364</v>
      </c>
      <c r="J2859" s="2" t="str">
        <f>HYPERLINK("http://red-forum.com/member.php?u=2531")</f>
        <v>http://red-forum.com/member.php?u=2531</v>
      </c>
      <c r="N2859" t="s">
        <v>214</v>
      </c>
      <c r="O2859" t="s">
        <v>215</v>
      </c>
      <c r="P2859" s="2" t="str">
        <f t="shared" si="79"/>
        <v>http://red-forum.com/forumdisplay.php?f=43</v>
      </c>
      <c r="R2859" t="s">
        <v>6066</v>
      </c>
      <c r="S2859" t="s">
        <v>6073</v>
      </c>
    </row>
    <row r="2860" spans="1:19" ht="14.25" customHeight="1" x14ac:dyDescent="0.3">
      <c r="A2860" t="s">
        <v>3527</v>
      </c>
      <c r="B2860" t="s">
        <v>2596</v>
      </c>
      <c r="C2860" t="s">
        <v>95</v>
      </c>
      <c r="D2860" t="s">
        <v>211</v>
      </c>
      <c r="E2860" t="s">
        <v>3677</v>
      </c>
      <c r="F2860" t="s">
        <v>6056</v>
      </c>
      <c r="G2860" s="2" t="str">
        <f>HYPERLINK("http://red-forum.com/showthread.php?t=29428&amp;page=246#post1370616")</f>
        <v>http://red-forum.com/showthread.php?t=29428&amp;page=246#post1370616</v>
      </c>
      <c r="H2860" t="s">
        <v>6062</v>
      </c>
      <c r="I2860" t="s">
        <v>3678</v>
      </c>
      <c r="J2860" s="2" t="str">
        <f>HYPERLINK("http://red-forum.com/member.php?u=2734")</f>
        <v>http://red-forum.com/member.php?u=2734</v>
      </c>
      <c r="N2860" t="s">
        <v>214</v>
      </c>
      <c r="O2860" t="s">
        <v>215</v>
      </c>
      <c r="P2860" s="2" t="str">
        <f t="shared" si="79"/>
        <v>http://red-forum.com/forumdisplay.php?f=43</v>
      </c>
      <c r="R2860" t="s">
        <v>6066</v>
      </c>
      <c r="S2860" t="s">
        <v>6073</v>
      </c>
    </row>
    <row r="2861" spans="1:19" ht="14.25" customHeight="1" x14ac:dyDescent="0.3">
      <c r="A2861" t="s">
        <v>4439</v>
      </c>
      <c r="B2861" t="s">
        <v>3247</v>
      </c>
      <c r="C2861" t="s">
        <v>3538</v>
      </c>
      <c r="D2861" t="s">
        <v>211</v>
      </c>
      <c r="E2861" t="s">
        <v>4674</v>
      </c>
      <c r="F2861" t="s">
        <v>6056</v>
      </c>
      <c r="G2861" s="2" t="str">
        <f>HYPERLINK("http://red-forum.com/showthread.php?t=29428&amp;page=243#post1369952")</f>
        <v>http://red-forum.com/showthread.php?t=29428&amp;page=243#post1369952</v>
      </c>
      <c r="H2861" t="s">
        <v>6062</v>
      </c>
      <c r="I2861" t="s">
        <v>4060</v>
      </c>
      <c r="J2861" s="2" t="str">
        <f>HYPERLINK("http://red-forum.com/member.php?u=14655")</f>
        <v>http://red-forum.com/member.php?u=14655</v>
      </c>
      <c r="N2861" t="s">
        <v>214</v>
      </c>
      <c r="O2861" t="s">
        <v>215</v>
      </c>
      <c r="P2861" s="2" t="str">
        <f t="shared" si="79"/>
        <v>http://red-forum.com/forumdisplay.php?f=43</v>
      </c>
      <c r="R2861" t="s">
        <v>6066</v>
      </c>
      <c r="S2861" t="s">
        <v>6073</v>
      </c>
    </row>
    <row r="2862" spans="1:19" ht="14.25" customHeight="1" x14ac:dyDescent="0.3">
      <c r="A2862" t="s">
        <v>4439</v>
      </c>
      <c r="B2862" t="s">
        <v>4817</v>
      </c>
      <c r="C2862" t="s">
        <v>3538</v>
      </c>
      <c r="D2862" t="s">
        <v>211</v>
      </c>
      <c r="E2862" t="s">
        <v>4818</v>
      </c>
      <c r="F2862" t="s">
        <v>6056</v>
      </c>
      <c r="G2862" s="2" t="str">
        <f>HYPERLINK("http://red-forum.com/showthread.php?t=29428&amp;page=242#post1369872")</f>
        <v>http://red-forum.com/showthread.php?t=29428&amp;page=242#post1369872</v>
      </c>
      <c r="H2862" t="s">
        <v>6062</v>
      </c>
      <c r="I2862" t="s">
        <v>4060</v>
      </c>
      <c r="J2862" s="2" t="str">
        <f>HYPERLINK("http://red-forum.com/member.php?u=14655")</f>
        <v>http://red-forum.com/member.php?u=14655</v>
      </c>
      <c r="N2862" t="s">
        <v>214</v>
      </c>
      <c r="O2862" t="s">
        <v>215</v>
      </c>
      <c r="P2862" s="2" t="str">
        <f t="shared" si="79"/>
        <v>http://red-forum.com/forumdisplay.php?f=43</v>
      </c>
      <c r="R2862" t="s">
        <v>6066</v>
      </c>
      <c r="S2862" t="s">
        <v>6073</v>
      </c>
    </row>
    <row r="2863" spans="1:19" ht="14.25" customHeight="1" x14ac:dyDescent="0.3">
      <c r="A2863" t="s">
        <v>3527</v>
      </c>
      <c r="B2863" t="s">
        <v>4058</v>
      </c>
      <c r="C2863" t="s">
        <v>95</v>
      </c>
      <c r="D2863" t="s">
        <v>211</v>
      </c>
      <c r="E2863" t="s">
        <v>4059</v>
      </c>
      <c r="F2863" t="s">
        <v>6056</v>
      </c>
      <c r="G2863" s="2" t="str">
        <f>HYPERLINK("http://red-forum.com/showthread.php?t=29428&amp;page=246#post1370856")</f>
        <v>http://red-forum.com/showthread.php?t=29428&amp;page=246#post1370856</v>
      </c>
      <c r="H2863" t="s">
        <v>6062</v>
      </c>
      <c r="I2863" t="s">
        <v>4060</v>
      </c>
      <c r="J2863" s="2" t="str">
        <f>HYPERLINK("http://red-forum.com/member.php?u=14655")</f>
        <v>http://red-forum.com/member.php?u=14655</v>
      </c>
      <c r="N2863" t="s">
        <v>214</v>
      </c>
      <c r="O2863" t="s">
        <v>215</v>
      </c>
      <c r="P2863" s="2" t="str">
        <f t="shared" si="79"/>
        <v>http://red-forum.com/forumdisplay.php?f=43</v>
      </c>
      <c r="R2863" t="s">
        <v>6066</v>
      </c>
      <c r="S2863" t="s">
        <v>6073</v>
      </c>
    </row>
    <row r="2864" spans="1:19" ht="14.25" customHeight="1" x14ac:dyDescent="0.3">
      <c r="A2864" t="s">
        <v>3527</v>
      </c>
      <c r="B2864" t="s">
        <v>3063</v>
      </c>
      <c r="C2864" t="s">
        <v>95</v>
      </c>
      <c r="D2864" t="s">
        <v>211</v>
      </c>
      <c r="E2864" t="s">
        <v>4022</v>
      </c>
      <c r="F2864" t="s">
        <v>6056</v>
      </c>
      <c r="G2864" s="2" t="str">
        <f>HYPERLINK("http://red-forum.com/showthread.php?t=29428&amp;page=247#post1370865")</f>
        <v>http://red-forum.com/showthread.php?t=29428&amp;page=247#post1370865</v>
      </c>
      <c r="H2864" t="s">
        <v>6062</v>
      </c>
      <c r="I2864" t="s">
        <v>4023</v>
      </c>
      <c r="J2864" s="2" t="str">
        <f>HYPERLINK("http://red-forum.com/member.php?u=4392")</f>
        <v>http://red-forum.com/member.php?u=4392</v>
      </c>
      <c r="N2864" t="s">
        <v>214</v>
      </c>
      <c r="O2864" t="s">
        <v>215</v>
      </c>
      <c r="P2864" s="2" t="str">
        <f t="shared" ref="P2864:P2874" si="81">HYPERLINK("http://red-forum.com/forumdisplay.php?f=43")</f>
        <v>http://red-forum.com/forumdisplay.php?f=43</v>
      </c>
      <c r="R2864" t="s">
        <v>6066</v>
      </c>
      <c r="S2864" t="s">
        <v>6073</v>
      </c>
    </row>
    <row r="2865" spans="1:19" ht="14.25" customHeight="1" x14ac:dyDescent="0.3">
      <c r="A2865" t="s">
        <v>4439</v>
      </c>
      <c r="B2865" t="s">
        <v>377</v>
      </c>
      <c r="C2865" t="s">
        <v>3538</v>
      </c>
      <c r="D2865" t="s">
        <v>211</v>
      </c>
      <c r="E2865" t="s">
        <v>4816</v>
      </c>
      <c r="F2865" t="s">
        <v>6056</v>
      </c>
      <c r="G2865" s="2" t="str">
        <f>HYPERLINK("http://red-forum.com/showthread.php?t=29428&amp;page=242#post1369873")</f>
        <v>http://red-forum.com/showthread.php?t=29428&amp;page=242#post1369873</v>
      </c>
      <c r="H2865" t="s">
        <v>6062</v>
      </c>
      <c r="I2865" t="s">
        <v>4023</v>
      </c>
      <c r="J2865" s="2" t="str">
        <f>HYPERLINK("http://red-forum.com/member.php?u=4392")</f>
        <v>http://red-forum.com/member.php?u=4392</v>
      </c>
      <c r="N2865" t="s">
        <v>214</v>
      </c>
      <c r="O2865" t="s">
        <v>215</v>
      </c>
      <c r="P2865" s="2" t="str">
        <f t="shared" si="81"/>
        <v>http://red-forum.com/forumdisplay.php?f=43</v>
      </c>
      <c r="R2865" t="s">
        <v>6066</v>
      </c>
      <c r="S2865" t="s">
        <v>6073</v>
      </c>
    </row>
    <row r="2866" spans="1:19" ht="14.25" customHeight="1" x14ac:dyDescent="0.3">
      <c r="A2866" t="s">
        <v>4439</v>
      </c>
      <c r="B2866" t="s">
        <v>1620</v>
      </c>
      <c r="C2866" t="s">
        <v>3538</v>
      </c>
      <c r="D2866" t="s">
        <v>211</v>
      </c>
      <c r="E2866" t="s">
        <v>4805</v>
      </c>
      <c r="F2866" t="s">
        <v>6056</v>
      </c>
      <c r="G2866" s="2" t="str">
        <f>HYPERLINK("http://red-forum.com/showthread.php?t=29428&amp;page=242#post1369882")</f>
        <v>http://red-forum.com/showthread.php?t=29428&amp;page=242#post1369882</v>
      </c>
      <c r="H2866" t="s">
        <v>6062</v>
      </c>
      <c r="I2866" t="s">
        <v>4023</v>
      </c>
      <c r="J2866" s="2" t="str">
        <f>HYPERLINK("http://red-forum.com/member.php?u=4392")</f>
        <v>http://red-forum.com/member.php?u=4392</v>
      </c>
      <c r="N2866" t="s">
        <v>214</v>
      </c>
      <c r="O2866" t="s">
        <v>215</v>
      </c>
      <c r="P2866" s="2" t="str">
        <f t="shared" si="81"/>
        <v>http://red-forum.com/forumdisplay.php?f=43</v>
      </c>
      <c r="R2866" t="s">
        <v>6066</v>
      </c>
      <c r="S2866" t="s">
        <v>6073</v>
      </c>
    </row>
    <row r="2867" spans="1:19" ht="14.25" customHeight="1" x14ac:dyDescent="0.3">
      <c r="A2867" t="s">
        <v>4439</v>
      </c>
      <c r="B2867" t="s">
        <v>4890</v>
      </c>
      <c r="C2867" t="s">
        <v>3538</v>
      </c>
      <c r="D2867" t="s">
        <v>211</v>
      </c>
      <c r="E2867" t="s">
        <v>4891</v>
      </c>
      <c r="F2867" t="s">
        <v>6056</v>
      </c>
      <c r="G2867" s="2" t="str">
        <f>HYPERLINK("http://red-forum.com/showthread.php?t=29428&amp;page=242#post1369842")</f>
        <v>http://red-forum.com/showthread.php?t=29428&amp;page=242#post1369842</v>
      </c>
      <c r="H2867" t="s">
        <v>6062</v>
      </c>
      <c r="I2867" t="s">
        <v>4023</v>
      </c>
      <c r="J2867" s="2" t="str">
        <f>HYPERLINK("http://red-forum.com/member.php?u=4392")</f>
        <v>http://red-forum.com/member.php?u=4392</v>
      </c>
      <c r="N2867" t="s">
        <v>214</v>
      </c>
      <c r="O2867" t="s">
        <v>215</v>
      </c>
      <c r="P2867" s="2" t="str">
        <f t="shared" si="81"/>
        <v>http://red-forum.com/forumdisplay.php?f=43</v>
      </c>
      <c r="R2867" t="s">
        <v>6066</v>
      </c>
      <c r="S2867" t="s">
        <v>6073</v>
      </c>
    </row>
    <row r="2868" spans="1:19" ht="14.25" customHeight="1" x14ac:dyDescent="0.3">
      <c r="A2868" t="s">
        <v>4439</v>
      </c>
      <c r="B2868" t="s">
        <v>1640</v>
      </c>
      <c r="C2868" t="s">
        <v>3538</v>
      </c>
      <c r="D2868" t="s">
        <v>211</v>
      </c>
      <c r="E2868" t="s">
        <v>4809</v>
      </c>
      <c r="F2868" t="s">
        <v>6056</v>
      </c>
      <c r="G2868" s="2" t="str">
        <f>HYPERLINK("http://red-forum.com/showthread.php?t=29428&amp;page=242#post1369880")</f>
        <v>http://red-forum.com/showthread.php?t=29428&amp;page=242#post1369880</v>
      </c>
      <c r="H2868" t="s">
        <v>6062</v>
      </c>
      <c r="I2868" t="s">
        <v>342</v>
      </c>
      <c r="J2868" s="2" t="str">
        <f>HYPERLINK("http://red-forum.com/member.php?u=394")</f>
        <v>http://red-forum.com/member.php?u=394</v>
      </c>
      <c r="N2868" t="s">
        <v>214</v>
      </c>
      <c r="O2868" t="s">
        <v>215</v>
      </c>
      <c r="P2868" s="2" t="str">
        <f t="shared" si="81"/>
        <v>http://red-forum.com/forumdisplay.php?f=43</v>
      </c>
      <c r="R2868" t="s">
        <v>6066</v>
      </c>
      <c r="S2868" t="s">
        <v>6073</v>
      </c>
    </row>
    <row r="2869" spans="1:19" ht="14.25" customHeight="1" x14ac:dyDescent="0.3">
      <c r="A2869" t="s">
        <v>4439</v>
      </c>
      <c r="B2869" t="s">
        <v>621</v>
      </c>
      <c r="C2869" t="s">
        <v>3538</v>
      </c>
      <c r="D2869" t="s">
        <v>211</v>
      </c>
      <c r="E2869" t="s">
        <v>4978</v>
      </c>
      <c r="F2869" t="s">
        <v>6056</v>
      </c>
      <c r="G2869" s="2" t="str">
        <f>HYPERLINK("http://red-forum.com/showthread.php?t=29428&amp;page=241#post1369804")</f>
        <v>http://red-forum.com/showthread.php?t=29428&amp;page=241#post1369804</v>
      </c>
      <c r="H2869" t="s">
        <v>6062</v>
      </c>
      <c r="I2869" t="s">
        <v>342</v>
      </c>
      <c r="J2869" s="2" t="str">
        <f>HYPERLINK("http://red-forum.com/member.php?u=394")</f>
        <v>http://red-forum.com/member.php?u=394</v>
      </c>
      <c r="N2869" t="s">
        <v>214</v>
      </c>
      <c r="O2869" t="s">
        <v>215</v>
      </c>
      <c r="P2869" s="2" t="str">
        <f t="shared" si="81"/>
        <v>http://red-forum.com/forumdisplay.php?f=43</v>
      </c>
      <c r="R2869" t="s">
        <v>6066</v>
      </c>
      <c r="S2869" t="s">
        <v>6073</v>
      </c>
    </row>
    <row r="2870" spans="1:19" ht="14.25" customHeight="1" x14ac:dyDescent="0.3">
      <c r="A2870" t="s">
        <v>4439</v>
      </c>
      <c r="B2870" t="s">
        <v>4427</v>
      </c>
      <c r="C2870" t="s">
        <v>3538</v>
      </c>
      <c r="D2870" t="s">
        <v>211</v>
      </c>
      <c r="E2870" t="s">
        <v>4963</v>
      </c>
      <c r="F2870" t="s">
        <v>6056</v>
      </c>
      <c r="G2870" s="2" t="str">
        <f>HYPERLINK("http://red-forum.com/showthread.php?t=29428&amp;page=241#post1369806")</f>
        <v>http://red-forum.com/showthread.php?t=29428&amp;page=241#post1369806</v>
      </c>
      <c r="H2870" t="s">
        <v>6062</v>
      </c>
      <c r="I2870" t="s">
        <v>4964</v>
      </c>
      <c r="J2870" s="2" t="str">
        <f>HYPERLINK("http://red-forum.com/member.php?u=18583")</f>
        <v>http://red-forum.com/member.php?u=18583</v>
      </c>
      <c r="N2870" t="s">
        <v>214</v>
      </c>
      <c r="O2870" t="s">
        <v>215</v>
      </c>
      <c r="P2870" s="2" t="str">
        <f t="shared" si="81"/>
        <v>http://red-forum.com/forumdisplay.php?f=43</v>
      </c>
      <c r="R2870" t="s">
        <v>6066</v>
      </c>
      <c r="S2870" t="s">
        <v>6073</v>
      </c>
    </row>
    <row r="2871" spans="1:19" ht="14.25" customHeight="1" x14ac:dyDescent="0.3">
      <c r="A2871" t="s">
        <v>4439</v>
      </c>
      <c r="B2871" t="s">
        <v>2965</v>
      </c>
      <c r="C2871" t="s">
        <v>3538</v>
      </c>
      <c r="D2871" t="s">
        <v>211</v>
      </c>
      <c r="E2871" t="s">
        <v>4537</v>
      </c>
      <c r="F2871" t="s">
        <v>6056</v>
      </c>
      <c r="G2871" s="2" t="str">
        <f>HYPERLINK("http://red-forum.com/showthread.php?t=29428&amp;page=244#post1370091")</f>
        <v>http://red-forum.com/showthread.php?t=29428&amp;page=244#post1370091</v>
      </c>
      <c r="H2871" t="s">
        <v>6062</v>
      </c>
      <c r="I2871" t="s">
        <v>4538</v>
      </c>
      <c r="J2871" s="2" t="str">
        <f>HYPERLINK("http://red-forum.com/member.php?u=17646")</f>
        <v>http://red-forum.com/member.php?u=17646</v>
      </c>
      <c r="N2871" t="s">
        <v>214</v>
      </c>
      <c r="O2871" t="s">
        <v>215</v>
      </c>
      <c r="P2871" s="2" t="str">
        <f t="shared" si="81"/>
        <v>http://red-forum.com/forumdisplay.php?f=43</v>
      </c>
      <c r="R2871" t="s">
        <v>6066</v>
      </c>
      <c r="S2871" t="s">
        <v>6073</v>
      </c>
    </row>
    <row r="2872" spans="1:19" ht="14.25" customHeight="1" x14ac:dyDescent="0.3">
      <c r="A2872" t="s">
        <v>4439</v>
      </c>
      <c r="B2872" t="s">
        <v>1022</v>
      </c>
      <c r="C2872" t="s">
        <v>3538</v>
      </c>
      <c r="D2872" t="s">
        <v>211</v>
      </c>
      <c r="E2872" t="s">
        <v>4607</v>
      </c>
      <c r="F2872" t="s">
        <v>6056</v>
      </c>
      <c r="G2872" s="2" t="str">
        <f>HYPERLINK("http://red-forum.com/showthread.php?t=29428&amp;page=244#post1370037")</f>
        <v>http://red-forum.com/showthread.php?t=29428&amp;page=244#post1370037</v>
      </c>
      <c r="H2872" t="s">
        <v>6062</v>
      </c>
      <c r="I2872" t="s">
        <v>4538</v>
      </c>
      <c r="J2872" s="2" t="str">
        <f>HYPERLINK("http://red-forum.com/member.php?u=17646")</f>
        <v>http://red-forum.com/member.php?u=17646</v>
      </c>
      <c r="N2872" t="s">
        <v>214</v>
      </c>
      <c r="O2872" t="s">
        <v>215</v>
      </c>
      <c r="P2872" s="2" t="str">
        <f t="shared" si="81"/>
        <v>http://red-forum.com/forumdisplay.php?f=43</v>
      </c>
      <c r="R2872" t="s">
        <v>6066</v>
      </c>
      <c r="S2872" t="s">
        <v>6073</v>
      </c>
    </row>
    <row r="2873" spans="1:19" ht="14.25" customHeight="1" x14ac:dyDescent="0.3">
      <c r="A2873" t="s">
        <v>4439</v>
      </c>
      <c r="B2873" t="s">
        <v>3502</v>
      </c>
      <c r="C2873" t="s">
        <v>3538</v>
      </c>
      <c r="D2873" t="s">
        <v>211</v>
      </c>
      <c r="E2873" t="s">
        <v>4957</v>
      </c>
      <c r="F2873" t="s">
        <v>6056</v>
      </c>
      <c r="G2873" s="2" t="str">
        <f>HYPERLINK("http://red-forum.com/showthread.php?t=29428&amp;page=241#post1369809")</f>
        <v>http://red-forum.com/showthread.php?t=29428&amp;page=241#post1369809</v>
      </c>
      <c r="H2873" t="s">
        <v>6061</v>
      </c>
      <c r="I2873" t="s">
        <v>4633</v>
      </c>
      <c r="J2873" s="2" t="str">
        <f>HYPERLINK("http://red-forum.com/member.php?u=16127")</f>
        <v>http://red-forum.com/member.php?u=16127</v>
      </c>
      <c r="N2873" t="s">
        <v>214</v>
      </c>
      <c r="O2873" t="s">
        <v>215</v>
      </c>
      <c r="P2873" s="2" t="str">
        <f t="shared" si="81"/>
        <v>http://red-forum.com/forumdisplay.php?f=43</v>
      </c>
      <c r="R2873" t="s">
        <v>6066</v>
      </c>
      <c r="S2873" t="s">
        <v>6073</v>
      </c>
    </row>
    <row r="2874" spans="1:19" ht="14.25" customHeight="1" x14ac:dyDescent="0.3">
      <c r="A2874" t="s">
        <v>4439</v>
      </c>
      <c r="B2874" t="s">
        <v>4444</v>
      </c>
      <c r="C2874" t="s">
        <v>3538</v>
      </c>
      <c r="D2874" t="s">
        <v>211</v>
      </c>
      <c r="E2874" t="s">
        <v>4445</v>
      </c>
      <c r="F2874" t="s">
        <v>6056</v>
      </c>
      <c r="G2874" s="2" t="str">
        <f>HYPERLINK("http://red-forum.com/showthread.php?t=29428&amp;page=245#post1370196")</f>
        <v>http://red-forum.com/showthread.php?t=29428&amp;page=245#post1370196</v>
      </c>
      <c r="H2874" t="s">
        <v>6061</v>
      </c>
      <c r="I2874" t="s">
        <v>3882</v>
      </c>
      <c r="J2874" s="2" t="str">
        <f>HYPERLINK("http://red-forum.com/member.php?u=1597")</f>
        <v>http://red-forum.com/member.php?u=1597</v>
      </c>
      <c r="N2874" t="s">
        <v>214</v>
      </c>
      <c r="O2874" t="s">
        <v>215</v>
      </c>
      <c r="P2874" s="2" t="str">
        <f t="shared" si="81"/>
        <v>http://red-forum.com/forumdisplay.php?f=43</v>
      </c>
      <c r="R2874" t="s">
        <v>6066</v>
      </c>
      <c r="S2874" t="s">
        <v>6073</v>
      </c>
    </row>
    <row r="2875" spans="1:19" ht="14.25" customHeight="1" x14ac:dyDescent="0.3">
      <c r="A2875" t="s">
        <v>3527</v>
      </c>
      <c r="B2875" t="s">
        <v>4085</v>
      </c>
      <c r="C2875" t="s">
        <v>95</v>
      </c>
      <c r="D2875" t="s">
        <v>4086</v>
      </c>
      <c r="E2875" t="s">
        <v>4087</v>
      </c>
      <c r="F2875" t="s">
        <v>6056</v>
      </c>
      <c r="G2875" s="2" t="str">
        <f>HYPERLINK("https://reibert.info/threads/prodam-obminjaju-urg-n.984313")</f>
        <v>https://reibert.info/threads/prodam-obminjaju-urg-n.984313</v>
      </c>
      <c r="H2875" t="s">
        <v>6062</v>
      </c>
      <c r="I2875" t="s">
        <v>4088</v>
      </c>
      <c r="J2875" s="2" t="str">
        <f>HYPERLINK("https://reibert.info/threads/prodam-obminjaju-urg-n.984313/")</f>
        <v>https://reibert.info/threads/prodam-obminjaju-urg-n.984313/</v>
      </c>
      <c r="N2875" t="s">
        <v>4089</v>
      </c>
      <c r="R2875" t="s">
        <v>6068</v>
      </c>
    </row>
    <row r="2876" spans="1:19" ht="14.25" customHeight="1" x14ac:dyDescent="0.3">
      <c r="A2876" t="s">
        <v>4439</v>
      </c>
      <c r="B2876" t="s">
        <v>3867</v>
      </c>
      <c r="C2876" t="s">
        <v>3538</v>
      </c>
      <c r="D2876" t="s">
        <v>4558</v>
      </c>
      <c r="E2876" t="s">
        <v>4559</v>
      </c>
      <c r="F2876" t="s">
        <v>6056</v>
      </c>
      <c r="G2876" s="2" t="str">
        <f>HYPERLINK("https://reibert.info/threads/prodam-magaziny-k-fort-12r-14r-b-u.997672")</f>
        <v>https://reibert.info/threads/prodam-magaziny-k-fort-12r-14r-b-u.997672</v>
      </c>
      <c r="H2876" t="s">
        <v>6062</v>
      </c>
      <c r="I2876" t="s">
        <v>4560</v>
      </c>
      <c r="J2876" s="2" t="str">
        <f>HYPERLINK("https://reibert.info/threads/prodam-magaziny-k-fort-12r-14r-b-u.997672/")</f>
        <v>https://reibert.info/threads/prodam-magaziny-k-fort-12r-14r-b-u.997672/</v>
      </c>
      <c r="N2876" t="s">
        <v>4089</v>
      </c>
      <c r="R2876" t="s">
        <v>6068</v>
      </c>
    </row>
    <row r="2877" spans="1:19" ht="14.25" customHeight="1" x14ac:dyDescent="0.3">
      <c r="A2877" t="s">
        <v>4995</v>
      </c>
      <c r="B2877" t="s">
        <v>1062</v>
      </c>
      <c r="C2877" t="s">
        <v>3538</v>
      </c>
      <c r="D2877" t="s">
        <v>5173</v>
      </c>
      <c r="E2877" t="s">
        <v>5174</v>
      </c>
      <c r="F2877" t="s">
        <v>6056</v>
      </c>
      <c r="G2877" s="2" t="str">
        <f>HYPERLINK("https://reibert.info/threads/prodam-travmaticheskie-patrony-sova-p-shustraja-92.993807")</f>
        <v>https://reibert.info/threads/prodam-travmaticheskie-patrony-sova-p-shustraja-92.993807</v>
      </c>
      <c r="H2877" t="s">
        <v>6062</v>
      </c>
      <c r="I2877" t="s">
        <v>4560</v>
      </c>
      <c r="J2877" s="2" t="str">
        <f>HYPERLINK("https://reibert.info/threads/prodam-travmaticheskie-patrony-sova-p-shustraja-92.993807/")</f>
        <v>https://reibert.info/threads/prodam-travmaticheskie-patrony-sova-p-shustraja-92.993807/</v>
      </c>
      <c r="N2877" t="s">
        <v>4089</v>
      </c>
      <c r="R2877" t="s">
        <v>6068</v>
      </c>
    </row>
    <row r="2878" spans="1:19" ht="14.25" customHeight="1" x14ac:dyDescent="0.3">
      <c r="A2878" t="s">
        <v>4439</v>
      </c>
      <c r="B2878" t="s">
        <v>4000</v>
      </c>
      <c r="C2878" t="s">
        <v>3538</v>
      </c>
      <c r="D2878" t="s">
        <v>4596</v>
      </c>
      <c r="E2878" t="s">
        <v>4597</v>
      </c>
      <c r="F2878" t="s">
        <v>6056</v>
      </c>
      <c r="G2878" s="2" t="str">
        <f>HYPERLINK("https://reibert.info/threads/prodam-usm-fort-12r-novogo-obrazca.997692")</f>
        <v>https://reibert.info/threads/prodam-usm-fort-12r-novogo-obrazca.997692</v>
      </c>
      <c r="H2878" t="s">
        <v>6062</v>
      </c>
      <c r="I2878" t="s">
        <v>4560</v>
      </c>
      <c r="J2878" s="2" t="str">
        <f>HYPERLINK("https://reibert.info/threads/prodam-usm-fort-12r-novogo-obrazca.997692/")</f>
        <v>https://reibert.info/threads/prodam-usm-fort-12r-novogo-obrazca.997692/</v>
      </c>
      <c r="N2878" t="s">
        <v>4089</v>
      </c>
      <c r="R2878" t="s">
        <v>6068</v>
      </c>
    </row>
    <row r="2879" spans="1:19" ht="14.25" customHeight="1" x14ac:dyDescent="0.3">
      <c r="A2879" t="s">
        <v>1</v>
      </c>
      <c r="B2879" t="s">
        <v>238</v>
      </c>
      <c r="C2879" t="s">
        <v>95</v>
      </c>
      <c r="D2879" t="s">
        <v>239</v>
      </c>
      <c r="E2879" t="s">
        <v>240</v>
      </c>
      <c r="F2879" t="s">
        <v>6059</v>
      </c>
      <c r="G2879" s="2" t="str">
        <f>HYPERLINK("https://telegram.me/monobankunofficial/30779")</f>
        <v>https://telegram.me/monobankunofficial/30779</v>
      </c>
      <c r="H2879" t="s">
        <v>6060</v>
      </c>
      <c r="I2879" t="s">
        <v>241</v>
      </c>
      <c r="J2879" s="2" t="str">
        <f>HYPERLINK("https://telegram.me/444305049")</f>
        <v>https://telegram.me/444305049</v>
      </c>
      <c r="L2879" t="s">
        <v>6063</v>
      </c>
      <c r="N2879" t="s">
        <v>64</v>
      </c>
      <c r="O2879" t="s">
        <v>242</v>
      </c>
      <c r="P2879" s="2" t="str">
        <f>HYPERLINK("https://telegram.me/monobankunofficial")</f>
        <v>https://telegram.me/monobankunofficial</v>
      </c>
      <c r="Q2879">
        <v>270</v>
      </c>
      <c r="R2879" t="s">
        <v>6070</v>
      </c>
    </row>
    <row r="2880" spans="1:19" ht="14.25" customHeight="1" x14ac:dyDescent="0.3">
      <c r="A2880" t="s">
        <v>5409</v>
      </c>
      <c r="B2880" t="s">
        <v>615</v>
      </c>
      <c r="C2880" t="s">
        <v>3538</v>
      </c>
      <c r="D2880" t="s">
        <v>6025</v>
      </c>
      <c r="E2880" t="s">
        <v>6026</v>
      </c>
      <c r="F2880" t="s">
        <v>6059</v>
      </c>
      <c r="G2880" s="2" t="str">
        <f>HYPERLINK("https://telegram.me/kuna_sco_ua_ru/31799")</f>
        <v>https://telegram.me/kuna_sco_ua_ru/31799</v>
      </c>
      <c r="H2880" t="s">
        <v>6060</v>
      </c>
      <c r="I2880" t="s">
        <v>3190</v>
      </c>
      <c r="J2880" s="2" t="str">
        <f>HYPERLINK("https://telegram.me/harchinski")</f>
        <v>https://telegram.me/harchinski</v>
      </c>
      <c r="L2880" t="s">
        <v>6063</v>
      </c>
      <c r="N2880" t="s">
        <v>64</v>
      </c>
      <c r="O2880" t="s">
        <v>1455</v>
      </c>
      <c r="P2880" s="2" t="str">
        <f>HYPERLINK("https://telegram.me/kuna_sco_ua_ru")</f>
        <v>https://telegram.me/kuna_sco_ua_ru</v>
      </c>
      <c r="Q2880">
        <v>2045</v>
      </c>
      <c r="R2880" t="s">
        <v>6070</v>
      </c>
    </row>
    <row r="2881" spans="1:18" ht="14.25" customHeight="1" x14ac:dyDescent="0.3">
      <c r="A2881" t="s">
        <v>4439</v>
      </c>
      <c r="B2881" t="s">
        <v>4877</v>
      </c>
      <c r="C2881" t="s">
        <v>3538</v>
      </c>
      <c r="D2881" t="s">
        <v>4</v>
      </c>
      <c r="E2881" t="s">
        <v>4878</v>
      </c>
      <c r="F2881" t="s">
        <v>6056</v>
      </c>
      <c r="G2881" s="2" t="str">
        <f>HYPERLINK("https://telegram.me/monobankunofficial/29796")</f>
        <v>https://telegram.me/monobankunofficial/29796</v>
      </c>
      <c r="H2881" t="s">
        <v>6062</v>
      </c>
      <c r="I2881" t="s">
        <v>4879</v>
      </c>
      <c r="J2881" s="2" t="str">
        <f>HYPERLINK("https://telegram.me/athened")</f>
        <v>https://telegram.me/athened</v>
      </c>
      <c r="N2881" t="s">
        <v>64</v>
      </c>
      <c r="O2881" t="s">
        <v>242</v>
      </c>
      <c r="P2881" s="2" t="str">
        <f>HYPERLINK("https://telegram.me/monobankunofficial")</f>
        <v>https://telegram.me/monobankunofficial</v>
      </c>
      <c r="Q2881">
        <v>270</v>
      </c>
      <c r="R2881" t="s">
        <v>6070</v>
      </c>
    </row>
    <row r="2882" spans="1:18" ht="14.25" customHeight="1" x14ac:dyDescent="0.3">
      <c r="A2882" t="s">
        <v>2225</v>
      </c>
      <c r="B2882" t="s">
        <v>1567</v>
      </c>
      <c r="C2882" t="s">
        <v>95</v>
      </c>
      <c r="D2882" t="s">
        <v>3390</v>
      </c>
      <c r="E2882" t="s">
        <v>3391</v>
      </c>
      <c r="F2882" t="s">
        <v>6059</v>
      </c>
      <c r="G2882" s="2" t="str">
        <f>HYPERLINK("https://telegram.me/rztkd/39558")</f>
        <v>https://telegram.me/rztkd/39558</v>
      </c>
      <c r="H2882" t="s">
        <v>6062</v>
      </c>
      <c r="I2882" t="s">
        <v>3392</v>
      </c>
      <c r="J2882" s="2" t="str">
        <f>HYPERLINK("https://telegram.me/alxee")</f>
        <v>https://telegram.me/alxee</v>
      </c>
      <c r="N2882" t="s">
        <v>64</v>
      </c>
      <c r="O2882" t="s">
        <v>3393</v>
      </c>
      <c r="P2882" s="2" t="str">
        <f>HYPERLINK("https://telegram.me/rztkd")</f>
        <v>https://telegram.me/rztkd</v>
      </c>
      <c r="R2882" t="s">
        <v>6070</v>
      </c>
    </row>
    <row r="2883" spans="1:18" ht="14.25" customHeight="1" x14ac:dyDescent="0.3">
      <c r="A2883" t="s">
        <v>2225</v>
      </c>
      <c r="B2883" t="s">
        <v>1219</v>
      </c>
      <c r="C2883" t="s">
        <v>95</v>
      </c>
      <c r="D2883" t="s">
        <v>4</v>
      </c>
      <c r="E2883" t="s">
        <v>3179</v>
      </c>
      <c r="F2883" t="s">
        <v>6056</v>
      </c>
      <c r="G2883" s="2" t="str">
        <f>HYPERLINK("https://telegram.me/uajobs/20415")</f>
        <v>https://telegram.me/uajobs/20415</v>
      </c>
      <c r="H2883" t="s">
        <v>6062</v>
      </c>
      <c r="I2883" t="s">
        <v>3180</v>
      </c>
      <c r="J2883" s="2" t="str">
        <f>HYPERLINK("https://telegram.me/538333381")</f>
        <v>https://telegram.me/538333381</v>
      </c>
      <c r="L2883" t="s">
        <v>6063</v>
      </c>
      <c r="N2883" t="s">
        <v>64</v>
      </c>
      <c r="O2883" t="s">
        <v>3181</v>
      </c>
      <c r="P2883" s="2" t="str">
        <f>HYPERLINK("https://telegram.me/uajobs")</f>
        <v>https://telegram.me/uajobs</v>
      </c>
      <c r="Q2883">
        <v>3905</v>
      </c>
      <c r="R2883" t="s">
        <v>6070</v>
      </c>
    </row>
    <row r="2884" spans="1:18" ht="14.25" customHeight="1" x14ac:dyDescent="0.3">
      <c r="A2884" t="s">
        <v>629</v>
      </c>
      <c r="B2884" t="s">
        <v>619</v>
      </c>
      <c r="C2884" t="s">
        <v>95</v>
      </c>
      <c r="D2884" t="s">
        <v>2180</v>
      </c>
      <c r="E2884" t="s">
        <v>2200</v>
      </c>
      <c r="F2884" t="s">
        <v>6059</v>
      </c>
      <c r="G2884" s="2" t="str">
        <f>HYPERLINK("https://telegram.me/photostudy_me_chat/16498")</f>
        <v>https://telegram.me/photostudy_me_chat/16498</v>
      </c>
      <c r="H2884" t="s">
        <v>6062</v>
      </c>
      <c r="I2884" t="s">
        <v>2201</v>
      </c>
      <c r="J2884" s="2" t="str">
        <f>HYPERLINK("https://telegram.me/andrewshepel")</f>
        <v>https://telegram.me/andrewshepel</v>
      </c>
      <c r="L2884" t="s">
        <v>6063</v>
      </c>
      <c r="N2884" t="s">
        <v>64</v>
      </c>
      <c r="O2884" t="s">
        <v>2183</v>
      </c>
      <c r="P2884" s="2" t="str">
        <f>HYPERLINK("https://telegram.me/photostudy_me_chat")</f>
        <v>https://telegram.me/photostudy_me_chat</v>
      </c>
      <c r="Q2884">
        <v>797</v>
      </c>
      <c r="R2884" t="s">
        <v>6070</v>
      </c>
    </row>
    <row r="2885" spans="1:18" ht="14.25" customHeight="1" x14ac:dyDescent="0.3">
      <c r="A2885" t="s">
        <v>2225</v>
      </c>
      <c r="B2885" t="s">
        <v>3229</v>
      </c>
      <c r="C2885" t="s">
        <v>95</v>
      </c>
      <c r="D2885" t="s">
        <v>3210</v>
      </c>
      <c r="E2885" t="s">
        <v>3230</v>
      </c>
      <c r="F2885" t="s">
        <v>6059</v>
      </c>
      <c r="G2885" s="2" t="str">
        <f>HYPERLINK("https://telegram.me/ResourceNET/73041")</f>
        <v>https://telegram.me/ResourceNET/73041</v>
      </c>
      <c r="H2885" t="s">
        <v>6062</v>
      </c>
      <c r="I2885" t="s">
        <v>1025</v>
      </c>
      <c r="J2885" s="2" t="str">
        <f>HYPERLINK("https://telegram.me/babenko_andrey")</f>
        <v>https://telegram.me/babenko_andrey</v>
      </c>
      <c r="L2885" t="s">
        <v>6063</v>
      </c>
      <c r="N2885" t="s">
        <v>64</v>
      </c>
      <c r="O2885" t="s">
        <v>1026</v>
      </c>
      <c r="P2885" s="2" t="str">
        <f>HYPERLINK("https://telegram.me/resourcenet")</f>
        <v>https://telegram.me/resourcenet</v>
      </c>
      <c r="Q2885">
        <v>334</v>
      </c>
      <c r="R2885" t="s">
        <v>6070</v>
      </c>
    </row>
    <row r="2886" spans="1:18" ht="14.25" customHeight="1" x14ac:dyDescent="0.3">
      <c r="A2886" t="s">
        <v>629</v>
      </c>
      <c r="B2886" t="s">
        <v>1022</v>
      </c>
      <c r="C2886" t="s">
        <v>95</v>
      </c>
      <c r="D2886" t="s">
        <v>1023</v>
      </c>
      <c r="E2886" t="s">
        <v>1024</v>
      </c>
      <c r="F2886" t="s">
        <v>6059</v>
      </c>
      <c r="G2886" s="2" t="str">
        <f>HYPERLINK("https://telegram.me/ResourceNET/73610")</f>
        <v>https://telegram.me/ResourceNET/73610</v>
      </c>
      <c r="H2886" t="s">
        <v>6062</v>
      </c>
      <c r="I2886" t="s">
        <v>1025</v>
      </c>
      <c r="J2886" s="2" t="str">
        <f>HYPERLINK("https://telegram.me/babenko_andrey")</f>
        <v>https://telegram.me/babenko_andrey</v>
      </c>
      <c r="L2886" t="s">
        <v>6063</v>
      </c>
      <c r="N2886" t="s">
        <v>64</v>
      </c>
      <c r="O2886" t="s">
        <v>1026</v>
      </c>
      <c r="P2886" s="2" t="str">
        <f>HYPERLINK("https://telegram.me/resourcenet")</f>
        <v>https://telegram.me/resourcenet</v>
      </c>
      <c r="Q2886">
        <v>334</v>
      </c>
      <c r="R2886" t="s">
        <v>6070</v>
      </c>
    </row>
    <row r="2887" spans="1:18" ht="14.25" customHeight="1" x14ac:dyDescent="0.3">
      <c r="A2887" t="s">
        <v>2225</v>
      </c>
      <c r="B2887" t="s">
        <v>1292</v>
      </c>
      <c r="C2887" t="s">
        <v>95</v>
      </c>
      <c r="D2887" t="s">
        <v>3210</v>
      </c>
      <c r="E2887" t="s">
        <v>3211</v>
      </c>
      <c r="F2887" t="s">
        <v>6059</v>
      </c>
      <c r="G2887" s="2" t="str">
        <f>HYPERLINK("https://telegram.me/ResourceNET/73068")</f>
        <v>https://telegram.me/ResourceNET/73068</v>
      </c>
      <c r="H2887" t="s">
        <v>6062</v>
      </c>
      <c r="I2887" t="s">
        <v>3212</v>
      </c>
      <c r="J2887" s="2" t="str">
        <f>HYPERLINK("https://telegram.me/orlov_a_s")</f>
        <v>https://telegram.me/orlov_a_s</v>
      </c>
      <c r="L2887" t="s">
        <v>6063</v>
      </c>
      <c r="N2887" t="s">
        <v>64</v>
      </c>
      <c r="O2887" t="s">
        <v>1026</v>
      </c>
      <c r="P2887" s="2" t="str">
        <f>HYPERLINK("https://telegram.me/resourcenet")</f>
        <v>https://telegram.me/resourcenet</v>
      </c>
      <c r="Q2887">
        <v>334</v>
      </c>
      <c r="R2887" t="s">
        <v>6070</v>
      </c>
    </row>
    <row r="2888" spans="1:18" ht="14.25" customHeight="1" x14ac:dyDescent="0.3">
      <c r="A2888" t="s">
        <v>4439</v>
      </c>
      <c r="B2888" t="s">
        <v>54</v>
      </c>
      <c r="C2888" t="s">
        <v>3538</v>
      </c>
      <c r="D2888" t="s">
        <v>4</v>
      </c>
      <c r="E2888" t="s">
        <v>4654</v>
      </c>
      <c r="F2888" t="s">
        <v>6056</v>
      </c>
      <c r="G2888" s="2" t="str">
        <f>HYPERLINK("https://telegram.me/uajobs/20117")</f>
        <v>https://telegram.me/uajobs/20117</v>
      </c>
      <c r="H2888" t="s">
        <v>6062</v>
      </c>
      <c r="I2888" t="s">
        <v>4655</v>
      </c>
      <c r="J2888" s="2" t="str">
        <f>HYPERLINK("https://telegram.me/uniart11")</f>
        <v>https://telegram.me/uniart11</v>
      </c>
      <c r="L2888" t="s">
        <v>6063</v>
      </c>
      <c r="N2888" t="s">
        <v>64</v>
      </c>
      <c r="O2888" t="s">
        <v>3181</v>
      </c>
      <c r="P2888" s="2" t="str">
        <f>HYPERLINK("https://telegram.me/uajobs")</f>
        <v>https://telegram.me/uajobs</v>
      </c>
      <c r="Q2888">
        <v>3905</v>
      </c>
      <c r="R2888" t="s">
        <v>6070</v>
      </c>
    </row>
    <row r="2889" spans="1:18" ht="14.25" customHeight="1" x14ac:dyDescent="0.3">
      <c r="A2889" t="s">
        <v>2225</v>
      </c>
      <c r="B2889" t="s">
        <v>881</v>
      </c>
      <c r="C2889" t="s">
        <v>95</v>
      </c>
      <c r="D2889" t="s">
        <v>4</v>
      </c>
      <c r="E2889" t="s">
        <v>2982</v>
      </c>
      <c r="F2889" t="s">
        <v>6056</v>
      </c>
      <c r="G2889" s="2" t="str">
        <f>HYPERLINK("https://telegram.me/azovcapitalmediachannel/1563")</f>
        <v>https://telegram.me/azovcapitalmediachannel/1563</v>
      </c>
      <c r="H2889" t="s">
        <v>6062</v>
      </c>
      <c r="I2889" t="s">
        <v>2992</v>
      </c>
      <c r="J2889" s="2" t="str">
        <f>HYPERLINK("https://telegram.me/azovcapitalmediachannel")</f>
        <v>https://telegram.me/azovcapitalmediachannel</v>
      </c>
      <c r="K2889">
        <v>521</v>
      </c>
      <c r="L2889" t="s">
        <v>6065</v>
      </c>
      <c r="N2889" t="s">
        <v>64</v>
      </c>
      <c r="O2889" t="s">
        <v>2992</v>
      </c>
      <c r="P2889" s="2" t="str">
        <f>HYPERLINK("https://telegram.me/azovcapitalmediachannel")</f>
        <v>https://telegram.me/azovcapitalmediachannel</v>
      </c>
      <c r="Q2889">
        <v>521</v>
      </c>
      <c r="R2889" t="s">
        <v>6070</v>
      </c>
    </row>
    <row r="2890" spans="1:18" ht="14.25" customHeight="1" x14ac:dyDescent="0.3">
      <c r="A2890" t="s">
        <v>5409</v>
      </c>
      <c r="B2890" t="s">
        <v>3597</v>
      </c>
      <c r="C2890" t="s">
        <v>3538</v>
      </c>
      <c r="D2890" t="s">
        <v>5451</v>
      </c>
      <c r="E2890" t="s">
        <v>5452</v>
      </c>
      <c r="F2890" t="s">
        <v>6059</v>
      </c>
      <c r="G2890" s="2" t="str">
        <f>HYPERLINK("https://telegram.me/BinanceUkraine/31479")</f>
        <v>https://telegram.me/BinanceUkraine/31479</v>
      </c>
      <c r="H2890" t="s">
        <v>6062</v>
      </c>
      <c r="I2890" t="s">
        <v>5453</v>
      </c>
      <c r="J2890" s="2" t="str">
        <f>HYPERLINK("https://telegram.me/598779425")</f>
        <v>https://telegram.me/598779425</v>
      </c>
      <c r="N2890" t="s">
        <v>64</v>
      </c>
      <c r="O2890" t="s">
        <v>5454</v>
      </c>
      <c r="P2890" s="2" t="str">
        <f>HYPERLINK("https://telegram.me/binanceukraine")</f>
        <v>https://telegram.me/binanceukraine</v>
      </c>
      <c r="Q2890">
        <v>1242</v>
      </c>
      <c r="R2890" t="s">
        <v>6070</v>
      </c>
    </row>
    <row r="2891" spans="1:18" ht="14.25" customHeight="1" x14ac:dyDescent="0.3">
      <c r="A2891" t="s">
        <v>4995</v>
      </c>
      <c r="B2891" t="s">
        <v>357</v>
      </c>
      <c r="C2891" t="s">
        <v>3538</v>
      </c>
      <c r="D2891" t="s">
        <v>4</v>
      </c>
      <c r="E2891" t="s">
        <v>5307</v>
      </c>
      <c r="F2891" t="s">
        <v>6056</v>
      </c>
      <c r="G2891" s="2" t="str">
        <f>HYPERLINK("https://telegram.me/insp_by_atty/138")</f>
        <v>https://telegram.me/insp_by_atty/138</v>
      </c>
      <c r="H2891" t="s">
        <v>6062</v>
      </c>
      <c r="I2891" t="s">
        <v>5308</v>
      </c>
      <c r="J2891" s="2" t="str">
        <f>HYPERLINK("https://telegram.me/beardeddesign")</f>
        <v>https://telegram.me/beardeddesign</v>
      </c>
      <c r="K2891">
        <v>15</v>
      </c>
      <c r="L2891" t="s">
        <v>6065</v>
      </c>
      <c r="N2891" t="s">
        <v>64</v>
      </c>
      <c r="O2891" t="s">
        <v>5308</v>
      </c>
      <c r="P2891" s="2" t="str">
        <f>HYPERLINK("https://telegram.me/beardeddesign")</f>
        <v>https://telegram.me/beardeddesign</v>
      </c>
      <c r="Q2891">
        <v>15</v>
      </c>
      <c r="R2891" t="s">
        <v>6070</v>
      </c>
    </row>
    <row r="2892" spans="1:18" ht="14.25" customHeight="1" x14ac:dyDescent="0.3">
      <c r="A2892" t="s">
        <v>4439</v>
      </c>
      <c r="B2892" t="s">
        <v>4914</v>
      </c>
      <c r="C2892" t="s">
        <v>3538</v>
      </c>
      <c r="D2892" t="s">
        <v>4</v>
      </c>
      <c r="E2892" t="s">
        <v>4915</v>
      </c>
      <c r="F2892" t="s">
        <v>6056</v>
      </c>
      <c r="G2892" s="2" t="str">
        <f>HYPERLINK("https://telegram.me/karbowanec/188595")</f>
        <v>https://telegram.me/karbowanec/188595</v>
      </c>
      <c r="H2892" t="s">
        <v>6062</v>
      </c>
      <c r="I2892" t="s">
        <v>4916</v>
      </c>
      <c r="J2892" s="2" t="str">
        <f>HYPERLINK("https://telegram.me/creepteks")</f>
        <v>https://telegram.me/creepteks</v>
      </c>
      <c r="N2892" t="s">
        <v>64</v>
      </c>
      <c r="O2892" t="s">
        <v>4846</v>
      </c>
      <c r="P2892" s="2" t="str">
        <f>HYPERLINK("https://telegram.me/karbowanec")</f>
        <v>https://telegram.me/karbowanec</v>
      </c>
      <c r="Q2892">
        <v>2019</v>
      </c>
      <c r="R2892" t="s">
        <v>6070</v>
      </c>
    </row>
    <row r="2893" spans="1:18" ht="14.25" customHeight="1" x14ac:dyDescent="0.3">
      <c r="A2893" t="s">
        <v>4439</v>
      </c>
      <c r="B2893" t="s">
        <v>4539</v>
      </c>
      <c r="C2893" t="s">
        <v>3538</v>
      </c>
      <c r="D2893" t="s">
        <v>4</v>
      </c>
      <c r="E2893" t="s">
        <v>4540</v>
      </c>
      <c r="F2893" t="s">
        <v>6056</v>
      </c>
      <c r="G2893" s="2" t="str">
        <f>HYPERLINK("https://telegram.me/s1mple_shots_chat/57664")</f>
        <v>https://telegram.me/s1mple_shots_chat/57664</v>
      </c>
      <c r="H2893" t="s">
        <v>6062</v>
      </c>
      <c r="I2893" t="s">
        <v>4541</v>
      </c>
      <c r="J2893" s="2" t="str">
        <f>HYPERLINK("https://telegram.me/daniil_oros")</f>
        <v>https://telegram.me/daniil_oros</v>
      </c>
      <c r="L2893" t="s">
        <v>6063</v>
      </c>
      <c r="N2893" t="s">
        <v>64</v>
      </c>
      <c r="O2893" t="s">
        <v>4542</v>
      </c>
      <c r="P2893" s="2" t="str">
        <f>HYPERLINK("https://telegram.me/s1mple_shots_chat")</f>
        <v>https://telegram.me/s1mple_shots_chat</v>
      </c>
      <c r="Q2893">
        <v>92</v>
      </c>
      <c r="R2893" t="s">
        <v>6070</v>
      </c>
    </row>
    <row r="2894" spans="1:18" ht="14.25" customHeight="1" x14ac:dyDescent="0.3">
      <c r="A2894" t="s">
        <v>1</v>
      </c>
      <c r="B2894" t="s">
        <v>243</v>
      </c>
      <c r="C2894" t="s">
        <v>95</v>
      </c>
      <c r="D2894" t="s">
        <v>239</v>
      </c>
      <c r="E2894" t="s">
        <v>244</v>
      </c>
      <c r="F2894" t="s">
        <v>6059</v>
      </c>
      <c r="G2894" s="2" t="str">
        <f>HYPERLINK("https://telegram.me/monobankunofficial/30778")</f>
        <v>https://telegram.me/monobankunofficial/30778</v>
      </c>
      <c r="H2894" t="s">
        <v>6062</v>
      </c>
      <c r="I2894" t="s">
        <v>241</v>
      </c>
      <c r="J2894" s="2" t="str">
        <f>HYPERLINK("https://telegram.me/444305049")</f>
        <v>https://telegram.me/444305049</v>
      </c>
      <c r="L2894" t="s">
        <v>6063</v>
      </c>
      <c r="N2894" t="s">
        <v>64</v>
      </c>
      <c r="O2894" t="s">
        <v>242</v>
      </c>
      <c r="P2894" s="2" t="str">
        <f>HYPERLINK("https://telegram.me/monobankunofficial")</f>
        <v>https://telegram.me/monobankunofficial</v>
      </c>
      <c r="Q2894">
        <v>270</v>
      </c>
      <c r="R2894" t="s">
        <v>6070</v>
      </c>
    </row>
    <row r="2895" spans="1:18" ht="14.25" customHeight="1" x14ac:dyDescent="0.3">
      <c r="A2895" t="s">
        <v>2225</v>
      </c>
      <c r="B2895" t="s">
        <v>2981</v>
      </c>
      <c r="C2895" t="s">
        <v>95</v>
      </c>
      <c r="D2895" t="s">
        <v>4</v>
      </c>
      <c r="E2895" t="s">
        <v>2982</v>
      </c>
      <c r="F2895" t="s">
        <v>6058</v>
      </c>
      <c r="G2895" s="2" t="str">
        <f>HYPERLINK("https://telegram.me/largobit/10080")</f>
        <v>https://telegram.me/largobit/10080</v>
      </c>
      <c r="H2895" t="s">
        <v>6062</v>
      </c>
      <c r="I2895" t="s">
        <v>2983</v>
      </c>
      <c r="J2895" s="2" t="str">
        <f t="shared" ref="J2895:J2902" si="82">HYPERLINK("https://telegram.me/azovhorizon")</f>
        <v>https://telegram.me/azovhorizon</v>
      </c>
      <c r="L2895" t="s">
        <v>6063</v>
      </c>
      <c r="N2895" t="s">
        <v>64</v>
      </c>
      <c r="O2895" t="s">
        <v>2984</v>
      </c>
      <c r="P2895" s="2" t="str">
        <f>HYPERLINK("https://telegram.me/largobit")</f>
        <v>https://telegram.me/largobit</v>
      </c>
      <c r="Q2895">
        <v>70</v>
      </c>
      <c r="R2895" t="s">
        <v>6070</v>
      </c>
    </row>
    <row r="2896" spans="1:18" ht="14.25" customHeight="1" x14ac:dyDescent="0.3">
      <c r="A2896" t="s">
        <v>2225</v>
      </c>
      <c r="B2896" t="s">
        <v>2981</v>
      </c>
      <c r="C2896" t="s">
        <v>95</v>
      </c>
      <c r="D2896" t="s">
        <v>4</v>
      </c>
      <c r="E2896" t="s">
        <v>2982</v>
      </c>
      <c r="F2896" t="s">
        <v>6058</v>
      </c>
      <c r="G2896" s="2" t="str">
        <f>HYPERLINK("https://telegram.me/hyipads/23822")</f>
        <v>https://telegram.me/hyipads/23822</v>
      </c>
      <c r="H2896" t="s">
        <v>6062</v>
      </c>
      <c r="I2896" t="s">
        <v>2983</v>
      </c>
      <c r="J2896" s="2" t="str">
        <f t="shared" si="82"/>
        <v>https://telegram.me/azovhorizon</v>
      </c>
      <c r="L2896" t="s">
        <v>6063</v>
      </c>
      <c r="N2896" t="s">
        <v>64</v>
      </c>
      <c r="O2896" t="s">
        <v>2985</v>
      </c>
      <c r="P2896" s="2" t="str">
        <f>HYPERLINK("https://telegram.me/hyipads")</f>
        <v>https://telegram.me/hyipads</v>
      </c>
      <c r="R2896" t="s">
        <v>6070</v>
      </c>
    </row>
    <row r="2897" spans="1:18" ht="14.25" customHeight="1" x14ac:dyDescent="0.3">
      <c r="A2897" t="s">
        <v>2225</v>
      </c>
      <c r="B2897" t="s">
        <v>2981</v>
      </c>
      <c r="C2897" t="s">
        <v>95</v>
      </c>
      <c r="D2897" t="s">
        <v>4</v>
      </c>
      <c r="E2897" t="s">
        <v>2982</v>
      </c>
      <c r="F2897" t="s">
        <v>6058</v>
      </c>
      <c r="G2897" s="2" t="str">
        <f>HYPERLINK("https://telegram.me/adsprojects/49957")</f>
        <v>https://telegram.me/adsprojects/49957</v>
      </c>
      <c r="H2897" t="s">
        <v>6062</v>
      </c>
      <c r="I2897" t="s">
        <v>2983</v>
      </c>
      <c r="J2897" s="2" t="str">
        <f t="shared" si="82"/>
        <v>https://telegram.me/azovhorizon</v>
      </c>
      <c r="L2897" t="s">
        <v>6063</v>
      </c>
      <c r="N2897" t="s">
        <v>64</v>
      </c>
      <c r="O2897" t="s">
        <v>2986</v>
      </c>
      <c r="P2897" s="2" t="str">
        <f>HYPERLINK("https://telegram.me/adsprojects")</f>
        <v>https://telegram.me/adsprojects</v>
      </c>
      <c r="Q2897">
        <v>781</v>
      </c>
      <c r="R2897" t="s">
        <v>6070</v>
      </c>
    </row>
    <row r="2898" spans="1:18" ht="14.25" customHeight="1" x14ac:dyDescent="0.3">
      <c r="A2898" t="s">
        <v>2225</v>
      </c>
      <c r="B2898" t="s">
        <v>2981</v>
      </c>
      <c r="C2898" t="s">
        <v>95</v>
      </c>
      <c r="D2898" t="s">
        <v>4</v>
      </c>
      <c r="E2898" t="s">
        <v>2982</v>
      </c>
      <c r="F2898" t="s">
        <v>6058</v>
      </c>
      <c r="G2898" s="2" t="str">
        <f>HYPERLINK("https://telegram.me/417313")</f>
        <v>https://telegram.me/417313</v>
      </c>
      <c r="H2898" t="s">
        <v>6062</v>
      </c>
      <c r="I2898" t="s">
        <v>2983</v>
      </c>
      <c r="J2898" s="2" t="str">
        <f t="shared" si="82"/>
        <v>https://telegram.me/azovhorizon</v>
      </c>
      <c r="L2898" t="s">
        <v>6063</v>
      </c>
      <c r="N2898" t="s">
        <v>64</v>
      </c>
      <c r="O2898" t="s">
        <v>2987</v>
      </c>
      <c r="P2898" s="2" t="str">
        <f>HYPERLINK("https://telegram.me/1369873575")</f>
        <v>https://telegram.me/1369873575</v>
      </c>
      <c r="Q2898">
        <v>1924</v>
      </c>
      <c r="R2898" t="s">
        <v>6070</v>
      </c>
    </row>
    <row r="2899" spans="1:18" ht="14.25" customHeight="1" x14ac:dyDescent="0.3">
      <c r="A2899" t="s">
        <v>2225</v>
      </c>
      <c r="B2899" t="s">
        <v>2981</v>
      </c>
      <c r="C2899" t="s">
        <v>95</v>
      </c>
      <c r="D2899" t="s">
        <v>4</v>
      </c>
      <c r="E2899" t="s">
        <v>2982</v>
      </c>
      <c r="F2899" t="s">
        <v>6058</v>
      </c>
      <c r="G2899" s="2" t="str">
        <f>HYPERLINK("https://telegram.me/reklamahyip/28662")</f>
        <v>https://telegram.me/reklamahyip/28662</v>
      </c>
      <c r="H2899" t="s">
        <v>6062</v>
      </c>
      <c r="I2899" t="s">
        <v>2983</v>
      </c>
      <c r="J2899" s="2" t="str">
        <f t="shared" si="82"/>
        <v>https://telegram.me/azovhorizon</v>
      </c>
      <c r="L2899" t="s">
        <v>6063</v>
      </c>
      <c r="N2899" t="s">
        <v>64</v>
      </c>
      <c r="O2899" t="s">
        <v>2988</v>
      </c>
      <c r="P2899" s="2" t="str">
        <f>HYPERLINK("https://telegram.me/reklamahyip")</f>
        <v>https://telegram.me/reklamahyip</v>
      </c>
      <c r="Q2899">
        <v>1043</v>
      </c>
      <c r="R2899" t="s">
        <v>6070</v>
      </c>
    </row>
    <row r="2900" spans="1:18" ht="14.25" customHeight="1" x14ac:dyDescent="0.3">
      <c r="A2900" t="s">
        <v>2225</v>
      </c>
      <c r="B2900" t="s">
        <v>2981</v>
      </c>
      <c r="C2900" t="s">
        <v>95</v>
      </c>
      <c r="D2900" t="s">
        <v>4</v>
      </c>
      <c r="E2900" t="s">
        <v>2982</v>
      </c>
      <c r="F2900" t="s">
        <v>6058</v>
      </c>
      <c r="G2900" s="2" t="str">
        <f>HYPERLINK("https://telegram.me/PRchatHyip/24565")</f>
        <v>https://telegram.me/PRchatHyip/24565</v>
      </c>
      <c r="H2900" t="s">
        <v>6062</v>
      </c>
      <c r="I2900" t="s">
        <v>2983</v>
      </c>
      <c r="J2900" s="2" t="str">
        <f t="shared" si="82"/>
        <v>https://telegram.me/azovhorizon</v>
      </c>
      <c r="L2900" t="s">
        <v>6063</v>
      </c>
      <c r="N2900" t="s">
        <v>64</v>
      </c>
      <c r="O2900" t="s">
        <v>2989</v>
      </c>
      <c r="P2900" s="2" t="str">
        <f>HYPERLINK("https://telegram.me/prchathyip")</f>
        <v>https://telegram.me/prchathyip</v>
      </c>
      <c r="Q2900">
        <v>445</v>
      </c>
      <c r="R2900" t="s">
        <v>6070</v>
      </c>
    </row>
    <row r="2901" spans="1:18" ht="14.25" customHeight="1" x14ac:dyDescent="0.3">
      <c r="A2901" t="s">
        <v>2225</v>
      </c>
      <c r="B2901" t="s">
        <v>2981</v>
      </c>
      <c r="C2901" t="s">
        <v>95</v>
      </c>
      <c r="D2901" t="s">
        <v>4</v>
      </c>
      <c r="E2901" t="s">
        <v>2982</v>
      </c>
      <c r="F2901" t="s">
        <v>6058</v>
      </c>
      <c r="G2901" s="2" t="str">
        <f>HYPERLINK("https://telegram.me/investorschat/39929")</f>
        <v>https://telegram.me/investorschat/39929</v>
      </c>
      <c r="H2901" t="s">
        <v>6062</v>
      </c>
      <c r="I2901" t="s">
        <v>2983</v>
      </c>
      <c r="J2901" s="2" t="str">
        <f t="shared" si="82"/>
        <v>https://telegram.me/azovhorizon</v>
      </c>
      <c r="L2901" t="s">
        <v>6063</v>
      </c>
      <c r="N2901" t="s">
        <v>64</v>
      </c>
      <c r="O2901" t="s">
        <v>2990</v>
      </c>
      <c r="P2901" s="2" t="str">
        <f>HYPERLINK("https://telegram.me/investorschat")</f>
        <v>https://telegram.me/investorschat</v>
      </c>
      <c r="Q2901">
        <v>304</v>
      </c>
      <c r="R2901" t="s">
        <v>6070</v>
      </c>
    </row>
    <row r="2902" spans="1:18" ht="14.25" customHeight="1" x14ac:dyDescent="0.3">
      <c r="A2902" t="s">
        <v>2225</v>
      </c>
      <c r="B2902" t="s">
        <v>2981</v>
      </c>
      <c r="C2902" t="s">
        <v>95</v>
      </c>
      <c r="D2902" t="s">
        <v>4</v>
      </c>
      <c r="E2902" t="s">
        <v>2982</v>
      </c>
      <c r="F2902" t="s">
        <v>6058</v>
      </c>
      <c r="G2902" s="2" t="str">
        <f>HYPERLINK("https://telegram.me/azovcapitalmedia/27535")</f>
        <v>https://telegram.me/azovcapitalmedia/27535</v>
      </c>
      <c r="H2902" t="s">
        <v>6062</v>
      </c>
      <c r="I2902" t="s">
        <v>2983</v>
      </c>
      <c r="J2902" s="2" t="str">
        <f t="shared" si="82"/>
        <v>https://telegram.me/azovhorizon</v>
      </c>
      <c r="L2902" t="s">
        <v>6063</v>
      </c>
      <c r="N2902" t="s">
        <v>64</v>
      </c>
      <c r="O2902" t="s">
        <v>2991</v>
      </c>
      <c r="P2902" s="2" t="str">
        <f>HYPERLINK("https://telegram.me/azovcapitalmedia")</f>
        <v>https://telegram.me/azovcapitalmedia</v>
      </c>
      <c r="Q2902">
        <v>353</v>
      </c>
      <c r="R2902" t="s">
        <v>6070</v>
      </c>
    </row>
    <row r="2903" spans="1:18" ht="14.25" customHeight="1" x14ac:dyDescent="0.3">
      <c r="A2903" t="s">
        <v>629</v>
      </c>
      <c r="B2903" t="s">
        <v>926</v>
      </c>
      <c r="C2903" t="s">
        <v>95</v>
      </c>
      <c r="D2903" t="s">
        <v>4</v>
      </c>
      <c r="E2903" t="s">
        <v>927</v>
      </c>
      <c r="F2903" t="s">
        <v>6058</v>
      </c>
      <c r="G2903" s="2" t="str">
        <f>HYPERLINK("https://telegram.me/monobankunofficial/30603")</f>
        <v>https://telegram.me/monobankunofficial/30603</v>
      </c>
      <c r="H2903" t="s">
        <v>6062</v>
      </c>
      <c r="I2903" t="s">
        <v>928</v>
      </c>
      <c r="J2903" s="2" t="str">
        <f>HYPERLINK("https://telegram.me/rst59")</f>
        <v>https://telegram.me/rst59</v>
      </c>
      <c r="L2903" t="s">
        <v>6063</v>
      </c>
      <c r="N2903" t="s">
        <v>64</v>
      </c>
      <c r="O2903" t="s">
        <v>242</v>
      </c>
      <c r="P2903" s="2" t="str">
        <f>HYPERLINK("https://telegram.me/monobankunofficial")</f>
        <v>https://telegram.me/monobankunofficial</v>
      </c>
      <c r="Q2903">
        <v>270</v>
      </c>
      <c r="R2903" t="s">
        <v>6070</v>
      </c>
    </row>
    <row r="2904" spans="1:18" ht="14.25" customHeight="1" x14ac:dyDescent="0.3">
      <c r="A2904" t="s">
        <v>4995</v>
      </c>
      <c r="B2904" t="s">
        <v>2547</v>
      </c>
      <c r="C2904" t="s">
        <v>3538</v>
      </c>
      <c r="D2904" t="s">
        <v>4</v>
      </c>
      <c r="E2904" t="s">
        <v>5040</v>
      </c>
      <c r="F2904" t="s">
        <v>6056</v>
      </c>
      <c r="G2904" s="2" t="str">
        <f>HYPERLINK("https://telegram.me/windows_insider/118770")</f>
        <v>https://telegram.me/windows_insider/118770</v>
      </c>
      <c r="H2904" t="s">
        <v>6062</v>
      </c>
      <c r="I2904" t="s">
        <v>5041</v>
      </c>
      <c r="J2904" s="2" t="str">
        <f>HYPERLINK("https://telegram.me/werejaguar")</f>
        <v>https://telegram.me/werejaguar</v>
      </c>
      <c r="L2904" t="s">
        <v>6063</v>
      </c>
      <c r="N2904" t="s">
        <v>64</v>
      </c>
      <c r="O2904" t="s">
        <v>5042</v>
      </c>
      <c r="P2904" s="2" t="str">
        <f>HYPERLINK("https://telegram.me/windows_insider")</f>
        <v>https://telegram.me/windows_insider</v>
      </c>
      <c r="Q2904">
        <v>375</v>
      </c>
      <c r="R2904" t="s">
        <v>6070</v>
      </c>
    </row>
    <row r="2905" spans="1:18" ht="14.25" customHeight="1" x14ac:dyDescent="0.3">
      <c r="A2905" t="s">
        <v>1</v>
      </c>
      <c r="B2905" t="s">
        <v>199</v>
      </c>
      <c r="C2905" t="s">
        <v>95</v>
      </c>
      <c r="D2905" t="s">
        <v>4</v>
      </c>
      <c r="E2905" t="s">
        <v>200</v>
      </c>
      <c r="F2905" t="s">
        <v>6056</v>
      </c>
      <c r="G2905" s="2" t="str">
        <f>HYPERLINK("https://telegram.me/DARKNETSNG/16281")</f>
        <v>https://telegram.me/DARKNETSNG/16281</v>
      </c>
      <c r="H2905" t="s">
        <v>6062</v>
      </c>
      <c r="I2905" t="s">
        <v>201</v>
      </c>
      <c r="J2905" s="2" t="str">
        <f t="shared" ref="J2905:J2914" si="83">HYPERLINK("https://telegram.me/diego_simeone")</f>
        <v>https://telegram.me/diego_simeone</v>
      </c>
      <c r="L2905" t="s">
        <v>6063</v>
      </c>
      <c r="N2905" t="s">
        <v>64</v>
      </c>
      <c r="O2905" t="s">
        <v>202</v>
      </c>
      <c r="P2905" s="2" t="str">
        <f>HYPERLINK("https://telegram.me/darknetsng")</f>
        <v>https://telegram.me/darknetsng</v>
      </c>
      <c r="Q2905">
        <v>5837</v>
      </c>
      <c r="R2905" t="s">
        <v>6070</v>
      </c>
    </row>
    <row r="2906" spans="1:18" ht="14.25" customHeight="1" x14ac:dyDescent="0.3">
      <c r="A2906" t="s">
        <v>2225</v>
      </c>
      <c r="B2906" t="s">
        <v>444</v>
      </c>
      <c r="C2906" t="s">
        <v>95</v>
      </c>
      <c r="D2906" t="s">
        <v>4</v>
      </c>
      <c r="E2906" t="s">
        <v>200</v>
      </c>
      <c r="F2906" t="s">
        <v>6056</v>
      </c>
      <c r="G2906" s="2" t="str">
        <f>HYPERLINK("https://telegram.me/DARKNETSNG/16189")</f>
        <v>https://telegram.me/DARKNETSNG/16189</v>
      </c>
      <c r="H2906" t="s">
        <v>6062</v>
      </c>
      <c r="I2906" t="s">
        <v>201</v>
      </c>
      <c r="J2906" s="2" t="str">
        <f t="shared" si="83"/>
        <v>https://telegram.me/diego_simeone</v>
      </c>
      <c r="L2906" t="s">
        <v>6063</v>
      </c>
      <c r="N2906" t="s">
        <v>64</v>
      </c>
      <c r="O2906" t="s">
        <v>202</v>
      </c>
      <c r="P2906" s="2" t="str">
        <f>HYPERLINK("https://telegram.me/darknetsng")</f>
        <v>https://telegram.me/darknetsng</v>
      </c>
      <c r="Q2906">
        <v>5837</v>
      </c>
      <c r="R2906" t="s">
        <v>6070</v>
      </c>
    </row>
    <row r="2907" spans="1:18" ht="14.25" customHeight="1" x14ac:dyDescent="0.3">
      <c r="A2907" t="s">
        <v>4439</v>
      </c>
      <c r="B2907" t="s">
        <v>1266</v>
      </c>
      <c r="C2907" t="s">
        <v>3538</v>
      </c>
      <c r="D2907" t="s">
        <v>4</v>
      </c>
      <c r="E2907" t="s">
        <v>200</v>
      </c>
      <c r="F2907" t="s">
        <v>6056</v>
      </c>
      <c r="G2907" s="2" t="str">
        <f>HYPERLINK("https://telegram.me/Blackbizz777/28718")</f>
        <v>https://telegram.me/Blackbizz777/28718</v>
      </c>
      <c r="H2907" t="s">
        <v>6062</v>
      </c>
      <c r="I2907" t="s">
        <v>201</v>
      </c>
      <c r="J2907" s="2" t="str">
        <f t="shared" si="83"/>
        <v>https://telegram.me/diego_simeone</v>
      </c>
      <c r="L2907" t="s">
        <v>6063</v>
      </c>
      <c r="N2907" t="s">
        <v>64</v>
      </c>
      <c r="O2907" t="s">
        <v>4650</v>
      </c>
      <c r="P2907" s="2" t="str">
        <f>HYPERLINK("https://telegram.me/blackbizz777")</f>
        <v>https://telegram.me/blackbizz777</v>
      </c>
      <c r="Q2907">
        <v>1887</v>
      </c>
      <c r="R2907" t="s">
        <v>6070</v>
      </c>
    </row>
    <row r="2908" spans="1:18" ht="14.25" customHeight="1" x14ac:dyDescent="0.3">
      <c r="A2908" t="s">
        <v>4995</v>
      </c>
      <c r="B2908" t="s">
        <v>980</v>
      </c>
      <c r="C2908" t="s">
        <v>3538</v>
      </c>
      <c r="D2908" t="s">
        <v>4</v>
      </c>
      <c r="E2908" t="s">
        <v>200</v>
      </c>
      <c r="F2908" t="s">
        <v>6056</v>
      </c>
      <c r="G2908" s="2" t="str">
        <f>HYPERLINK("https://telegram.me/DARKNETSNG/16121")</f>
        <v>https://telegram.me/DARKNETSNG/16121</v>
      </c>
      <c r="H2908" t="s">
        <v>6062</v>
      </c>
      <c r="I2908" t="s">
        <v>201</v>
      </c>
      <c r="J2908" s="2" t="str">
        <f t="shared" si="83"/>
        <v>https://telegram.me/diego_simeone</v>
      </c>
      <c r="L2908" t="s">
        <v>6063</v>
      </c>
      <c r="N2908" t="s">
        <v>64</v>
      </c>
      <c r="O2908" t="s">
        <v>202</v>
      </c>
      <c r="P2908" s="2" t="str">
        <f>HYPERLINK("https://telegram.me/darknetsng")</f>
        <v>https://telegram.me/darknetsng</v>
      </c>
      <c r="Q2908">
        <v>5837</v>
      </c>
      <c r="R2908" t="s">
        <v>6070</v>
      </c>
    </row>
    <row r="2909" spans="1:18" ht="14.25" customHeight="1" x14ac:dyDescent="0.3">
      <c r="A2909" t="s">
        <v>4995</v>
      </c>
      <c r="B2909" t="s">
        <v>980</v>
      </c>
      <c r="C2909" t="s">
        <v>3538</v>
      </c>
      <c r="D2909" t="s">
        <v>4</v>
      </c>
      <c r="E2909" t="s">
        <v>200</v>
      </c>
      <c r="F2909" t="s">
        <v>6056</v>
      </c>
      <c r="G2909" s="2" t="str">
        <f>HYPERLINK("https://telegram.me/PlastickShop/9452")</f>
        <v>https://telegram.me/PlastickShop/9452</v>
      </c>
      <c r="H2909" t="s">
        <v>6062</v>
      </c>
      <c r="I2909" t="s">
        <v>201</v>
      </c>
      <c r="J2909" s="2" t="str">
        <f t="shared" si="83"/>
        <v>https://telegram.me/diego_simeone</v>
      </c>
      <c r="L2909" t="s">
        <v>6063</v>
      </c>
      <c r="N2909" t="s">
        <v>64</v>
      </c>
      <c r="O2909" t="s">
        <v>5145</v>
      </c>
      <c r="P2909" s="2" t="str">
        <f>HYPERLINK("https://telegram.me/plastickshop")</f>
        <v>https://telegram.me/plastickshop</v>
      </c>
      <c r="Q2909">
        <v>449</v>
      </c>
      <c r="R2909" t="s">
        <v>6070</v>
      </c>
    </row>
    <row r="2910" spans="1:18" ht="14.25" customHeight="1" x14ac:dyDescent="0.3">
      <c r="A2910" t="s">
        <v>4995</v>
      </c>
      <c r="B2910" t="s">
        <v>4016</v>
      </c>
      <c r="C2910" t="s">
        <v>3538</v>
      </c>
      <c r="D2910" t="s">
        <v>4</v>
      </c>
      <c r="E2910" t="s">
        <v>200</v>
      </c>
      <c r="F2910" t="s">
        <v>6056</v>
      </c>
      <c r="G2910" s="2" t="str">
        <f>HYPERLINK("https://telegram.me/Blackbizz777/28605")</f>
        <v>https://telegram.me/Blackbizz777/28605</v>
      </c>
      <c r="H2910" t="s">
        <v>6062</v>
      </c>
      <c r="I2910" t="s">
        <v>201</v>
      </c>
      <c r="J2910" s="2" t="str">
        <f t="shared" si="83"/>
        <v>https://telegram.me/diego_simeone</v>
      </c>
      <c r="L2910" t="s">
        <v>6063</v>
      </c>
      <c r="N2910" t="s">
        <v>64</v>
      </c>
      <c r="O2910" t="s">
        <v>4650</v>
      </c>
      <c r="P2910" s="2" t="str">
        <f>HYPERLINK("https://telegram.me/blackbizz777")</f>
        <v>https://telegram.me/blackbizz777</v>
      </c>
      <c r="Q2910">
        <v>1887</v>
      </c>
      <c r="R2910" t="s">
        <v>6070</v>
      </c>
    </row>
    <row r="2911" spans="1:18" ht="14.25" customHeight="1" x14ac:dyDescent="0.3">
      <c r="A2911" t="s">
        <v>4995</v>
      </c>
      <c r="B2911" t="s">
        <v>1608</v>
      </c>
      <c r="C2911" t="s">
        <v>3538</v>
      </c>
      <c r="D2911" t="s">
        <v>4</v>
      </c>
      <c r="E2911" t="s">
        <v>200</v>
      </c>
      <c r="F2911" t="s">
        <v>6056</v>
      </c>
      <c r="G2911" s="2" t="str">
        <f>HYPERLINK("https://telegram.me/DARKNETSNG/16101")</f>
        <v>https://telegram.me/DARKNETSNG/16101</v>
      </c>
      <c r="H2911" t="s">
        <v>6062</v>
      </c>
      <c r="I2911" t="s">
        <v>201</v>
      </c>
      <c r="J2911" s="2" t="str">
        <f t="shared" si="83"/>
        <v>https://telegram.me/diego_simeone</v>
      </c>
      <c r="L2911" t="s">
        <v>6063</v>
      </c>
      <c r="N2911" t="s">
        <v>64</v>
      </c>
      <c r="O2911" t="s">
        <v>202</v>
      </c>
      <c r="P2911" s="2" t="str">
        <f>HYPERLINK("https://telegram.me/darknetsng")</f>
        <v>https://telegram.me/darknetsng</v>
      </c>
      <c r="Q2911">
        <v>5837</v>
      </c>
      <c r="R2911" t="s">
        <v>6070</v>
      </c>
    </row>
    <row r="2912" spans="1:18" ht="14.25" customHeight="1" x14ac:dyDescent="0.3">
      <c r="A2912" t="s">
        <v>5409</v>
      </c>
      <c r="B2912" t="s">
        <v>5728</v>
      </c>
      <c r="C2912" t="s">
        <v>3538</v>
      </c>
      <c r="D2912" t="s">
        <v>4</v>
      </c>
      <c r="E2912" t="s">
        <v>200</v>
      </c>
      <c r="F2912" t="s">
        <v>6056</v>
      </c>
      <c r="G2912" s="2" t="str">
        <f>HYPERLINK("https://telegram.me/DARKNETSNG/16073")</f>
        <v>https://telegram.me/DARKNETSNG/16073</v>
      </c>
      <c r="H2912" t="s">
        <v>6062</v>
      </c>
      <c r="I2912" t="s">
        <v>201</v>
      </c>
      <c r="J2912" s="2" t="str">
        <f t="shared" si="83"/>
        <v>https://telegram.me/diego_simeone</v>
      </c>
      <c r="L2912" t="s">
        <v>6063</v>
      </c>
      <c r="N2912" t="s">
        <v>64</v>
      </c>
      <c r="O2912" t="s">
        <v>202</v>
      </c>
      <c r="P2912" s="2" t="str">
        <f>HYPERLINK("https://telegram.me/darknetsng")</f>
        <v>https://telegram.me/darknetsng</v>
      </c>
      <c r="Q2912">
        <v>5837</v>
      </c>
      <c r="R2912" t="s">
        <v>6070</v>
      </c>
    </row>
    <row r="2913" spans="1:18" ht="14.25" customHeight="1" x14ac:dyDescent="0.3">
      <c r="A2913" t="s">
        <v>5409</v>
      </c>
      <c r="B2913" t="s">
        <v>1362</v>
      </c>
      <c r="C2913" t="s">
        <v>3538</v>
      </c>
      <c r="D2913" t="s">
        <v>4</v>
      </c>
      <c r="E2913" t="s">
        <v>200</v>
      </c>
      <c r="F2913" t="s">
        <v>6056</v>
      </c>
      <c r="G2913" s="2" t="str">
        <f>HYPERLINK("https://telegram.me/Blackbizz777/28221")</f>
        <v>https://telegram.me/Blackbizz777/28221</v>
      </c>
      <c r="H2913" t="s">
        <v>6062</v>
      </c>
      <c r="I2913" t="s">
        <v>201</v>
      </c>
      <c r="J2913" s="2" t="str">
        <f t="shared" si="83"/>
        <v>https://telegram.me/diego_simeone</v>
      </c>
      <c r="L2913" t="s">
        <v>6063</v>
      </c>
      <c r="N2913" t="s">
        <v>64</v>
      </c>
      <c r="O2913" t="s">
        <v>4650</v>
      </c>
      <c r="P2913" s="2" t="str">
        <f>HYPERLINK("https://telegram.me/blackbizz777")</f>
        <v>https://telegram.me/blackbizz777</v>
      </c>
      <c r="Q2913">
        <v>1887</v>
      </c>
      <c r="R2913" t="s">
        <v>6070</v>
      </c>
    </row>
    <row r="2914" spans="1:18" ht="14.25" customHeight="1" x14ac:dyDescent="0.3">
      <c r="A2914" t="s">
        <v>5409</v>
      </c>
      <c r="B2914" t="s">
        <v>1362</v>
      </c>
      <c r="C2914" t="s">
        <v>3538</v>
      </c>
      <c r="D2914" t="s">
        <v>4</v>
      </c>
      <c r="E2914" t="s">
        <v>200</v>
      </c>
      <c r="F2914" t="s">
        <v>6056</v>
      </c>
      <c r="G2914" s="2" t="str">
        <f>HYPERLINK("https://telegram.me/PlastickShop/9335")</f>
        <v>https://telegram.me/PlastickShop/9335</v>
      </c>
      <c r="H2914" t="s">
        <v>6062</v>
      </c>
      <c r="I2914" t="s">
        <v>201</v>
      </c>
      <c r="J2914" s="2" t="str">
        <f t="shared" si="83"/>
        <v>https://telegram.me/diego_simeone</v>
      </c>
      <c r="L2914" t="s">
        <v>6063</v>
      </c>
      <c r="N2914" t="s">
        <v>64</v>
      </c>
      <c r="O2914" t="s">
        <v>5145</v>
      </c>
      <c r="P2914" s="2" t="str">
        <f>HYPERLINK("https://telegram.me/plastickshop")</f>
        <v>https://telegram.me/plastickshop</v>
      </c>
      <c r="Q2914">
        <v>449</v>
      </c>
      <c r="R2914" t="s">
        <v>6070</v>
      </c>
    </row>
    <row r="2915" spans="1:18" ht="14.25" customHeight="1" x14ac:dyDescent="0.3">
      <c r="A2915" t="s">
        <v>3527</v>
      </c>
      <c r="B2915" t="s">
        <v>3796</v>
      </c>
      <c r="C2915" t="s">
        <v>95</v>
      </c>
      <c r="D2915" t="s">
        <v>4</v>
      </c>
      <c r="E2915" t="s">
        <v>3798</v>
      </c>
      <c r="F2915" t="s">
        <v>6056</v>
      </c>
      <c r="G2915" s="2" t="str">
        <f>HYPERLINK("https://telegram.me/dmytro_dubilet/86")</f>
        <v>https://telegram.me/dmytro_dubilet/86</v>
      </c>
      <c r="H2915" t="s">
        <v>6062</v>
      </c>
      <c r="I2915" t="s">
        <v>3799</v>
      </c>
      <c r="J2915" s="2" t="str">
        <f>HYPERLINK("https://telegram.me/dmytro_dubilet")</f>
        <v>https://telegram.me/dmytro_dubilet</v>
      </c>
      <c r="K2915">
        <v>6002</v>
      </c>
      <c r="L2915" t="s">
        <v>6065</v>
      </c>
      <c r="N2915" t="s">
        <v>64</v>
      </c>
      <c r="O2915" t="s">
        <v>3799</v>
      </c>
      <c r="P2915" s="2" t="str">
        <f>HYPERLINK("https://telegram.me/dmytro_dubilet")</f>
        <v>https://telegram.me/dmytro_dubilet</v>
      </c>
      <c r="Q2915">
        <v>6002</v>
      </c>
      <c r="R2915" t="s">
        <v>6070</v>
      </c>
    </row>
    <row r="2916" spans="1:18" ht="14.25" customHeight="1" x14ac:dyDescent="0.3">
      <c r="A2916" t="s">
        <v>4439</v>
      </c>
      <c r="B2916" t="s">
        <v>3944</v>
      </c>
      <c r="C2916" t="s">
        <v>3538</v>
      </c>
      <c r="D2916" t="s">
        <v>4</v>
      </c>
      <c r="E2916" t="s">
        <v>4577</v>
      </c>
      <c r="F2916" t="s">
        <v>6056</v>
      </c>
      <c r="G2916" s="2" t="str">
        <f>HYPERLINK("https://telegram.me/FranchTV/146")</f>
        <v>https://telegram.me/FranchTV/146</v>
      </c>
      <c r="H2916" t="s">
        <v>6062</v>
      </c>
      <c r="I2916" t="s">
        <v>4578</v>
      </c>
      <c r="J2916" s="2" t="str">
        <f>HYPERLINK("https://telegram.me/franchtv")</f>
        <v>https://telegram.me/franchtv</v>
      </c>
      <c r="K2916">
        <v>477</v>
      </c>
      <c r="L2916" t="s">
        <v>6065</v>
      </c>
      <c r="N2916" t="s">
        <v>64</v>
      </c>
      <c r="O2916" t="s">
        <v>4578</v>
      </c>
      <c r="P2916" s="2" t="str">
        <f>HYPERLINK("https://telegram.me/franchtv")</f>
        <v>https://telegram.me/franchtv</v>
      </c>
      <c r="Q2916">
        <v>477</v>
      </c>
      <c r="R2916" t="s">
        <v>6070</v>
      </c>
    </row>
    <row r="2917" spans="1:18" ht="14.25" customHeight="1" x14ac:dyDescent="0.3">
      <c r="A2917" t="s">
        <v>5409</v>
      </c>
      <c r="B2917" t="s">
        <v>3117</v>
      </c>
      <c r="C2917" t="s">
        <v>3538</v>
      </c>
      <c r="D2917" t="s">
        <v>4</v>
      </c>
      <c r="E2917" t="s">
        <v>5636</v>
      </c>
      <c r="F2917" t="s">
        <v>6056</v>
      </c>
      <c r="G2917" s="2" t="str">
        <f>HYPERLINK("https://telegram.me/contrculturachat/18823")</f>
        <v>https://telegram.me/contrculturachat/18823</v>
      </c>
      <c r="H2917" t="s">
        <v>6062</v>
      </c>
      <c r="I2917" t="s">
        <v>5637</v>
      </c>
      <c r="J2917" s="2" t="str">
        <f>HYPERLINK("https://telegram.me/479293448")</f>
        <v>https://telegram.me/479293448</v>
      </c>
      <c r="N2917" t="s">
        <v>64</v>
      </c>
      <c r="O2917" t="s">
        <v>5638</v>
      </c>
      <c r="P2917" s="2" t="str">
        <f>HYPERLINK("https://telegram.me/contrculturachat")</f>
        <v>https://telegram.me/contrculturachat</v>
      </c>
      <c r="Q2917">
        <v>97</v>
      </c>
      <c r="R2917" t="s">
        <v>6070</v>
      </c>
    </row>
    <row r="2918" spans="1:18" ht="14.25" customHeight="1" x14ac:dyDescent="0.3">
      <c r="A2918" t="s">
        <v>5409</v>
      </c>
      <c r="B2918" t="s">
        <v>1031</v>
      </c>
      <c r="C2918" t="s">
        <v>3538</v>
      </c>
      <c r="D2918" t="s">
        <v>4</v>
      </c>
      <c r="E2918" t="s">
        <v>5639</v>
      </c>
      <c r="F2918" t="s">
        <v>6056</v>
      </c>
      <c r="G2918" s="2" t="str">
        <f>HYPERLINK("https://telegram.me/ua_ultras14_88/100838")</f>
        <v>https://telegram.me/ua_ultras14_88/100838</v>
      </c>
      <c r="H2918" t="s">
        <v>6062</v>
      </c>
      <c r="I2918" t="s">
        <v>5637</v>
      </c>
      <c r="J2918" s="2" t="str">
        <f>HYPERLINK("https://telegram.me/479293448")</f>
        <v>https://telegram.me/479293448</v>
      </c>
      <c r="N2918" t="s">
        <v>64</v>
      </c>
      <c r="O2918" t="s">
        <v>5640</v>
      </c>
      <c r="P2918" s="2" t="str">
        <f>HYPERLINK("https://telegram.me/ua_ultras14_88")</f>
        <v>https://telegram.me/ua_ultras14_88</v>
      </c>
      <c r="Q2918">
        <v>638</v>
      </c>
      <c r="R2918" t="s">
        <v>6070</v>
      </c>
    </row>
    <row r="2919" spans="1:18" ht="14.25" customHeight="1" x14ac:dyDescent="0.3">
      <c r="A2919" t="s">
        <v>2225</v>
      </c>
      <c r="B2919" t="s">
        <v>1567</v>
      </c>
      <c r="C2919" t="s">
        <v>95</v>
      </c>
      <c r="D2919" t="s">
        <v>4</v>
      </c>
      <c r="E2919" t="s">
        <v>3390</v>
      </c>
      <c r="F2919" t="s">
        <v>6059</v>
      </c>
      <c r="G2919" s="2" t="str">
        <f>HYPERLINK("https://telegram.me/rztkd/39557")</f>
        <v>https://telegram.me/rztkd/39557</v>
      </c>
      <c r="H2919" t="s">
        <v>6062</v>
      </c>
      <c r="I2919" t="s">
        <v>3394</v>
      </c>
      <c r="J2919" s="2" t="str">
        <f>HYPERLINK("https://telegram.me/k_vadis")</f>
        <v>https://telegram.me/k_vadis</v>
      </c>
      <c r="L2919" t="s">
        <v>6063</v>
      </c>
      <c r="N2919" t="s">
        <v>64</v>
      </c>
      <c r="O2919" t="s">
        <v>3393</v>
      </c>
      <c r="P2919" s="2" t="str">
        <f>HYPERLINK("https://telegram.me/rztkd")</f>
        <v>https://telegram.me/rztkd</v>
      </c>
      <c r="R2919" t="s">
        <v>6070</v>
      </c>
    </row>
    <row r="2920" spans="1:18" ht="14.25" customHeight="1" x14ac:dyDescent="0.3">
      <c r="A2920" t="s">
        <v>1</v>
      </c>
      <c r="B2920" t="s">
        <v>309</v>
      </c>
      <c r="C2920" t="s">
        <v>95</v>
      </c>
      <c r="D2920" t="s">
        <v>4</v>
      </c>
      <c r="E2920" t="s">
        <v>310</v>
      </c>
      <c r="F2920" t="s">
        <v>6056</v>
      </c>
      <c r="G2920" s="2" t="str">
        <f>HYPERLINK("https://telegram.me/payspacemagazine/1327")</f>
        <v>https://telegram.me/payspacemagazine/1327</v>
      </c>
      <c r="H2920" t="s">
        <v>6062</v>
      </c>
      <c r="I2920" t="s">
        <v>301</v>
      </c>
      <c r="J2920" s="2" t="str">
        <f>HYPERLINK("https://telegram.me/payspacemagazine")</f>
        <v>https://telegram.me/payspacemagazine</v>
      </c>
      <c r="K2920">
        <v>151</v>
      </c>
      <c r="L2920" t="s">
        <v>6065</v>
      </c>
      <c r="N2920" t="s">
        <v>64</v>
      </c>
      <c r="O2920" t="s">
        <v>301</v>
      </c>
      <c r="P2920" s="2" t="str">
        <f>HYPERLINK("https://telegram.me/payspacemagazine")</f>
        <v>https://telegram.me/payspacemagazine</v>
      </c>
      <c r="Q2920">
        <v>151</v>
      </c>
      <c r="R2920" t="s">
        <v>6070</v>
      </c>
    </row>
    <row r="2921" spans="1:18" ht="14.25" customHeight="1" x14ac:dyDescent="0.3">
      <c r="A2921" t="s">
        <v>2225</v>
      </c>
      <c r="B2921" t="s">
        <v>2287</v>
      </c>
      <c r="C2921" t="s">
        <v>95</v>
      </c>
      <c r="D2921" t="s">
        <v>4</v>
      </c>
      <c r="E2921" t="s">
        <v>2289</v>
      </c>
      <c r="F2921" t="s">
        <v>6056</v>
      </c>
      <c r="G2921" s="2" t="str">
        <f>HYPERLINK("https://telegram.me/adword/31353")</f>
        <v>https://telegram.me/adword/31353</v>
      </c>
      <c r="H2921" t="s">
        <v>6062</v>
      </c>
      <c r="I2921" t="s">
        <v>2290</v>
      </c>
      <c r="J2921" s="2" t="str">
        <f>HYPERLINK("https://telegram.me/553754192")</f>
        <v>https://telegram.me/553754192</v>
      </c>
      <c r="N2921" t="s">
        <v>64</v>
      </c>
      <c r="O2921" t="s">
        <v>2291</v>
      </c>
      <c r="P2921" s="2" t="str">
        <f>HYPERLINK("https://telegram.me/adword")</f>
        <v>https://telegram.me/adword</v>
      </c>
      <c r="Q2921">
        <v>1403</v>
      </c>
      <c r="R2921" t="s">
        <v>6070</v>
      </c>
    </row>
    <row r="2922" spans="1:18" ht="14.25" customHeight="1" x14ac:dyDescent="0.3">
      <c r="A2922" t="s">
        <v>4995</v>
      </c>
      <c r="B2922" t="s">
        <v>915</v>
      </c>
      <c r="C2922" t="s">
        <v>3538</v>
      </c>
      <c r="D2922" t="s">
        <v>4</v>
      </c>
      <c r="E2922" t="s">
        <v>5132</v>
      </c>
      <c r="F2922" t="s">
        <v>6056</v>
      </c>
      <c r="G2922" s="2" t="str">
        <f>HYPERLINK("https://telegram.me/busvcrimea/125")</f>
        <v>https://telegram.me/busvcrimea/125</v>
      </c>
      <c r="H2922" t="s">
        <v>6062</v>
      </c>
      <c r="I2922" t="s">
        <v>5133</v>
      </c>
      <c r="J2922" s="2" t="str">
        <f>HYPERLINK("https://telegram.me/busvcrimea")</f>
        <v>https://telegram.me/busvcrimea</v>
      </c>
      <c r="K2922">
        <v>32</v>
      </c>
      <c r="L2922" t="s">
        <v>6065</v>
      </c>
      <c r="N2922" t="s">
        <v>64</v>
      </c>
      <c r="O2922" t="s">
        <v>5133</v>
      </c>
      <c r="P2922" s="2" t="str">
        <f>HYPERLINK("https://telegram.me/busvcrimea")</f>
        <v>https://telegram.me/busvcrimea</v>
      </c>
      <c r="Q2922">
        <v>32</v>
      </c>
      <c r="R2922" t="s">
        <v>6070</v>
      </c>
    </row>
    <row r="2923" spans="1:18" ht="14.25" customHeight="1" x14ac:dyDescent="0.3">
      <c r="A2923" t="s">
        <v>629</v>
      </c>
      <c r="B2923" t="s">
        <v>1452</v>
      </c>
      <c r="C2923" t="s">
        <v>95</v>
      </c>
      <c r="D2923" t="s">
        <v>4</v>
      </c>
      <c r="E2923" t="s">
        <v>1453</v>
      </c>
      <c r="F2923" t="s">
        <v>6056</v>
      </c>
      <c r="G2923" s="2" t="str">
        <f>HYPERLINK("https://telegram.me/kuna_sco_ua_ru/32352")</f>
        <v>https://telegram.me/kuna_sco_ua_ru/32352</v>
      </c>
      <c r="H2923" t="s">
        <v>6062</v>
      </c>
      <c r="I2923" t="s">
        <v>1454</v>
      </c>
      <c r="J2923" s="2" t="str">
        <f>HYPERLINK("https://telegram.me/ooostrateg")</f>
        <v>https://telegram.me/ooostrateg</v>
      </c>
      <c r="N2923" t="s">
        <v>64</v>
      </c>
      <c r="O2923" t="s">
        <v>1455</v>
      </c>
      <c r="P2923" s="2" t="str">
        <f>HYPERLINK("https://telegram.me/kuna_sco_ua_ru")</f>
        <v>https://telegram.me/kuna_sco_ua_ru</v>
      </c>
      <c r="Q2923">
        <v>2045</v>
      </c>
      <c r="R2923" t="s">
        <v>6070</v>
      </c>
    </row>
    <row r="2924" spans="1:18" ht="14.25" customHeight="1" x14ac:dyDescent="0.3">
      <c r="A2924" t="s">
        <v>629</v>
      </c>
      <c r="B2924" t="s">
        <v>1693</v>
      </c>
      <c r="C2924" t="s">
        <v>95</v>
      </c>
      <c r="D2924" t="s">
        <v>1694</v>
      </c>
      <c r="E2924" t="s">
        <v>1695</v>
      </c>
      <c r="F2924" t="s">
        <v>6059</v>
      </c>
      <c r="G2924" s="2" t="str">
        <f>HYPERLINK("https://telegram.me/uahustlers/144984")</f>
        <v>https://telegram.me/uahustlers/144984</v>
      </c>
      <c r="H2924" t="s">
        <v>6062</v>
      </c>
      <c r="I2924" t="s">
        <v>1696</v>
      </c>
      <c r="J2924" s="2" t="str">
        <f>HYPERLINK("https://telegram.me/superior_fox")</f>
        <v>https://telegram.me/superior_fox</v>
      </c>
      <c r="N2924" t="s">
        <v>64</v>
      </c>
      <c r="O2924" t="s">
        <v>1697</v>
      </c>
      <c r="P2924" s="2" t="str">
        <f>HYPERLINK("https://telegram.me/uahustlers")</f>
        <v>https://telegram.me/uahustlers</v>
      </c>
      <c r="Q2924">
        <v>12754</v>
      </c>
      <c r="R2924" t="s">
        <v>6070</v>
      </c>
    </row>
    <row r="2925" spans="1:18" ht="14.25" customHeight="1" x14ac:dyDescent="0.3">
      <c r="A2925" t="s">
        <v>4995</v>
      </c>
      <c r="B2925" t="s">
        <v>3906</v>
      </c>
      <c r="C2925" t="s">
        <v>3538</v>
      </c>
      <c r="D2925" t="s">
        <v>4</v>
      </c>
      <c r="E2925" t="s">
        <v>5111</v>
      </c>
      <c r="F2925" t="s">
        <v>6056</v>
      </c>
      <c r="G2925" s="2" t="str">
        <f>HYPERLINK("https://telegram.me/influd/1228")</f>
        <v>https://telegram.me/influd/1228</v>
      </c>
      <c r="H2925" t="s">
        <v>6062</v>
      </c>
      <c r="I2925" t="s">
        <v>5112</v>
      </c>
      <c r="J2925" s="2" t="str">
        <f>HYPERLINK("https://telegram.me/366878700")</f>
        <v>https://telegram.me/366878700</v>
      </c>
      <c r="L2925" t="s">
        <v>6064</v>
      </c>
      <c r="N2925" t="s">
        <v>64</v>
      </c>
      <c r="O2925" t="s">
        <v>5110</v>
      </c>
      <c r="P2925" s="2" t="str">
        <f>HYPERLINK("https://telegram.me/influd")</f>
        <v>https://telegram.me/influd</v>
      </c>
      <c r="Q2925">
        <v>66</v>
      </c>
      <c r="R2925" t="s">
        <v>6070</v>
      </c>
    </row>
    <row r="2926" spans="1:18" ht="14.25" customHeight="1" x14ac:dyDescent="0.3">
      <c r="A2926" t="s">
        <v>4439</v>
      </c>
      <c r="B2926" t="s">
        <v>1862</v>
      </c>
      <c r="C2926" t="s">
        <v>3538</v>
      </c>
      <c r="D2926" t="s">
        <v>4</v>
      </c>
      <c r="E2926" t="s">
        <v>4844</v>
      </c>
      <c r="F2926" t="s">
        <v>6056</v>
      </c>
      <c r="G2926" s="2" t="str">
        <f>HYPERLINK("https://telegram.me/karbowanec/188834")</f>
        <v>https://telegram.me/karbowanec/188834</v>
      </c>
      <c r="H2926" t="s">
        <v>6062</v>
      </c>
      <c r="I2926" t="s">
        <v>4845</v>
      </c>
      <c r="J2926" s="2" t="str">
        <f>HYPERLINK("https://telegram.me/looongcat")</f>
        <v>https://telegram.me/looongcat</v>
      </c>
      <c r="L2926" t="s">
        <v>6063</v>
      </c>
      <c r="N2926" t="s">
        <v>64</v>
      </c>
      <c r="O2926" t="s">
        <v>4846</v>
      </c>
      <c r="P2926" s="2" t="str">
        <f>HYPERLINK("https://telegram.me/karbowanec")</f>
        <v>https://telegram.me/karbowanec</v>
      </c>
      <c r="Q2926">
        <v>2019</v>
      </c>
      <c r="R2926" t="s">
        <v>6070</v>
      </c>
    </row>
    <row r="2927" spans="1:18" ht="14.25" customHeight="1" x14ac:dyDescent="0.3">
      <c r="A2927" t="s">
        <v>629</v>
      </c>
      <c r="B2927" t="s">
        <v>1713</v>
      </c>
      <c r="C2927" t="s">
        <v>95</v>
      </c>
      <c r="D2927" t="s">
        <v>4</v>
      </c>
      <c r="E2927" t="s">
        <v>1694</v>
      </c>
      <c r="F2927" t="s">
        <v>6056</v>
      </c>
      <c r="G2927" s="2" t="str">
        <f>HYPERLINK("https://telegram.me/uahustlers/144978")</f>
        <v>https://telegram.me/uahustlers/144978</v>
      </c>
      <c r="H2927" t="s">
        <v>6062</v>
      </c>
      <c r="I2927" t="s">
        <v>1718</v>
      </c>
      <c r="J2927" s="2" t="str">
        <f>HYPERLINK("https://telegram.me/461062232")</f>
        <v>https://telegram.me/461062232</v>
      </c>
      <c r="L2927" t="s">
        <v>6063</v>
      </c>
      <c r="N2927" t="s">
        <v>64</v>
      </c>
      <c r="O2927" t="s">
        <v>1697</v>
      </c>
      <c r="P2927" s="2" t="str">
        <f>HYPERLINK("https://telegram.me/uahustlers")</f>
        <v>https://telegram.me/uahustlers</v>
      </c>
      <c r="Q2927">
        <v>12754</v>
      </c>
      <c r="R2927" t="s">
        <v>6070</v>
      </c>
    </row>
    <row r="2928" spans="1:18" ht="14.25" customHeight="1" x14ac:dyDescent="0.3">
      <c r="A2928" t="s">
        <v>2225</v>
      </c>
      <c r="B2928" t="s">
        <v>1707</v>
      </c>
      <c r="C2928" t="s">
        <v>95</v>
      </c>
      <c r="D2928" t="s">
        <v>4</v>
      </c>
      <c r="E2928" t="s">
        <v>3419</v>
      </c>
      <c r="F2928" t="s">
        <v>6056</v>
      </c>
      <c r="G2928" s="2" t="str">
        <f>HYPERLINK("https://telegram.me/designerschat/91591")</f>
        <v>https://telegram.me/designerschat/91591</v>
      </c>
      <c r="H2928" t="s">
        <v>6062</v>
      </c>
      <c r="I2928" t="s">
        <v>3420</v>
      </c>
      <c r="J2928" s="2" t="str">
        <f>HYPERLINK("https://telegram.me/xserch")</f>
        <v>https://telegram.me/xserch</v>
      </c>
      <c r="L2928" t="s">
        <v>6063</v>
      </c>
      <c r="N2928" t="s">
        <v>64</v>
      </c>
      <c r="O2928" t="s">
        <v>3421</v>
      </c>
      <c r="P2928" s="2" t="str">
        <f>HYPERLINK("https://telegram.me/designerschat")</f>
        <v>https://telegram.me/designerschat</v>
      </c>
      <c r="Q2928">
        <v>698</v>
      </c>
      <c r="R2928" t="s">
        <v>6070</v>
      </c>
    </row>
    <row r="2929" spans="1:18" ht="14.25" customHeight="1" x14ac:dyDescent="0.3">
      <c r="A2929" t="s">
        <v>3527</v>
      </c>
      <c r="B2929" t="s">
        <v>4204</v>
      </c>
      <c r="C2929" t="s">
        <v>95</v>
      </c>
      <c r="D2929" t="s">
        <v>4</v>
      </c>
      <c r="E2929" t="s">
        <v>4208</v>
      </c>
      <c r="F2929" t="s">
        <v>6056</v>
      </c>
      <c r="G2929" s="2" t="str">
        <f>HYPERLINK("https://telegram.me/designerschat/91389")</f>
        <v>https://telegram.me/designerschat/91389</v>
      </c>
      <c r="H2929" t="s">
        <v>6062</v>
      </c>
      <c r="I2929" t="s">
        <v>4187</v>
      </c>
      <c r="J2929" s="2" t="str">
        <f>HYPERLINK("https://telegram.me/ylysak")</f>
        <v>https://telegram.me/ylysak</v>
      </c>
      <c r="L2929" t="s">
        <v>6063</v>
      </c>
      <c r="N2929" t="s">
        <v>64</v>
      </c>
      <c r="O2929" t="s">
        <v>3421</v>
      </c>
      <c r="P2929" s="2" t="str">
        <f>HYPERLINK("https://telegram.me/designerschat")</f>
        <v>https://telegram.me/designerschat</v>
      </c>
      <c r="Q2929">
        <v>698</v>
      </c>
      <c r="R2929" t="s">
        <v>6070</v>
      </c>
    </row>
    <row r="2930" spans="1:18" ht="14.25" customHeight="1" x14ac:dyDescent="0.3">
      <c r="A2930" t="s">
        <v>629</v>
      </c>
      <c r="B2930" t="s">
        <v>605</v>
      </c>
      <c r="C2930" t="s">
        <v>95</v>
      </c>
      <c r="D2930" t="s">
        <v>2180</v>
      </c>
      <c r="E2930" t="s">
        <v>2181</v>
      </c>
      <c r="F2930" t="s">
        <v>6059</v>
      </c>
      <c r="G2930" s="2" t="str">
        <f>HYPERLINK("https://telegram.me/photostudy_me_chat/16500")</f>
        <v>https://telegram.me/photostudy_me_chat/16500</v>
      </c>
      <c r="H2930" t="s">
        <v>6062</v>
      </c>
      <c r="I2930" t="s">
        <v>2182</v>
      </c>
      <c r="J2930" s="2" t="str">
        <f>HYPERLINK("https://telegram.me/516272617")</f>
        <v>https://telegram.me/516272617</v>
      </c>
      <c r="N2930" t="s">
        <v>64</v>
      </c>
      <c r="O2930" t="s">
        <v>2183</v>
      </c>
      <c r="P2930" s="2" t="str">
        <f>HYPERLINK("https://telegram.me/photostudy_me_chat")</f>
        <v>https://telegram.me/photostudy_me_chat</v>
      </c>
      <c r="Q2930">
        <v>797</v>
      </c>
      <c r="R2930" t="s">
        <v>6070</v>
      </c>
    </row>
    <row r="2931" spans="1:18" ht="14.25" customHeight="1" x14ac:dyDescent="0.3">
      <c r="A2931" t="s">
        <v>629</v>
      </c>
      <c r="B2931" t="s">
        <v>621</v>
      </c>
      <c r="C2931" t="s">
        <v>95</v>
      </c>
      <c r="D2931" t="s">
        <v>4</v>
      </c>
      <c r="E2931" t="s">
        <v>2213</v>
      </c>
      <c r="F2931" t="s">
        <v>6056</v>
      </c>
      <c r="G2931" s="2" t="str">
        <f>HYPERLINK("https://telegram.me/photostudy_me_chat/16497")</f>
        <v>https://telegram.me/photostudy_me_chat/16497</v>
      </c>
      <c r="H2931" t="s">
        <v>6062</v>
      </c>
      <c r="I2931" t="s">
        <v>2214</v>
      </c>
      <c r="J2931" s="2" t="str">
        <f>HYPERLINK("https://telegram.me/323994204")</f>
        <v>https://telegram.me/323994204</v>
      </c>
      <c r="N2931" t="s">
        <v>64</v>
      </c>
      <c r="O2931" t="s">
        <v>2183</v>
      </c>
      <c r="P2931" s="2" t="str">
        <f>HYPERLINK("https://telegram.me/photostudy_me_chat")</f>
        <v>https://telegram.me/photostudy_me_chat</v>
      </c>
      <c r="Q2931">
        <v>797</v>
      </c>
      <c r="R2931" t="s">
        <v>6070</v>
      </c>
    </row>
    <row r="2932" spans="1:18" ht="14.25" customHeight="1" x14ac:dyDescent="0.3">
      <c r="A2932" t="s">
        <v>4439</v>
      </c>
      <c r="B2932" t="s">
        <v>4356</v>
      </c>
      <c r="C2932" t="s">
        <v>3538</v>
      </c>
      <c r="D2932" t="s">
        <v>4874</v>
      </c>
      <c r="E2932" t="s">
        <v>4875</v>
      </c>
      <c r="F2932" t="s">
        <v>6059</v>
      </c>
      <c r="G2932" s="2" t="str">
        <f>HYPERLINK("https://telegram.me/monobankunofficial/29797")</f>
        <v>https://telegram.me/monobankunofficial/29797</v>
      </c>
      <c r="H2932" t="s">
        <v>6062</v>
      </c>
      <c r="I2932" t="s">
        <v>4876</v>
      </c>
      <c r="J2932" s="2" t="str">
        <f>HYPERLINK("https://telegram.me/dimitru")</f>
        <v>https://telegram.me/dimitru</v>
      </c>
      <c r="N2932" t="s">
        <v>64</v>
      </c>
      <c r="O2932" t="s">
        <v>242</v>
      </c>
      <c r="P2932" s="2" t="str">
        <f>HYPERLINK("https://telegram.me/monobankunofficial")</f>
        <v>https://telegram.me/monobankunofficial</v>
      </c>
      <c r="Q2932">
        <v>270</v>
      </c>
      <c r="R2932" t="s">
        <v>6070</v>
      </c>
    </row>
    <row r="2933" spans="1:18" ht="14.25" customHeight="1" x14ac:dyDescent="0.3">
      <c r="A2933" t="s">
        <v>1</v>
      </c>
      <c r="B2933" t="s">
        <v>256</v>
      </c>
      <c r="C2933" t="s">
        <v>95</v>
      </c>
      <c r="D2933" t="s">
        <v>4</v>
      </c>
      <c r="E2933" t="s">
        <v>257</v>
      </c>
      <c r="F2933" t="s">
        <v>6056</v>
      </c>
      <c r="G2933" s="2" t="str">
        <f>HYPERLINK("https://telegram.me/ru2chukr/996818")</f>
        <v>https://telegram.me/ru2chukr/996818</v>
      </c>
      <c r="H2933" t="s">
        <v>6062</v>
      </c>
      <c r="I2933" t="s">
        <v>258</v>
      </c>
      <c r="J2933" s="2" t="str">
        <f>HYPERLINK("https://telegram.me/am_adey")</f>
        <v>https://telegram.me/am_adey</v>
      </c>
      <c r="N2933" t="s">
        <v>64</v>
      </c>
      <c r="O2933" t="s">
        <v>259</v>
      </c>
      <c r="P2933" s="2" t="str">
        <f>HYPERLINK("https://telegram.me/ru2chukr")</f>
        <v>https://telegram.me/ru2chukr</v>
      </c>
      <c r="Q2933">
        <v>609</v>
      </c>
      <c r="R2933" t="s">
        <v>6070</v>
      </c>
    </row>
    <row r="2934" spans="1:18" ht="14.25" customHeight="1" x14ac:dyDescent="0.3">
      <c r="A2934" t="s">
        <v>5409</v>
      </c>
      <c r="B2934" t="s">
        <v>4271</v>
      </c>
      <c r="C2934" t="s">
        <v>3538</v>
      </c>
      <c r="D2934" t="s">
        <v>4</v>
      </c>
      <c r="E2934" t="s">
        <v>5799</v>
      </c>
      <c r="F2934" t="s">
        <v>6056</v>
      </c>
      <c r="G2934" s="2" t="str">
        <f>HYPERLINK("https://telegram.me/monobankunofficial/29395")</f>
        <v>https://telegram.me/monobankunofficial/29395</v>
      </c>
      <c r="H2934" t="s">
        <v>6062</v>
      </c>
      <c r="I2934" t="s">
        <v>5790</v>
      </c>
      <c r="J2934" s="2" t="str">
        <f>HYPERLINK("https://telegram.me/godsengineer")</f>
        <v>https://telegram.me/godsengineer</v>
      </c>
      <c r="L2934" t="s">
        <v>6063</v>
      </c>
      <c r="N2934" t="s">
        <v>64</v>
      </c>
      <c r="O2934" t="s">
        <v>242</v>
      </c>
      <c r="P2934" s="2" t="str">
        <f>HYPERLINK("https://telegram.me/monobankunofficial")</f>
        <v>https://telegram.me/monobankunofficial</v>
      </c>
      <c r="Q2934">
        <v>270</v>
      </c>
      <c r="R2934" t="s">
        <v>6070</v>
      </c>
    </row>
    <row r="2935" spans="1:18" ht="14.25" customHeight="1" x14ac:dyDescent="0.3">
      <c r="A2935" t="s">
        <v>5409</v>
      </c>
      <c r="B2935" t="s">
        <v>216</v>
      </c>
      <c r="C2935" t="s">
        <v>3538</v>
      </c>
      <c r="D2935" t="s">
        <v>4</v>
      </c>
      <c r="E2935" t="s">
        <v>5789</v>
      </c>
      <c r="F2935" t="s">
        <v>6056</v>
      </c>
      <c r="G2935" s="2" t="str">
        <f>HYPERLINK("https://telegram.me/monobankunofficial/29410")</f>
        <v>https://telegram.me/monobankunofficial/29410</v>
      </c>
      <c r="H2935" t="s">
        <v>6062</v>
      </c>
      <c r="I2935" t="s">
        <v>5790</v>
      </c>
      <c r="J2935" s="2" t="str">
        <f>HYPERLINK("https://telegram.me/godsengineer")</f>
        <v>https://telegram.me/godsengineer</v>
      </c>
      <c r="L2935" t="s">
        <v>6063</v>
      </c>
      <c r="N2935" t="s">
        <v>64</v>
      </c>
      <c r="O2935" t="s">
        <v>242</v>
      </c>
      <c r="P2935" s="2" t="str">
        <f>HYPERLINK("https://telegram.me/monobankunofficial")</f>
        <v>https://telegram.me/monobankunofficial</v>
      </c>
      <c r="Q2935">
        <v>270</v>
      </c>
      <c r="R2935" t="s">
        <v>6070</v>
      </c>
    </row>
    <row r="2936" spans="1:18" ht="14.25" customHeight="1" x14ac:dyDescent="0.3">
      <c r="A2936" t="s">
        <v>1</v>
      </c>
      <c r="B2936" t="s">
        <v>218</v>
      </c>
      <c r="C2936" t="s">
        <v>219</v>
      </c>
      <c r="D2936" t="s">
        <v>4</v>
      </c>
      <c r="E2936" t="s">
        <v>220</v>
      </c>
      <c r="F2936" t="s">
        <v>6056</v>
      </c>
      <c r="G2936" s="2" t="str">
        <f>HYPERLINK("https://telegram.me/dva_meshka/142040")</f>
        <v>https://telegram.me/dva_meshka/142040</v>
      </c>
      <c r="H2936" t="s">
        <v>6062</v>
      </c>
      <c r="I2936" t="s">
        <v>221</v>
      </c>
      <c r="J2936" s="2" t="str">
        <f>HYPERLINK("https://telegram.me/eavesti")</f>
        <v>https://telegram.me/eavesti</v>
      </c>
      <c r="L2936" t="s">
        <v>6063</v>
      </c>
      <c r="N2936" t="s">
        <v>64</v>
      </c>
      <c r="O2936" t="s">
        <v>222</v>
      </c>
      <c r="P2936" s="2" t="str">
        <f>HYPERLINK("https://telegram.me/dva_meshka")</f>
        <v>https://telegram.me/dva_meshka</v>
      </c>
      <c r="Q2936">
        <v>157</v>
      </c>
      <c r="R2936" t="s">
        <v>6070</v>
      </c>
    </row>
    <row r="2937" spans="1:18" ht="14.25" customHeight="1" x14ac:dyDescent="0.3">
      <c r="A2937" t="s">
        <v>4995</v>
      </c>
      <c r="B2937" t="s">
        <v>1208</v>
      </c>
      <c r="C2937" t="s">
        <v>3538</v>
      </c>
      <c r="D2937" t="s">
        <v>4</v>
      </c>
      <c r="E2937" t="s">
        <v>5192</v>
      </c>
      <c r="F2937" t="s">
        <v>6058</v>
      </c>
      <c r="G2937" s="2" t="str">
        <f>HYPERLINK("https://telegram.me/monobankunofficial/29666")</f>
        <v>https://telegram.me/monobankunofficial/29666</v>
      </c>
      <c r="H2937" t="s">
        <v>6062</v>
      </c>
      <c r="I2937" t="s">
        <v>5193</v>
      </c>
      <c r="J2937" s="2" t="str">
        <f>HYPERLINK("https://telegram.me/andriy2")</f>
        <v>https://telegram.me/andriy2</v>
      </c>
      <c r="L2937" t="s">
        <v>6063</v>
      </c>
      <c r="N2937" t="s">
        <v>64</v>
      </c>
      <c r="O2937" t="s">
        <v>242</v>
      </c>
      <c r="P2937" s="2" t="str">
        <f>HYPERLINK("https://telegram.me/monobankunofficial")</f>
        <v>https://telegram.me/monobankunofficial</v>
      </c>
      <c r="Q2937">
        <v>270</v>
      </c>
      <c r="R2937" t="s">
        <v>6070</v>
      </c>
    </row>
    <row r="2938" spans="1:18" ht="14.25" customHeight="1" x14ac:dyDescent="0.3">
      <c r="A2938" t="s">
        <v>4439</v>
      </c>
      <c r="B2938" t="s">
        <v>3889</v>
      </c>
      <c r="C2938" t="s">
        <v>3538</v>
      </c>
      <c r="D2938" t="s">
        <v>4</v>
      </c>
      <c r="E2938" t="s">
        <v>4561</v>
      </c>
      <c r="F2938" t="s">
        <v>6056</v>
      </c>
      <c r="G2938" s="2" t="str">
        <f>HYPERLINK("https://telegram.me/afg_sale/6791")</f>
        <v>https://telegram.me/afg_sale/6791</v>
      </c>
      <c r="H2938" t="s">
        <v>6062</v>
      </c>
      <c r="I2938" t="s">
        <v>4562</v>
      </c>
      <c r="J2938" s="2" t="str">
        <f>HYPERLINK("https://telegram.me/artemovanton")</f>
        <v>https://telegram.me/artemovanton</v>
      </c>
      <c r="L2938" t="s">
        <v>6063</v>
      </c>
      <c r="N2938" t="s">
        <v>64</v>
      </c>
      <c r="O2938" t="s">
        <v>4563</v>
      </c>
      <c r="P2938" s="2" t="str">
        <f>HYPERLINK("https://telegram.me/afg_sale")</f>
        <v>https://telegram.me/afg_sale</v>
      </c>
      <c r="Q2938">
        <v>424</v>
      </c>
      <c r="R2938" t="s">
        <v>6070</v>
      </c>
    </row>
    <row r="2939" spans="1:18" ht="14.25" customHeight="1" x14ac:dyDescent="0.3">
      <c r="A2939" t="s">
        <v>629</v>
      </c>
      <c r="B2939" t="s">
        <v>1380</v>
      </c>
      <c r="C2939" t="s">
        <v>95</v>
      </c>
      <c r="D2939" t="s">
        <v>4</v>
      </c>
      <c r="E2939" t="s">
        <v>1381</v>
      </c>
      <c r="F2939" t="s">
        <v>6056</v>
      </c>
      <c r="G2939" s="2" t="str">
        <f>HYPERLINK("https://telegram.me/247757")</f>
        <v>https://telegram.me/247757</v>
      </c>
      <c r="H2939" t="s">
        <v>6062</v>
      </c>
      <c r="I2939" t="s">
        <v>1382</v>
      </c>
      <c r="J2939" s="2" t="str">
        <f>HYPERLINK("https://telegram.me/venia_26")</f>
        <v>https://telegram.me/venia_26</v>
      </c>
      <c r="L2939" t="s">
        <v>6063</v>
      </c>
      <c r="N2939" t="s">
        <v>64</v>
      </c>
      <c r="O2939" t="s">
        <v>1383</v>
      </c>
      <c r="P2939" s="2" t="str">
        <f>HYPERLINK("https://telegram.me/1107470381")</f>
        <v>https://telegram.me/1107470381</v>
      </c>
      <c r="Q2939">
        <v>1606</v>
      </c>
      <c r="R2939" t="s">
        <v>6070</v>
      </c>
    </row>
    <row r="2940" spans="1:18" ht="14.25" customHeight="1" x14ac:dyDescent="0.3">
      <c r="A2940" t="s">
        <v>629</v>
      </c>
      <c r="B2940" t="s">
        <v>1380</v>
      </c>
      <c r="C2940" t="s">
        <v>95</v>
      </c>
      <c r="D2940" t="s">
        <v>4</v>
      </c>
      <c r="E2940" t="s">
        <v>1381</v>
      </c>
      <c r="F2940" t="s">
        <v>6056</v>
      </c>
      <c r="G2940" s="2" t="str">
        <f>HYPERLINK("https://telegram.me/109216")</f>
        <v>https://telegram.me/109216</v>
      </c>
      <c r="H2940" t="s">
        <v>6062</v>
      </c>
      <c r="I2940" t="s">
        <v>1382</v>
      </c>
      <c r="J2940" s="2" t="str">
        <f>HYPERLINK("https://telegram.me/venia_26")</f>
        <v>https://telegram.me/venia_26</v>
      </c>
      <c r="L2940" t="s">
        <v>6063</v>
      </c>
      <c r="N2940" t="s">
        <v>64</v>
      </c>
      <c r="O2940" t="s">
        <v>1384</v>
      </c>
      <c r="P2940" s="2" t="str">
        <f>HYPERLINK("https://telegram.me/1246266430")</f>
        <v>https://telegram.me/1246266430</v>
      </c>
      <c r="Q2940">
        <v>1194</v>
      </c>
      <c r="R2940" t="s">
        <v>6070</v>
      </c>
    </row>
    <row r="2941" spans="1:18" ht="14.25" customHeight="1" x14ac:dyDescent="0.3">
      <c r="A2941" t="s">
        <v>629</v>
      </c>
      <c r="B2941" t="s">
        <v>1387</v>
      </c>
      <c r="C2941" t="s">
        <v>95</v>
      </c>
      <c r="D2941" t="s">
        <v>4</v>
      </c>
      <c r="E2941" t="s">
        <v>1381</v>
      </c>
      <c r="F2941" t="s">
        <v>6056</v>
      </c>
      <c r="G2941" s="2" t="str">
        <f>HYPERLINK("https://telegram.me/79237")</f>
        <v>https://telegram.me/79237</v>
      </c>
      <c r="H2941" t="s">
        <v>6062</v>
      </c>
      <c r="I2941" t="s">
        <v>1382</v>
      </c>
      <c r="J2941" s="2" t="str">
        <f>HYPERLINK("https://telegram.me/venia_26")</f>
        <v>https://telegram.me/venia_26</v>
      </c>
      <c r="L2941" t="s">
        <v>6063</v>
      </c>
      <c r="N2941" t="s">
        <v>64</v>
      </c>
      <c r="O2941" t="s">
        <v>1388</v>
      </c>
      <c r="P2941" s="2" t="str">
        <f>HYPERLINK("https://telegram.me/1151610272")</f>
        <v>https://telegram.me/1151610272</v>
      </c>
      <c r="Q2941">
        <v>768</v>
      </c>
      <c r="R2941" t="s">
        <v>6070</v>
      </c>
    </row>
    <row r="2942" spans="1:18" ht="14.25" customHeight="1" x14ac:dyDescent="0.3">
      <c r="A2942" t="s">
        <v>5409</v>
      </c>
      <c r="B2942" t="s">
        <v>4961</v>
      </c>
      <c r="C2942" t="s">
        <v>3538</v>
      </c>
      <c r="D2942" t="s">
        <v>6024</v>
      </c>
      <c r="E2942" t="s">
        <v>6021</v>
      </c>
      <c r="F2942" t="s">
        <v>6059</v>
      </c>
      <c r="G2942" s="2" t="str">
        <f>HYPERLINK("https://telegram.me/kuna_sco_ua_ru/31801")</f>
        <v>https://telegram.me/kuna_sco_ua_ru/31801</v>
      </c>
      <c r="H2942" t="s">
        <v>6062</v>
      </c>
      <c r="I2942" t="s">
        <v>3190</v>
      </c>
      <c r="J2942" s="2" t="str">
        <f>HYPERLINK("https://telegram.me/harchinski")</f>
        <v>https://telegram.me/harchinski</v>
      </c>
      <c r="L2942" t="s">
        <v>6063</v>
      </c>
      <c r="N2942" t="s">
        <v>64</v>
      </c>
      <c r="O2942" t="s">
        <v>1455</v>
      </c>
      <c r="P2942" s="2" t="str">
        <f>HYPERLINK("https://telegram.me/kuna_sco_ua_ru")</f>
        <v>https://telegram.me/kuna_sco_ua_ru</v>
      </c>
      <c r="Q2942">
        <v>2045</v>
      </c>
      <c r="R2942" t="s">
        <v>6070</v>
      </c>
    </row>
    <row r="2943" spans="1:18" ht="14.25" customHeight="1" x14ac:dyDescent="0.3">
      <c r="A2943" t="s">
        <v>5409</v>
      </c>
      <c r="B2943" t="s">
        <v>2188</v>
      </c>
      <c r="C2943" t="s">
        <v>3538</v>
      </c>
      <c r="D2943" t="s">
        <v>6021</v>
      </c>
      <c r="E2943" t="s">
        <v>6022</v>
      </c>
      <c r="F2943" t="s">
        <v>6059</v>
      </c>
      <c r="G2943" s="2" t="str">
        <f>HYPERLINK("https://telegram.me/kuna_sco_ua_ru/31802")</f>
        <v>https://telegram.me/kuna_sco_ua_ru/31802</v>
      </c>
      <c r="H2943" t="s">
        <v>6062</v>
      </c>
      <c r="I2943" t="s">
        <v>6023</v>
      </c>
      <c r="J2943" s="2" t="str">
        <f>HYPERLINK("https://telegram.me/vitaliyvoropaev")</f>
        <v>https://telegram.me/vitaliyvoropaev</v>
      </c>
      <c r="L2943" t="s">
        <v>6063</v>
      </c>
      <c r="N2943" t="s">
        <v>64</v>
      </c>
      <c r="O2943" t="s">
        <v>1455</v>
      </c>
      <c r="P2943" s="2" t="str">
        <f>HYPERLINK("https://telegram.me/kuna_sco_ua_ru")</f>
        <v>https://telegram.me/kuna_sco_ua_ru</v>
      </c>
      <c r="Q2943">
        <v>2045</v>
      </c>
      <c r="R2943" t="s">
        <v>6070</v>
      </c>
    </row>
    <row r="2944" spans="1:18" ht="14.25" customHeight="1" x14ac:dyDescent="0.3">
      <c r="A2944" t="s">
        <v>5409</v>
      </c>
      <c r="B2944" t="s">
        <v>617</v>
      </c>
      <c r="C2944" t="s">
        <v>3538</v>
      </c>
      <c r="D2944" t="s">
        <v>6027</v>
      </c>
      <c r="E2944" t="s">
        <v>6025</v>
      </c>
      <c r="F2944" t="s">
        <v>6059</v>
      </c>
      <c r="G2944" s="2" t="str">
        <f>HYPERLINK("https://telegram.me/kuna_sco_ua_ru/31798")</f>
        <v>https://telegram.me/kuna_sco_ua_ru/31798</v>
      </c>
      <c r="H2944" t="s">
        <v>6062</v>
      </c>
      <c r="I2944" t="s">
        <v>6023</v>
      </c>
      <c r="J2944" s="2" t="str">
        <f>HYPERLINK("https://telegram.me/vitaliyvoropaev")</f>
        <v>https://telegram.me/vitaliyvoropaev</v>
      </c>
      <c r="L2944" t="s">
        <v>6063</v>
      </c>
      <c r="N2944" t="s">
        <v>64</v>
      </c>
      <c r="O2944" t="s">
        <v>1455</v>
      </c>
      <c r="P2944" s="2" t="str">
        <f>HYPERLINK("https://telegram.me/kuna_sco_ua_ru")</f>
        <v>https://telegram.me/kuna_sco_ua_ru</v>
      </c>
      <c r="Q2944">
        <v>2045</v>
      </c>
      <c r="R2944" t="s">
        <v>6070</v>
      </c>
    </row>
    <row r="2945" spans="1:18" ht="14.25" customHeight="1" x14ac:dyDescent="0.3">
      <c r="A2945" t="s">
        <v>2225</v>
      </c>
      <c r="B2945" t="s">
        <v>831</v>
      </c>
      <c r="C2945" t="s">
        <v>95</v>
      </c>
      <c r="D2945" t="s">
        <v>4</v>
      </c>
      <c r="E2945" t="s">
        <v>2956</v>
      </c>
      <c r="F2945" t="s">
        <v>6056</v>
      </c>
      <c r="G2945" s="2" t="str">
        <f>HYPERLINK("https://telegram.me/gogol_mogol_ua/207")</f>
        <v>https://telegram.me/gogol_mogol_ua/207</v>
      </c>
      <c r="H2945" t="s">
        <v>6062</v>
      </c>
      <c r="I2945" t="s">
        <v>2957</v>
      </c>
      <c r="J2945" s="2" t="str">
        <f>HYPERLINK("https://telegram.me/gogol_mogol_ua")</f>
        <v>https://telegram.me/gogol_mogol_ua</v>
      </c>
      <c r="K2945">
        <v>121</v>
      </c>
      <c r="L2945" t="s">
        <v>6065</v>
      </c>
      <c r="N2945" t="s">
        <v>64</v>
      </c>
      <c r="O2945" t="s">
        <v>2957</v>
      </c>
      <c r="P2945" s="2" t="str">
        <f>HYPERLINK("https://telegram.me/gogol_mogol_ua")</f>
        <v>https://telegram.me/gogol_mogol_ua</v>
      </c>
      <c r="Q2945">
        <v>121</v>
      </c>
      <c r="R2945" t="s">
        <v>6070</v>
      </c>
    </row>
    <row r="2946" spans="1:18" ht="14.25" customHeight="1" x14ac:dyDescent="0.3">
      <c r="A2946" t="s">
        <v>1</v>
      </c>
      <c r="B2946" t="s">
        <v>250</v>
      </c>
      <c r="C2946" t="s">
        <v>95</v>
      </c>
      <c r="D2946" t="s">
        <v>4</v>
      </c>
      <c r="E2946" t="s">
        <v>239</v>
      </c>
      <c r="F2946" t="s">
        <v>6056</v>
      </c>
      <c r="G2946" s="2" t="str">
        <f>HYPERLINK("https://telegram.me/monobankunofficial/30776")</f>
        <v>https://telegram.me/monobankunofficial/30776</v>
      </c>
      <c r="H2946" t="s">
        <v>6062</v>
      </c>
      <c r="I2946" t="s">
        <v>251</v>
      </c>
      <c r="J2946" s="2" t="str">
        <f>HYPERLINK("https://telegram.me/universemaster")</f>
        <v>https://telegram.me/universemaster</v>
      </c>
      <c r="N2946" t="s">
        <v>64</v>
      </c>
      <c r="O2946" t="s">
        <v>242</v>
      </c>
      <c r="P2946" s="2" t="str">
        <f>HYPERLINK("https://telegram.me/monobankunofficial")</f>
        <v>https://telegram.me/monobankunofficial</v>
      </c>
      <c r="Q2946">
        <v>270</v>
      </c>
      <c r="R2946" t="s">
        <v>6070</v>
      </c>
    </row>
    <row r="2947" spans="1:18" ht="14.25" customHeight="1" x14ac:dyDescent="0.3">
      <c r="A2947" t="s">
        <v>2225</v>
      </c>
      <c r="B2947" t="s">
        <v>750</v>
      </c>
      <c r="C2947" t="s">
        <v>95</v>
      </c>
      <c r="D2947" t="s">
        <v>4</v>
      </c>
      <c r="E2947" t="s">
        <v>2709</v>
      </c>
      <c r="F2947" t="s">
        <v>6058</v>
      </c>
      <c r="G2947" s="2" t="str">
        <f>HYPERLINK("https://telegram.me/UAdult/239208")</f>
        <v>https://telegram.me/UAdult/239208</v>
      </c>
      <c r="H2947" t="s">
        <v>6062</v>
      </c>
      <c r="I2947" t="s">
        <v>251</v>
      </c>
      <c r="J2947" s="2" t="str">
        <f>HYPERLINK("https://telegram.me/universemaster")</f>
        <v>https://telegram.me/universemaster</v>
      </c>
      <c r="N2947" t="s">
        <v>64</v>
      </c>
      <c r="O2947" t="s">
        <v>2710</v>
      </c>
      <c r="P2947" s="2" t="str">
        <f>HYPERLINK("https://telegram.me/uadult")</f>
        <v>https://telegram.me/uadult</v>
      </c>
      <c r="Q2947">
        <v>21</v>
      </c>
      <c r="R2947" t="s">
        <v>6070</v>
      </c>
    </row>
    <row r="2948" spans="1:18" ht="14.25" customHeight="1" x14ac:dyDescent="0.3">
      <c r="A2948" t="s">
        <v>2225</v>
      </c>
      <c r="B2948" t="s">
        <v>2715</v>
      </c>
      <c r="C2948" t="s">
        <v>95</v>
      </c>
      <c r="D2948" t="s">
        <v>4</v>
      </c>
      <c r="E2948" t="s">
        <v>2709</v>
      </c>
      <c r="F2948" t="s">
        <v>6056</v>
      </c>
      <c r="G2948" s="2" t="str">
        <f>HYPERLINK("https://telegram.me/maniarmy/84213")</f>
        <v>https://telegram.me/maniarmy/84213</v>
      </c>
      <c r="H2948" t="s">
        <v>6062</v>
      </c>
      <c r="I2948" t="s">
        <v>251</v>
      </c>
      <c r="J2948" s="2" t="str">
        <f>HYPERLINK("https://telegram.me/universemaster")</f>
        <v>https://telegram.me/universemaster</v>
      </c>
      <c r="N2948" t="s">
        <v>64</v>
      </c>
      <c r="O2948" t="s">
        <v>2721</v>
      </c>
      <c r="P2948" s="2" t="str">
        <f>HYPERLINK("https://telegram.me/maniarmy")</f>
        <v>https://telegram.me/maniarmy</v>
      </c>
      <c r="Q2948">
        <v>68</v>
      </c>
      <c r="R2948" t="s">
        <v>6070</v>
      </c>
    </row>
    <row r="2949" spans="1:18" ht="14.25" customHeight="1" x14ac:dyDescent="0.3">
      <c r="A2949" t="s">
        <v>2225</v>
      </c>
      <c r="B2949" t="s">
        <v>447</v>
      </c>
      <c r="C2949" t="s">
        <v>95</v>
      </c>
      <c r="D2949" t="s">
        <v>4</v>
      </c>
      <c r="E2949" t="s">
        <v>3439</v>
      </c>
      <c r="F2949" t="s">
        <v>6056</v>
      </c>
      <c r="G2949" s="2" t="str">
        <f>HYPERLINK("https://telegram.me/NashKyiv/8334")</f>
        <v>https://telegram.me/NashKyiv/8334</v>
      </c>
      <c r="H2949" t="s">
        <v>6062</v>
      </c>
      <c r="I2949" t="s">
        <v>3440</v>
      </c>
      <c r="J2949" s="2" t="str">
        <f>HYPERLINK("https://telegram.me/carambik")</f>
        <v>https://telegram.me/carambik</v>
      </c>
      <c r="L2949" t="s">
        <v>6063</v>
      </c>
      <c r="N2949" t="s">
        <v>64</v>
      </c>
      <c r="O2949" t="s">
        <v>3441</v>
      </c>
      <c r="P2949" s="2" t="str">
        <f>HYPERLINK("https://telegram.me/nashkyiv")</f>
        <v>https://telegram.me/nashkyiv</v>
      </c>
      <c r="Q2949">
        <v>64</v>
      </c>
      <c r="R2949" t="s">
        <v>6070</v>
      </c>
    </row>
    <row r="2950" spans="1:18" ht="14.25" customHeight="1" x14ac:dyDescent="0.3">
      <c r="A2950" t="s">
        <v>3527</v>
      </c>
      <c r="B2950" t="s">
        <v>4071</v>
      </c>
      <c r="C2950" t="s">
        <v>95</v>
      </c>
      <c r="D2950" t="s">
        <v>4</v>
      </c>
      <c r="E2950" t="s">
        <v>4072</v>
      </c>
      <c r="F2950" t="s">
        <v>6056</v>
      </c>
      <c r="G2950" s="2" t="str">
        <f>HYPERLINK("https://telegram.me/NashKyiv/7966")</f>
        <v>https://telegram.me/NashKyiv/7966</v>
      </c>
      <c r="H2950" t="s">
        <v>6062</v>
      </c>
      <c r="I2950" t="s">
        <v>3440</v>
      </c>
      <c r="J2950" s="2" t="str">
        <f>HYPERLINK("https://telegram.me/carambik")</f>
        <v>https://telegram.me/carambik</v>
      </c>
      <c r="L2950" t="s">
        <v>6063</v>
      </c>
      <c r="N2950" t="s">
        <v>64</v>
      </c>
      <c r="O2950" t="s">
        <v>3441</v>
      </c>
      <c r="P2950" s="2" t="str">
        <f>HYPERLINK("https://telegram.me/nashkyiv")</f>
        <v>https://telegram.me/nashkyiv</v>
      </c>
      <c r="Q2950">
        <v>64</v>
      </c>
      <c r="R2950" t="s">
        <v>6070</v>
      </c>
    </row>
    <row r="2951" spans="1:18" ht="14.25" customHeight="1" x14ac:dyDescent="0.3">
      <c r="A2951" t="s">
        <v>1</v>
      </c>
      <c r="B2951" t="s">
        <v>60</v>
      </c>
      <c r="C2951" t="s">
        <v>61</v>
      </c>
      <c r="D2951" t="s">
        <v>4</v>
      </c>
      <c r="E2951" t="s">
        <v>62</v>
      </c>
      <c r="F2951" t="s">
        <v>6056</v>
      </c>
      <c r="G2951" s="2" t="str">
        <f>HYPERLINK("https://telegram.me/ligatech/113")</f>
        <v>https://telegram.me/ligatech/113</v>
      </c>
      <c r="H2951" t="s">
        <v>6062</v>
      </c>
      <c r="I2951" t="s">
        <v>63</v>
      </c>
      <c r="J2951" s="2" t="str">
        <f>HYPERLINK("https://telegram.me/ligatech")</f>
        <v>https://telegram.me/ligatech</v>
      </c>
      <c r="K2951">
        <v>448</v>
      </c>
      <c r="L2951" t="s">
        <v>6065</v>
      </c>
      <c r="N2951" t="s">
        <v>64</v>
      </c>
      <c r="O2951" t="s">
        <v>63</v>
      </c>
      <c r="P2951" s="2" t="str">
        <f>HYPERLINK("https://telegram.me/ligatech")</f>
        <v>https://telegram.me/ligatech</v>
      </c>
      <c r="Q2951">
        <v>448</v>
      </c>
      <c r="R2951" t="s">
        <v>6070</v>
      </c>
    </row>
    <row r="2952" spans="1:18" ht="14.25" customHeight="1" x14ac:dyDescent="0.3">
      <c r="A2952" t="s">
        <v>1</v>
      </c>
      <c r="B2952" t="s">
        <v>311</v>
      </c>
      <c r="C2952" t="s">
        <v>316</v>
      </c>
      <c r="D2952" t="s">
        <v>4</v>
      </c>
      <c r="E2952" t="s">
        <v>317</v>
      </c>
      <c r="F2952" t="s">
        <v>6056</v>
      </c>
      <c r="G2952" s="2" t="str">
        <f>HYPERLINK("https://telegram.me/ligabusiness/67")</f>
        <v>https://telegram.me/ligabusiness/67</v>
      </c>
      <c r="H2952" t="s">
        <v>6062</v>
      </c>
      <c r="I2952" t="s">
        <v>318</v>
      </c>
      <c r="J2952" s="2" t="str">
        <f>HYPERLINK("https://telegram.me/ligabusiness")</f>
        <v>https://telegram.me/ligabusiness</v>
      </c>
      <c r="K2952">
        <v>82</v>
      </c>
      <c r="L2952" t="s">
        <v>6065</v>
      </c>
      <c r="N2952" t="s">
        <v>64</v>
      </c>
      <c r="O2952" t="s">
        <v>318</v>
      </c>
      <c r="P2952" s="2" t="str">
        <f>HYPERLINK("https://telegram.me/ligabusiness")</f>
        <v>https://telegram.me/ligabusiness</v>
      </c>
      <c r="Q2952">
        <v>82</v>
      </c>
      <c r="R2952" t="s">
        <v>6070</v>
      </c>
    </row>
    <row r="2953" spans="1:18" ht="14.25" customHeight="1" x14ac:dyDescent="0.3">
      <c r="A2953" t="s">
        <v>3527</v>
      </c>
      <c r="B2953" t="s">
        <v>1008</v>
      </c>
      <c r="C2953" t="s">
        <v>95</v>
      </c>
      <c r="D2953" t="s">
        <v>4</v>
      </c>
      <c r="E2953" t="s">
        <v>4043</v>
      </c>
      <c r="F2953" t="s">
        <v>6056</v>
      </c>
      <c r="G2953" s="2" t="str">
        <f>HYPERLINK("https://telegram.me/rootsmusic/3852")</f>
        <v>https://telegram.me/rootsmusic/3852</v>
      </c>
      <c r="H2953" t="s">
        <v>6062</v>
      </c>
      <c r="I2953" t="s">
        <v>4044</v>
      </c>
      <c r="J2953" s="2" t="str">
        <f>HYPERLINK("https://telegram.me/rootsmusic")</f>
        <v>https://telegram.me/rootsmusic</v>
      </c>
      <c r="K2953">
        <v>8999</v>
      </c>
      <c r="L2953" t="s">
        <v>6065</v>
      </c>
      <c r="N2953" t="s">
        <v>64</v>
      </c>
      <c r="O2953" t="s">
        <v>4044</v>
      </c>
      <c r="P2953" s="2" t="str">
        <f>HYPERLINK("https://telegram.me/rootsmusic")</f>
        <v>https://telegram.me/rootsmusic</v>
      </c>
      <c r="Q2953">
        <v>8999</v>
      </c>
      <c r="R2953" t="s">
        <v>6070</v>
      </c>
    </row>
    <row r="2954" spans="1:18" ht="14.25" customHeight="1" x14ac:dyDescent="0.3">
      <c r="A2954" t="s">
        <v>4995</v>
      </c>
      <c r="B2954" t="s">
        <v>2306</v>
      </c>
      <c r="C2954" t="s">
        <v>3538</v>
      </c>
      <c r="D2954" t="s">
        <v>4</v>
      </c>
      <c r="E2954" t="s">
        <v>5024</v>
      </c>
      <c r="F2954" t="s">
        <v>6056</v>
      </c>
      <c r="G2954" s="2" t="str">
        <f>HYPERLINK("https://telegram.me/sciently/1731")</f>
        <v>https://telegram.me/sciently/1731</v>
      </c>
      <c r="H2954" t="s">
        <v>6062</v>
      </c>
      <c r="I2954" t="s">
        <v>5025</v>
      </c>
      <c r="J2954" s="2" t="str">
        <f>HYPERLINK("https://telegram.me/sciently")</f>
        <v>https://telegram.me/sciently</v>
      </c>
      <c r="K2954">
        <v>26539</v>
      </c>
      <c r="L2954" t="s">
        <v>6065</v>
      </c>
      <c r="N2954" t="s">
        <v>64</v>
      </c>
      <c r="O2954" t="s">
        <v>5025</v>
      </c>
      <c r="P2954" s="2" t="str">
        <f>HYPERLINK("https://telegram.me/sciently")</f>
        <v>https://telegram.me/sciently</v>
      </c>
      <c r="Q2954">
        <v>26539</v>
      </c>
      <c r="R2954" t="s">
        <v>6070</v>
      </c>
    </row>
    <row r="2955" spans="1:18" ht="14.25" customHeight="1" x14ac:dyDescent="0.3">
      <c r="A2955" t="s">
        <v>3527</v>
      </c>
      <c r="B2955" t="s">
        <v>4204</v>
      </c>
      <c r="C2955" t="s">
        <v>95</v>
      </c>
      <c r="D2955" t="s">
        <v>4205</v>
      </c>
      <c r="E2955" t="s">
        <v>4206</v>
      </c>
      <c r="F2955" t="s">
        <v>6059</v>
      </c>
      <c r="G2955" s="2" t="str">
        <f>HYPERLINK("https://telegram.me/designerschat/91390")</f>
        <v>https://telegram.me/designerschat/91390</v>
      </c>
      <c r="H2955" t="s">
        <v>6062</v>
      </c>
      <c r="I2955" t="s">
        <v>4207</v>
      </c>
      <c r="J2955" s="2" t="str">
        <f>HYPERLINK("https://telegram.me/kopyl")</f>
        <v>https://telegram.me/kopyl</v>
      </c>
      <c r="L2955" t="s">
        <v>6063</v>
      </c>
      <c r="N2955" t="s">
        <v>64</v>
      </c>
      <c r="O2955" t="s">
        <v>3421</v>
      </c>
      <c r="P2955" s="2" t="str">
        <f>HYPERLINK("https://telegram.me/designerschat")</f>
        <v>https://telegram.me/designerschat</v>
      </c>
      <c r="Q2955">
        <v>698</v>
      </c>
      <c r="R2955" t="s">
        <v>6070</v>
      </c>
    </row>
    <row r="2956" spans="1:18" ht="14.25" customHeight="1" x14ac:dyDescent="0.3">
      <c r="A2956" t="s">
        <v>4995</v>
      </c>
      <c r="B2956" t="s">
        <v>4569</v>
      </c>
      <c r="C2956" t="s">
        <v>3538</v>
      </c>
      <c r="D2956" t="s">
        <v>4</v>
      </c>
      <c r="E2956" t="s">
        <v>5108</v>
      </c>
      <c r="F2956" t="s">
        <v>6056</v>
      </c>
      <c r="G2956" s="2" t="str">
        <f>HYPERLINK("https://telegram.me/influd/1231")</f>
        <v>https://telegram.me/influd/1231</v>
      </c>
      <c r="H2956" t="s">
        <v>6062</v>
      </c>
      <c r="I2956" t="s">
        <v>5109</v>
      </c>
      <c r="J2956" s="2" t="str">
        <f>HYPERLINK("https://telegram.me/tweksty")</f>
        <v>https://telegram.me/tweksty</v>
      </c>
      <c r="L2956" t="s">
        <v>6063</v>
      </c>
      <c r="N2956" t="s">
        <v>64</v>
      </c>
      <c r="O2956" t="s">
        <v>5110</v>
      </c>
      <c r="P2956" s="2" t="str">
        <f>HYPERLINK("https://telegram.me/influd")</f>
        <v>https://telegram.me/influd</v>
      </c>
      <c r="Q2956">
        <v>66</v>
      </c>
      <c r="R2956" t="s">
        <v>6070</v>
      </c>
    </row>
    <row r="2957" spans="1:18" ht="14.25" customHeight="1" x14ac:dyDescent="0.3">
      <c r="A2957" t="s">
        <v>2225</v>
      </c>
      <c r="B2957" t="s">
        <v>1832</v>
      </c>
      <c r="C2957" t="s">
        <v>95</v>
      </c>
      <c r="D2957" t="s">
        <v>4</v>
      </c>
      <c r="E2957" t="s">
        <v>200</v>
      </c>
      <c r="F2957" t="s">
        <v>6056</v>
      </c>
      <c r="G2957" s="2" t="str">
        <f>HYPERLINK("https://telegram.me/telegaVP/154508")</f>
        <v>https://telegram.me/telegaVP/154508</v>
      </c>
      <c r="H2957" t="s">
        <v>6062</v>
      </c>
      <c r="I2957" t="s">
        <v>3435</v>
      </c>
      <c r="J2957" s="2" t="str">
        <f>HYPERLINK("https://telegram.me/carlitosis")</f>
        <v>https://telegram.me/carlitosis</v>
      </c>
      <c r="L2957" t="s">
        <v>6063</v>
      </c>
      <c r="N2957" t="s">
        <v>64</v>
      </c>
      <c r="O2957" t="s">
        <v>3436</v>
      </c>
      <c r="P2957" s="2" t="str">
        <f>HYPERLINK("https://telegram.me/telegavp")</f>
        <v>https://telegram.me/telegavp</v>
      </c>
      <c r="Q2957">
        <v>1601</v>
      </c>
      <c r="R2957" t="s">
        <v>6070</v>
      </c>
    </row>
    <row r="2958" spans="1:18" ht="14.25" customHeight="1" x14ac:dyDescent="0.3">
      <c r="A2958" t="s">
        <v>3527</v>
      </c>
      <c r="B2958" t="s">
        <v>1961</v>
      </c>
      <c r="C2958" t="s">
        <v>3538</v>
      </c>
      <c r="D2958" t="s">
        <v>4</v>
      </c>
      <c r="E2958" t="s">
        <v>200</v>
      </c>
      <c r="F2958" t="s">
        <v>6056</v>
      </c>
      <c r="G2958" s="2" t="str">
        <f>HYPERLINK("https://telegram.me/telegaVP/151300")</f>
        <v>https://telegram.me/telegaVP/151300</v>
      </c>
      <c r="H2958" t="s">
        <v>6062</v>
      </c>
      <c r="I2958" t="s">
        <v>3435</v>
      </c>
      <c r="J2958" s="2" t="str">
        <f>HYPERLINK("https://telegram.me/carlitosis")</f>
        <v>https://telegram.me/carlitosis</v>
      </c>
      <c r="L2958" t="s">
        <v>6063</v>
      </c>
      <c r="N2958" t="s">
        <v>64</v>
      </c>
      <c r="O2958" t="s">
        <v>3436</v>
      </c>
      <c r="P2958" s="2" t="str">
        <f>HYPERLINK("https://telegram.me/telegavp")</f>
        <v>https://telegram.me/telegavp</v>
      </c>
      <c r="Q2958">
        <v>1601</v>
      </c>
      <c r="R2958" t="s">
        <v>6070</v>
      </c>
    </row>
    <row r="2959" spans="1:18" ht="14.25" customHeight="1" x14ac:dyDescent="0.3">
      <c r="A2959" t="s">
        <v>4439</v>
      </c>
      <c r="B2959" t="s">
        <v>947</v>
      </c>
      <c r="C2959" t="s">
        <v>3538</v>
      </c>
      <c r="D2959" t="s">
        <v>4</v>
      </c>
      <c r="E2959" t="s">
        <v>200</v>
      </c>
      <c r="F2959" t="s">
        <v>6056</v>
      </c>
      <c r="G2959" s="2" t="str">
        <f>HYPERLINK("https://telegram.me/telegaVP/149907")</f>
        <v>https://telegram.me/telegaVP/149907</v>
      </c>
      <c r="H2959" t="s">
        <v>6062</v>
      </c>
      <c r="I2959" t="s">
        <v>3435</v>
      </c>
      <c r="J2959" s="2" t="str">
        <f>HYPERLINK("https://telegram.me/carlitosis")</f>
        <v>https://telegram.me/carlitosis</v>
      </c>
      <c r="L2959" t="s">
        <v>6063</v>
      </c>
      <c r="N2959" t="s">
        <v>64</v>
      </c>
      <c r="O2959" t="s">
        <v>3436</v>
      </c>
      <c r="P2959" s="2" t="str">
        <f>HYPERLINK("https://telegram.me/telegavp")</f>
        <v>https://telegram.me/telegavp</v>
      </c>
      <c r="Q2959">
        <v>1601</v>
      </c>
      <c r="R2959" t="s">
        <v>6070</v>
      </c>
    </row>
    <row r="2960" spans="1:18" ht="14.25" customHeight="1" x14ac:dyDescent="0.3">
      <c r="A2960" t="s">
        <v>4995</v>
      </c>
      <c r="B2960" t="s">
        <v>984</v>
      </c>
      <c r="C2960" t="s">
        <v>3538</v>
      </c>
      <c r="D2960" t="s">
        <v>4</v>
      </c>
      <c r="E2960" t="s">
        <v>200</v>
      </c>
      <c r="F2960" t="s">
        <v>6056</v>
      </c>
      <c r="G2960" s="2" t="str">
        <f>HYPERLINK("https://telegram.me/telegaVP/146704")</f>
        <v>https://telegram.me/telegaVP/146704</v>
      </c>
      <c r="H2960" t="s">
        <v>6062</v>
      </c>
      <c r="I2960" t="s">
        <v>3435</v>
      </c>
      <c r="J2960" s="2" t="str">
        <f>HYPERLINK("https://telegram.me/carlitosis")</f>
        <v>https://telegram.me/carlitosis</v>
      </c>
      <c r="L2960" t="s">
        <v>6063</v>
      </c>
      <c r="N2960" t="s">
        <v>64</v>
      </c>
      <c r="O2960" t="s">
        <v>3436</v>
      </c>
      <c r="P2960" s="2" t="str">
        <f>HYPERLINK("https://telegram.me/telegavp")</f>
        <v>https://telegram.me/telegavp</v>
      </c>
      <c r="Q2960">
        <v>1601</v>
      </c>
      <c r="R2960" t="s">
        <v>6070</v>
      </c>
    </row>
    <row r="2961" spans="1:19" ht="14.25" customHeight="1" x14ac:dyDescent="0.3">
      <c r="A2961" t="s">
        <v>629</v>
      </c>
      <c r="B2961" t="s">
        <v>787</v>
      </c>
      <c r="C2961" t="s">
        <v>95</v>
      </c>
      <c r="D2961" t="s">
        <v>4</v>
      </c>
      <c r="E2961" t="s">
        <v>788</v>
      </c>
      <c r="F2961" t="s">
        <v>6056</v>
      </c>
      <c r="G2961" s="2" t="str">
        <f>HYPERLINK("https://telegram.me/lvivu/31449")</f>
        <v>https://telegram.me/lvivu/31449</v>
      </c>
      <c r="H2961" t="s">
        <v>6062</v>
      </c>
      <c r="I2961" t="s">
        <v>783</v>
      </c>
      <c r="J2961" s="2" t="str">
        <f>HYPERLINK("https://telegram.me/loikor")</f>
        <v>https://telegram.me/loikor</v>
      </c>
      <c r="L2961" t="s">
        <v>6063</v>
      </c>
      <c r="N2961" t="s">
        <v>64</v>
      </c>
      <c r="O2961" t="s">
        <v>784</v>
      </c>
      <c r="P2961" s="2" t="str">
        <f>HYPERLINK("https://telegram.me/lvivu")</f>
        <v>https://telegram.me/lvivu</v>
      </c>
      <c r="Q2961">
        <v>81</v>
      </c>
      <c r="R2961" t="s">
        <v>6070</v>
      </c>
    </row>
    <row r="2962" spans="1:19" ht="14.25" customHeight="1" x14ac:dyDescent="0.3">
      <c r="A2962" t="s">
        <v>629</v>
      </c>
      <c r="B2962" t="s">
        <v>1424</v>
      </c>
      <c r="C2962" t="s">
        <v>95</v>
      </c>
      <c r="D2962" t="s">
        <v>4</v>
      </c>
      <c r="E2962" t="s">
        <v>1425</v>
      </c>
      <c r="F2962" t="s">
        <v>6058</v>
      </c>
      <c r="G2962" s="2" t="str">
        <f>HYPERLINK("https://telegram.me/ResourceNetFlood/8013")</f>
        <v>https://telegram.me/ResourceNetFlood/8013</v>
      </c>
      <c r="H2962" t="s">
        <v>6062</v>
      </c>
      <c r="I2962" t="s">
        <v>783</v>
      </c>
      <c r="J2962" s="2" t="str">
        <f>HYPERLINK("https://telegram.me/loikor")</f>
        <v>https://telegram.me/loikor</v>
      </c>
      <c r="L2962" t="s">
        <v>6063</v>
      </c>
      <c r="N2962" t="s">
        <v>64</v>
      </c>
      <c r="O2962" t="s">
        <v>1426</v>
      </c>
      <c r="P2962" s="2" t="str">
        <f>HYPERLINK("https://telegram.me/resourcenetflood")</f>
        <v>https://telegram.me/resourcenetflood</v>
      </c>
      <c r="Q2962">
        <v>50</v>
      </c>
      <c r="R2962" t="s">
        <v>6070</v>
      </c>
    </row>
    <row r="2963" spans="1:19" ht="14.25" customHeight="1" x14ac:dyDescent="0.3">
      <c r="A2963" t="s">
        <v>629</v>
      </c>
      <c r="B2963" t="s">
        <v>780</v>
      </c>
      <c r="C2963" t="s">
        <v>95</v>
      </c>
      <c r="D2963" t="s">
        <v>4</v>
      </c>
      <c r="E2963" t="s">
        <v>782</v>
      </c>
      <c r="F2963" t="s">
        <v>6056</v>
      </c>
      <c r="G2963" s="2" t="str">
        <f>HYPERLINK("https://telegram.me/lvivu/31456")</f>
        <v>https://telegram.me/lvivu/31456</v>
      </c>
      <c r="H2963" t="s">
        <v>6062</v>
      </c>
      <c r="I2963" t="s">
        <v>783</v>
      </c>
      <c r="J2963" s="2" t="str">
        <f>HYPERLINK("https://telegram.me/loikor")</f>
        <v>https://telegram.me/loikor</v>
      </c>
      <c r="L2963" t="s">
        <v>6063</v>
      </c>
      <c r="N2963" t="s">
        <v>64</v>
      </c>
      <c r="O2963" t="s">
        <v>784</v>
      </c>
      <c r="P2963" s="2" t="str">
        <f>HYPERLINK("https://telegram.me/lvivu")</f>
        <v>https://telegram.me/lvivu</v>
      </c>
      <c r="Q2963">
        <v>81</v>
      </c>
      <c r="R2963" t="s">
        <v>6070</v>
      </c>
    </row>
    <row r="2964" spans="1:19" ht="14.25" customHeight="1" x14ac:dyDescent="0.3">
      <c r="A2964" t="s">
        <v>629</v>
      </c>
      <c r="B2964" t="s">
        <v>1432</v>
      </c>
      <c r="C2964" t="s">
        <v>95</v>
      </c>
      <c r="D2964" t="s">
        <v>1433</v>
      </c>
      <c r="E2964" t="s">
        <v>1434</v>
      </c>
      <c r="F2964" t="s">
        <v>6059</v>
      </c>
      <c r="G2964" s="2" t="str">
        <f>HYPERLINK("https://telegram.me/tsadm/16")</f>
        <v>https://telegram.me/tsadm/16</v>
      </c>
      <c r="H2964" t="s">
        <v>6062</v>
      </c>
      <c r="I2964" t="s">
        <v>164</v>
      </c>
      <c r="J2964" s="2" t="str">
        <f>HYPERLINK("https://telegram.me/tsadm")</f>
        <v>https://telegram.me/tsadm</v>
      </c>
      <c r="K2964">
        <v>15</v>
      </c>
      <c r="L2964" t="s">
        <v>6065</v>
      </c>
      <c r="N2964" t="s">
        <v>64</v>
      </c>
      <c r="O2964" t="s">
        <v>164</v>
      </c>
      <c r="P2964" s="2" t="str">
        <f>HYPERLINK("https://telegram.me/tsadm")</f>
        <v>https://telegram.me/tsadm</v>
      </c>
      <c r="Q2964">
        <v>15</v>
      </c>
      <c r="R2964" t="s">
        <v>6070</v>
      </c>
    </row>
    <row r="2965" spans="1:19" ht="14.25" customHeight="1" x14ac:dyDescent="0.3">
      <c r="A2965" t="s">
        <v>1</v>
      </c>
      <c r="B2965" t="s">
        <v>162</v>
      </c>
      <c r="C2965" t="s">
        <v>95</v>
      </c>
      <c r="D2965" t="s">
        <v>4</v>
      </c>
      <c r="E2965" t="s">
        <v>163</v>
      </c>
      <c r="F2965" t="s">
        <v>6056</v>
      </c>
      <c r="G2965" s="2" t="str">
        <f>HYPERLINK("https://telegram.me/tsadm/17")</f>
        <v>https://telegram.me/tsadm/17</v>
      </c>
      <c r="H2965" t="s">
        <v>6062</v>
      </c>
      <c r="I2965" t="s">
        <v>164</v>
      </c>
      <c r="J2965" s="2" t="str">
        <f>HYPERLINK("https://telegram.me/tsadm")</f>
        <v>https://telegram.me/tsadm</v>
      </c>
      <c r="K2965">
        <v>15</v>
      </c>
      <c r="L2965" t="s">
        <v>6065</v>
      </c>
      <c r="N2965" t="s">
        <v>64</v>
      </c>
      <c r="O2965" t="s">
        <v>164</v>
      </c>
      <c r="P2965" s="2" t="str">
        <f>HYPERLINK("https://telegram.me/tsadm")</f>
        <v>https://telegram.me/tsadm</v>
      </c>
      <c r="Q2965">
        <v>15</v>
      </c>
      <c r="R2965" t="s">
        <v>6070</v>
      </c>
    </row>
    <row r="2966" spans="1:19" ht="14.25" customHeight="1" x14ac:dyDescent="0.3">
      <c r="A2966" t="s">
        <v>629</v>
      </c>
      <c r="B2966" t="s">
        <v>1590</v>
      </c>
      <c r="C2966" t="s">
        <v>95</v>
      </c>
      <c r="D2966" t="s">
        <v>4</v>
      </c>
      <c r="E2966" t="s">
        <v>1592</v>
      </c>
      <c r="F2966" t="s">
        <v>6056</v>
      </c>
      <c r="G2966" s="2" t="str">
        <f>HYPERLINK("https://telegram.me/tsadm/15")</f>
        <v>https://telegram.me/tsadm/15</v>
      </c>
      <c r="H2966" t="s">
        <v>6062</v>
      </c>
      <c r="I2966" t="s">
        <v>164</v>
      </c>
      <c r="J2966" s="2" t="str">
        <f>HYPERLINK("https://telegram.me/tsadm")</f>
        <v>https://telegram.me/tsadm</v>
      </c>
      <c r="K2966">
        <v>15</v>
      </c>
      <c r="L2966" t="s">
        <v>6065</v>
      </c>
      <c r="N2966" t="s">
        <v>64</v>
      </c>
      <c r="O2966" t="s">
        <v>164</v>
      </c>
      <c r="P2966" s="2" t="str">
        <f>HYPERLINK("https://telegram.me/tsadm")</f>
        <v>https://telegram.me/tsadm</v>
      </c>
      <c r="Q2966">
        <v>15</v>
      </c>
      <c r="R2966" t="s">
        <v>6070</v>
      </c>
    </row>
    <row r="2967" spans="1:19" ht="14.25" customHeight="1" x14ac:dyDescent="0.3">
      <c r="A2967" t="s">
        <v>629</v>
      </c>
      <c r="B2967" t="s">
        <v>579</v>
      </c>
      <c r="C2967" t="s">
        <v>95</v>
      </c>
      <c r="D2967" t="s">
        <v>4</v>
      </c>
      <c r="E2967" t="s">
        <v>2157</v>
      </c>
      <c r="F2967" t="s">
        <v>6056</v>
      </c>
      <c r="G2967" s="2" t="str">
        <f>HYPERLINK("https://telegram.me/ResourceNET/73343")</f>
        <v>https://telegram.me/ResourceNET/73343</v>
      </c>
      <c r="H2967" t="s">
        <v>6061</v>
      </c>
      <c r="I2967" t="s">
        <v>1025</v>
      </c>
      <c r="J2967" s="2" t="str">
        <f>HYPERLINK("https://telegram.me/babenko_andrey")</f>
        <v>https://telegram.me/babenko_andrey</v>
      </c>
      <c r="L2967" t="s">
        <v>6063</v>
      </c>
      <c r="N2967" t="s">
        <v>64</v>
      </c>
      <c r="O2967" t="s">
        <v>1026</v>
      </c>
      <c r="P2967" s="2" t="str">
        <f>HYPERLINK("https://telegram.me/resourcenet")</f>
        <v>https://telegram.me/resourcenet</v>
      </c>
      <c r="Q2967">
        <v>334</v>
      </c>
      <c r="R2967" t="s">
        <v>6070</v>
      </c>
    </row>
    <row r="2968" spans="1:19" ht="14.25" customHeight="1" x14ac:dyDescent="0.3">
      <c r="A2968" t="s">
        <v>3527</v>
      </c>
      <c r="B2968" t="s">
        <v>1808</v>
      </c>
      <c r="C2968" t="s">
        <v>3538</v>
      </c>
      <c r="D2968" t="s">
        <v>4</v>
      </c>
      <c r="E2968" t="s">
        <v>4321</v>
      </c>
      <c r="F2968" t="s">
        <v>6056</v>
      </c>
      <c r="G2968" s="2" t="str">
        <f>HYPERLINK("https://telegram.me/linux_mining/23173")</f>
        <v>https://telegram.me/linux_mining/23173</v>
      </c>
      <c r="H2968" t="s">
        <v>6061</v>
      </c>
      <c r="I2968" t="s">
        <v>4322</v>
      </c>
      <c r="J2968" s="2" t="str">
        <f>HYPERLINK("https://telegram.me/grigoriy1234")</f>
        <v>https://telegram.me/grigoriy1234</v>
      </c>
      <c r="L2968" t="s">
        <v>6063</v>
      </c>
      <c r="N2968" t="s">
        <v>64</v>
      </c>
      <c r="O2968" t="s">
        <v>4323</v>
      </c>
      <c r="P2968" s="2" t="str">
        <f>HYPERLINK("https://telegram.me/linux_mining")</f>
        <v>https://telegram.me/linux_mining</v>
      </c>
      <c r="Q2968">
        <v>153</v>
      </c>
      <c r="R2968" t="s">
        <v>6070</v>
      </c>
    </row>
    <row r="2969" spans="1:19" ht="14.25" customHeight="1" x14ac:dyDescent="0.3">
      <c r="A2969" t="s">
        <v>2225</v>
      </c>
      <c r="B2969" t="s">
        <v>3452</v>
      </c>
      <c r="C2969" t="s">
        <v>95</v>
      </c>
      <c r="D2969" t="s">
        <v>4</v>
      </c>
      <c r="E2969" t="s">
        <v>3453</v>
      </c>
      <c r="F2969" t="s">
        <v>6056</v>
      </c>
      <c r="G2969" s="2" t="str">
        <f>HYPERLINK("https://telegram.me/darknet_look/19139")</f>
        <v>https://telegram.me/darknet_look/19139</v>
      </c>
      <c r="H2969" t="s">
        <v>6061</v>
      </c>
      <c r="I2969" t="s">
        <v>3454</v>
      </c>
      <c r="J2969" s="2" t="str">
        <f>HYPERLINK("https://telegram.me/kefirchik9")</f>
        <v>https://telegram.me/kefirchik9</v>
      </c>
      <c r="N2969" t="s">
        <v>64</v>
      </c>
      <c r="O2969" t="s">
        <v>3455</v>
      </c>
      <c r="P2969" s="2" t="str">
        <f>HYPERLINK("https://telegram.me/darknet_look")</f>
        <v>https://telegram.me/darknet_look</v>
      </c>
      <c r="Q2969">
        <v>3932</v>
      </c>
      <c r="R2969" t="s">
        <v>6070</v>
      </c>
    </row>
    <row r="2970" spans="1:19" ht="14.25" customHeight="1" x14ac:dyDescent="0.3">
      <c r="A2970" t="s">
        <v>3527</v>
      </c>
      <c r="B2970" t="s">
        <v>1362</v>
      </c>
      <c r="C2970" t="s">
        <v>95</v>
      </c>
      <c r="D2970" t="s">
        <v>4</v>
      </c>
      <c r="E2970" t="s">
        <v>4186</v>
      </c>
      <c r="F2970" t="s">
        <v>6056</v>
      </c>
      <c r="G2970" s="2" t="str">
        <f>HYPERLINK("https://telegram.me/designerschat/91411")</f>
        <v>https://telegram.me/designerschat/91411</v>
      </c>
      <c r="H2970" t="s">
        <v>6061</v>
      </c>
      <c r="I2970" t="s">
        <v>4187</v>
      </c>
      <c r="J2970" s="2" t="str">
        <f>HYPERLINK("https://telegram.me/ylysak")</f>
        <v>https://telegram.me/ylysak</v>
      </c>
      <c r="L2970" t="s">
        <v>6063</v>
      </c>
      <c r="N2970" t="s">
        <v>64</v>
      </c>
      <c r="O2970" t="s">
        <v>3421</v>
      </c>
      <c r="P2970" s="2" t="str">
        <f>HYPERLINK("https://telegram.me/designerschat")</f>
        <v>https://telegram.me/designerschat</v>
      </c>
      <c r="Q2970">
        <v>698</v>
      </c>
      <c r="R2970" t="s">
        <v>6070</v>
      </c>
    </row>
    <row r="2971" spans="1:19" ht="14.25" customHeight="1" x14ac:dyDescent="0.3">
      <c r="A2971" t="s">
        <v>2225</v>
      </c>
      <c r="B2971" t="s">
        <v>3234</v>
      </c>
      <c r="C2971" t="s">
        <v>95</v>
      </c>
      <c r="D2971" t="s">
        <v>4</v>
      </c>
      <c r="E2971" t="s">
        <v>3235</v>
      </c>
      <c r="F2971" t="s">
        <v>6056</v>
      </c>
      <c r="G2971" s="2" t="str">
        <f>HYPERLINK("https://telegram.me/tsadm/14")</f>
        <v>https://telegram.me/tsadm/14</v>
      </c>
      <c r="H2971" t="s">
        <v>6061</v>
      </c>
      <c r="I2971" t="s">
        <v>164</v>
      </c>
      <c r="J2971" s="2" t="str">
        <f>HYPERLINK("https://telegram.me/tsadm")</f>
        <v>https://telegram.me/tsadm</v>
      </c>
      <c r="K2971">
        <v>15</v>
      </c>
      <c r="L2971" t="s">
        <v>6065</v>
      </c>
      <c r="N2971" t="s">
        <v>64</v>
      </c>
      <c r="O2971" t="s">
        <v>164</v>
      </c>
      <c r="P2971" s="2" t="str">
        <f>HYPERLINK("https://telegram.me/tsadm")</f>
        <v>https://telegram.me/tsadm</v>
      </c>
      <c r="Q2971">
        <v>15</v>
      </c>
      <c r="R2971" t="s">
        <v>6070</v>
      </c>
    </row>
    <row r="2972" spans="1:19" ht="14.25" customHeight="1" x14ac:dyDescent="0.3">
      <c r="A2972" t="s">
        <v>3527</v>
      </c>
      <c r="B2972" t="s">
        <v>1155</v>
      </c>
      <c r="C2972" t="s">
        <v>95</v>
      </c>
      <c r="D2972" t="s">
        <v>4108</v>
      </c>
      <c r="E2972" t="s">
        <v>4109</v>
      </c>
      <c r="F2972" t="s">
        <v>6056</v>
      </c>
      <c r="G2972" s="2" t="str">
        <f>HYPERLINK("http://teletape.info/11414-save-dnipro-protiv-pridneprovskoy-tes.html")</f>
        <v>http://teletape.info/11414-save-dnipro-protiv-pridneprovskoy-tes.html</v>
      </c>
      <c r="H2972" t="s">
        <v>6062</v>
      </c>
      <c r="I2972" t="s">
        <v>4110</v>
      </c>
      <c r="J2972" s="2" t="str">
        <f>HYPERLINK("http://teletape.info")</f>
        <v>http://teletape.info</v>
      </c>
      <c r="N2972" t="s">
        <v>4111</v>
      </c>
      <c r="R2972" t="s">
        <v>6069</v>
      </c>
      <c r="S2972" t="s">
        <v>6073</v>
      </c>
    </row>
    <row r="2973" spans="1:19" ht="14.25" customHeight="1" x14ac:dyDescent="0.3">
      <c r="A2973" t="s">
        <v>4439</v>
      </c>
      <c r="B2973" t="s">
        <v>3270</v>
      </c>
      <c r="C2973" t="s">
        <v>3538</v>
      </c>
      <c r="D2973" t="s">
        <v>4</v>
      </c>
      <c r="E2973" t="s">
        <v>4686</v>
      </c>
      <c r="F2973" t="s">
        <v>6056</v>
      </c>
      <c r="G2973" s="2" t="str">
        <f>HYPERLINK("https://twitter.com/129566865/status/980390234683830272")</f>
        <v>https://twitter.com/129566865/status/980390234683830272</v>
      </c>
      <c r="H2973" t="s">
        <v>6060</v>
      </c>
      <c r="I2973" t="s">
        <v>4687</v>
      </c>
      <c r="J2973" s="2" t="str">
        <f>HYPERLINK("http://twitter.com/eywind")</f>
        <v>http://twitter.com/eywind</v>
      </c>
      <c r="K2973">
        <v>1078</v>
      </c>
      <c r="N2973" t="s">
        <v>7</v>
      </c>
      <c r="R2973" t="s">
        <v>6067</v>
      </c>
      <c r="S2973" t="s">
        <v>6073</v>
      </c>
    </row>
    <row r="2974" spans="1:19" ht="14.25" customHeight="1" x14ac:dyDescent="0.3">
      <c r="A2974" t="s">
        <v>2225</v>
      </c>
      <c r="B2974" t="s">
        <v>3057</v>
      </c>
      <c r="C2974" t="s">
        <v>95</v>
      </c>
      <c r="D2974" t="s">
        <v>4</v>
      </c>
      <c r="E2974" t="s">
        <v>3058</v>
      </c>
      <c r="F2974" t="s">
        <v>6056</v>
      </c>
      <c r="G2974" s="2" t="str">
        <f>HYPERLINK("https://twitter.com/207204113/status/981186987964141568")</f>
        <v>https://twitter.com/207204113/status/981186987964141568</v>
      </c>
      <c r="H2974" t="s">
        <v>6060</v>
      </c>
      <c r="I2974" t="s">
        <v>3059</v>
      </c>
      <c r="J2974" s="2" t="str">
        <f>HYPERLINK("http://twitter.com/mary_dzyuba")</f>
        <v>http://twitter.com/mary_dzyuba</v>
      </c>
      <c r="K2974">
        <v>579</v>
      </c>
      <c r="N2974" t="s">
        <v>7</v>
      </c>
      <c r="R2974" t="s">
        <v>6067</v>
      </c>
      <c r="S2974" t="s">
        <v>6073</v>
      </c>
    </row>
    <row r="2975" spans="1:19" ht="14.25" customHeight="1" x14ac:dyDescent="0.3">
      <c r="A2975" t="s">
        <v>3527</v>
      </c>
      <c r="B2975" t="s">
        <v>1074</v>
      </c>
      <c r="C2975" t="s">
        <v>3538</v>
      </c>
      <c r="D2975" t="s">
        <v>4</v>
      </c>
      <c r="E2975" t="s">
        <v>4078</v>
      </c>
      <c r="F2975" t="s">
        <v>6056</v>
      </c>
      <c r="G2975" s="2" t="str">
        <f>HYPERLINK("https://twitter.com/281115194/status/980798334645559296")</f>
        <v>https://twitter.com/281115194/status/980798334645559296</v>
      </c>
      <c r="H2975" t="s">
        <v>6062</v>
      </c>
      <c r="I2975" t="s">
        <v>4</v>
      </c>
      <c r="J2975" s="2" t="str">
        <f>HYPERLINK("http://twitter.com/alwaysreadb0oks")</f>
        <v>http://twitter.com/alwaysreadb0oks</v>
      </c>
      <c r="K2975">
        <v>106</v>
      </c>
      <c r="N2975" t="s">
        <v>7</v>
      </c>
      <c r="R2975" t="s">
        <v>6067</v>
      </c>
      <c r="S2975" t="s">
        <v>6073</v>
      </c>
    </row>
    <row r="2976" spans="1:19" ht="14.25" customHeight="1" x14ac:dyDescent="0.3">
      <c r="A2976" t="s">
        <v>4439</v>
      </c>
      <c r="B2976" t="s">
        <v>4564</v>
      </c>
      <c r="C2976" t="s">
        <v>3538</v>
      </c>
      <c r="D2976" t="s">
        <v>4</v>
      </c>
      <c r="E2976" t="s">
        <v>4565</v>
      </c>
      <c r="F2976" t="s">
        <v>6056</v>
      </c>
      <c r="G2976" s="2" t="str">
        <f>HYPERLINK("https://twitter.com/22743903/status/980476292427640834")</f>
        <v>https://twitter.com/22743903/status/980476292427640834</v>
      </c>
      <c r="H2976" t="s">
        <v>6062</v>
      </c>
      <c r="I2976" t="s">
        <v>4566</v>
      </c>
      <c r="J2976" s="2" t="str">
        <f>HYPERLINK("http://twitter.com/alexanderslev1n")</f>
        <v>http://twitter.com/alexanderslev1n</v>
      </c>
      <c r="K2976">
        <v>525</v>
      </c>
      <c r="N2976" t="s">
        <v>7</v>
      </c>
      <c r="R2976" t="s">
        <v>6067</v>
      </c>
    </row>
    <row r="2977" spans="1:19" ht="14.25" customHeight="1" x14ac:dyDescent="0.3">
      <c r="A2977" t="s">
        <v>629</v>
      </c>
      <c r="B2977" t="s">
        <v>196</v>
      </c>
      <c r="C2977" t="s">
        <v>95</v>
      </c>
      <c r="D2977" t="s">
        <v>4</v>
      </c>
      <c r="E2977" t="s">
        <v>1427</v>
      </c>
      <c r="F2977" t="s">
        <v>6056</v>
      </c>
      <c r="G2977" s="2" t="str">
        <f>HYPERLINK("https://twitter.com/243530045/status/981462064853143558")</f>
        <v>https://twitter.com/243530045/status/981462064853143558</v>
      </c>
      <c r="H2977" t="s">
        <v>6062</v>
      </c>
      <c r="I2977" t="s">
        <v>1428</v>
      </c>
      <c r="J2977" s="2" t="str">
        <f>HYPERLINK("http://twitter.com/alex_drobyazko")</f>
        <v>http://twitter.com/alex_drobyazko</v>
      </c>
      <c r="K2977">
        <v>34</v>
      </c>
      <c r="L2977" t="s">
        <v>6063</v>
      </c>
      <c r="N2977" t="s">
        <v>7</v>
      </c>
      <c r="R2977" t="s">
        <v>6067</v>
      </c>
    </row>
    <row r="2978" spans="1:19" ht="14.25" customHeight="1" x14ac:dyDescent="0.3">
      <c r="A2978" t="s">
        <v>629</v>
      </c>
      <c r="B2978" t="s">
        <v>982</v>
      </c>
      <c r="C2978" t="s">
        <v>95</v>
      </c>
      <c r="D2978" t="s">
        <v>4</v>
      </c>
      <c r="E2978" t="s">
        <v>983</v>
      </c>
      <c r="F2978" t="s">
        <v>6059</v>
      </c>
      <c r="G2978" s="2" t="str">
        <f>HYPERLINK("https://twitter.com/2420056415/status/981539777806782465")</f>
        <v>https://twitter.com/2420056415/status/981539777806782465</v>
      </c>
      <c r="H2978" t="s">
        <v>6062</v>
      </c>
      <c r="I2978" t="s">
        <v>531</v>
      </c>
      <c r="J2978" s="2" t="str">
        <f>HYPERLINK("http://twitter.com/exlusin")</f>
        <v>http://twitter.com/exlusin</v>
      </c>
      <c r="K2978">
        <v>3</v>
      </c>
      <c r="L2978" t="s">
        <v>6063</v>
      </c>
      <c r="N2978" t="s">
        <v>7</v>
      </c>
      <c r="R2978" t="s">
        <v>6067</v>
      </c>
    </row>
    <row r="2979" spans="1:19" ht="14.25" customHeight="1" x14ac:dyDescent="0.3">
      <c r="A2979" t="s">
        <v>1</v>
      </c>
      <c r="B2979" t="s">
        <v>529</v>
      </c>
      <c r="C2979" t="s">
        <v>95</v>
      </c>
      <c r="D2979" t="s">
        <v>4</v>
      </c>
      <c r="E2979" t="s">
        <v>530</v>
      </c>
      <c r="F2979" t="s">
        <v>6059</v>
      </c>
      <c r="G2979" s="2" t="str">
        <f>HYPERLINK("https://twitter.com/2420056415/status/981730543841824768")</f>
        <v>https://twitter.com/2420056415/status/981730543841824768</v>
      </c>
      <c r="H2979" t="s">
        <v>6062</v>
      </c>
      <c r="I2979" t="s">
        <v>531</v>
      </c>
      <c r="J2979" s="2" t="str">
        <f>HYPERLINK("http://twitter.com/exlusin")</f>
        <v>http://twitter.com/exlusin</v>
      </c>
      <c r="K2979">
        <v>3</v>
      </c>
      <c r="L2979" t="s">
        <v>6063</v>
      </c>
      <c r="N2979" t="s">
        <v>7</v>
      </c>
      <c r="R2979" t="s">
        <v>6067</v>
      </c>
    </row>
    <row r="2980" spans="1:19" ht="14.25" customHeight="1" x14ac:dyDescent="0.3">
      <c r="A2980" t="s">
        <v>629</v>
      </c>
      <c r="B2980" t="s">
        <v>1943</v>
      </c>
      <c r="C2980" t="s">
        <v>95</v>
      </c>
      <c r="D2980" t="s">
        <v>4</v>
      </c>
      <c r="E2980" t="s">
        <v>1944</v>
      </c>
      <c r="F2980" t="s">
        <v>6056</v>
      </c>
      <c r="G2980" s="2" t="str">
        <f>HYPERLINK("https://twitter.com/579220327/status/981411229200736256")</f>
        <v>https://twitter.com/579220327/status/981411229200736256</v>
      </c>
      <c r="H2980" t="s">
        <v>6062</v>
      </c>
      <c r="I2980" t="s">
        <v>1945</v>
      </c>
      <c r="J2980" s="2" t="str">
        <f>HYPERLINK("http://twitter.com/fantaser86")</f>
        <v>http://twitter.com/fantaser86</v>
      </c>
      <c r="K2980">
        <v>10</v>
      </c>
      <c r="L2980" t="s">
        <v>6063</v>
      </c>
      <c r="N2980" t="s">
        <v>7</v>
      </c>
      <c r="R2980" t="s">
        <v>6067</v>
      </c>
      <c r="S2980" t="s">
        <v>6073</v>
      </c>
    </row>
    <row r="2981" spans="1:19" ht="14.25" customHeight="1" x14ac:dyDescent="0.3">
      <c r="A2981" t="s">
        <v>4439</v>
      </c>
      <c r="B2981" t="s">
        <v>3835</v>
      </c>
      <c r="C2981" t="s">
        <v>3538</v>
      </c>
      <c r="D2981" t="s">
        <v>4</v>
      </c>
      <c r="E2981" t="s">
        <v>4545</v>
      </c>
      <c r="F2981" t="s">
        <v>6056</v>
      </c>
      <c r="G2981" s="2" t="str">
        <f>HYPERLINK("https://twitter.com/579220327/status/980487188952608768")</f>
        <v>https://twitter.com/579220327/status/980487188952608768</v>
      </c>
      <c r="H2981" t="s">
        <v>6062</v>
      </c>
      <c r="I2981" t="s">
        <v>1945</v>
      </c>
      <c r="J2981" s="2" t="str">
        <f>HYPERLINK("http://twitter.com/fantaser86")</f>
        <v>http://twitter.com/fantaser86</v>
      </c>
      <c r="K2981">
        <v>10</v>
      </c>
      <c r="L2981" t="s">
        <v>6063</v>
      </c>
      <c r="N2981" t="s">
        <v>7</v>
      </c>
      <c r="R2981" t="s">
        <v>6067</v>
      </c>
      <c r="S2981" t="s">
        <v>6073</v>
      </c>
    </row>
    <row r="2982" spans="1:19" ht="14.25" customHeight="1" x14ac:dyDescent="0.3">
      <c r="A2982" t="s">
        <v>629</v>
      </c>
      <c r="B2982" t="s">
        <v>686</v>
      </c>
      <c r="C2982" t="s">
        <v>95</v>
      </c>
      <c r="D2982" t="s">
        <v>4</v>
      </c>
      <c r="E2982" t="s">
        <v>687</v>
      </c>
      <c r="F2982" t="s">
        <v>6056</v>
      </c>
      <c r="G2982" s="2" t="str">
        <f>HYPERLINK("https://twitter.com/890247006005972993/status/981622584453271554")</f>
        <v>https://twitter.com/890247006005972993/status/981622584453271554</v>
      </c>
      <c r="H2982" t="s">
        <v>6062</v>
      </c>
      <c r="I2982" t="s">
        <v>688</v>
      </c>
      <c r="J2982" s="2" t="str">
        <f>HYPERLINK("http://twitter.com/ant6661233")</f>
        <v>http://twitter.com/ant6661233</v>
      </c>
      <c r="K2982">
        <v>32</v>
      </c>
      <c r="N2982" t="s">
        <v>7</v>
      </c>
      <c r="R2982" t="s">
        <v>6067</v>
      </c>
    </row>
    <row r="2983" spans="1:19" ht="14.25" customHeight="1" x14ac:dyDescent="0.3">
      <c r="A2983" t="s">
        <v>3527</v>
      </c>
      <c r="B2983" t="s">
        <v>2659</v>
      </c>
      <c r="C2983" t="s">
        <v>95</v>
      </c>
      <c r="D2983" t="s">
        <v>4</v>
      </c>
      <c r="E2983" t="s">
        <v>3687</v>
      </c>
      <c r="F2983" t="s">
        <v>6056</v>
      </c>
      <c r="G2983" s="2" t="str">
        <f>HYPERLINK("https://twitter.com/3241523151/status/980875415693811714")</f>
        <v>https://twitter.com/3241523151/status/980875415693811714</v>
      </c>
      <c r="H2983" t="s">
        <v>6062</v>
      </c>
      <c r="I2983" t="s">
        <v>3688</v>
      </c>
      <c r="J2983" s="2" t="str">
        <f>HYPERLINK("http://twitter.com/arsen0618")</f>
        <v>http://twitter.com/arsen0618</v>
      </c>
      <c r="K2983">
        <v>7</v>
      </c>
      <c r="L2983" t="s">
        <v>6063</v>
      </c>
      <c r="N2983" t="s">
        <v>7</v>
      </c>
      <c r="R2983" t="s">
        <v>6067</v>
      </c>
      <c r="S2983" t="s">
        <v>6073</v>
      </c>
    </row>
    <row r="2984" spans="1:19" ht="14.25" customHeight="1" x14ac:dyDescent="0.3">
      <c r="A2984" t="s">
        <v>3527</v>
      </c>
      <c r="B2984" t="s">
        <v>182</v>
      </c>
      <c r="C2984" t="s">
        <v>3538</v>
      </c>
      <c r="D2984" t="s">
        <v>4</v>
      </c>
      <c r="E2984" t="s">
        <v>4249</v>
      </c>
      <c r="F2984" t="s">
        <v>6056</v>
      </c>
      <c r="G2984" s="2" t="str">
        <f>HYPERLINK("https://twitter.com/217383233/status/980738139512885250")</f>
        <v>https://twitter.com/217383233/status/980738139512885250</v>
      </c>
      <c r="H2984" t="s">
        <v>6062</v>
      </c>
      <c r="I2984" t="s">
        <v>4250</v>
      </c>
      <c r="J2984" s="2" t="str">
        <f>HYPERLINK("http://twitter.com/cehebu4")</f>
        <v>http://twitter.com/cehebu4</v>
      </c>
      <c r="K2984">
        <v>32522</v>
      </c>
      <c r="N2984" t="s">
        <v>7</v>
      </c>
      <c r="R2984" t="s">
        <v>6067</v>
      </c>
      <c r="S2984" t="s">
        <v>6073</v>
      </c>
    </row>
    <row r="2985" spans="1:19" ht="14.25" customHeight="1" x14ac:dyDescent="0.3">
      <c r="A2985" t="s">
        <v>2225</v>
      </c>
      <c r="B2985" t="s">
        <v>862</v>
      </c>
      <c r="C2985" t="s">
        <v>95</v>
      </c>
      <c r="D2985" t="s">
        <v>4</v>
      </c>
      <c r="E2985" t="s">
        <v>2976</v>
      </c>
      <c r="F2985" t="s">
        <v>6056</v>
      </c>
      <c r="G2985" s="2" t="str">
        <f>HYPERLINK("https://twitter.com/386022153/status/981209378631176192")</f>
        <v>https://twitter.com/386022153/status/981209378631176192</v>
      </c>
      <c r="H2985" t="s">
        <v>6062</v>
      </c>
      <c r="I2985" t="s">
        <v>2757</v>
      </c>
      <c r="J2985" s="2" t="str">
        <f>HYPERLINK("http://twitter.com/AzovCapital")</f>
        <v>http://twitter.com/AzovCapital</v>
      </c>
      <c r="K2985">
        <v>505</v>
      </c>
      <c r="N2985" t="s">
        <v>7</v>
      </c>
      <c r="R2985" t="s">
        <v>6067</v>
      </c>
      <c r="S2985" t="s">
        <v>6073</v>
      </c>
    </row>
    <row r="2986" spans="1:19" ht="14.25" customHeight="1" x14ac:dyDescent="0.3">
      <c r="A2986" t="s">
        <v>2225</v>
      </c>
      <c r="B2986" t="s">
        <v>2970</v>
      </c>
      <c r="C2986" t="s">
        <v>95</v>
      </c>
      <c r="D2986" t="s">
        <v>4</v>
      </c>
      <c r="E2986" t="s">
        <v>2971</v>
      </c>
      <c r="F2986" t="s">
        <v>6056</v>
      </c>
      <c r="G2986" s="2" t="str">
        <f>HYPERLINK("https://twitter.com/386022153/status/981209782576173057")</f>
        <v>https://twitter.com/386022153/status/981209782576173057</v>
      </c>
      <c r="H2986" t="s">
        <v>6062</v>
      </c>
      <c r="I2986" t="s">
        <v>2757</v>
      </c>
      <c r="J2986" s="2" t="str">
        <f>HYPERLINK("http://twitter.com/AzovCapital")</f>
        <v>http://twitter.com/AzovCapital</v>
      </c>
      <c r="K2986">
        <v>505</v>
      </c>
      <c r="N2986" t="s">
        <v>7</v>
      </c>
      <c r="R2986" t="s">
        <v>6067</v>
      </c>
      <c r="S2986" t="s">
        <v>6073</v>
      </c>
    </row>
    <row r="2987" spans="1:19" ht="14.25" customHeight="1" x14ac:dyDescent="0.3">
      <c r="A2987" t="s">
        <v>2225</v>
      </c>
      <c r="B2987" t="s">
        <v>2750</v>
      </c>
      <c r="C2987" t="s">
        <v>95</v>
      </c>
      <c r="D2987" t="s">
        <v>4</v>
      </c>
      <c r="E2987" t="s">
        <v>2756</v>
      </c>
      <c r="F2987" t="s">
        <v>6056</v>
      </c>
      <c r="G2987" s="2" t="str">
        <f>HYPERLINK("https://twitter.com/386022153/status/981233450270130176")</f>
        <v>https://twitter.com/386022153/status/981233450270130176</v>
      </c>
      <c r="H2987" t="s">
        <v>6062</v>
      </c>
      <c r="I2987" t="s">
        <v>2757</v>
      </c>
      <c r="J2987" s="2" t="str">
        <f>HYPERLINK("http://twitter.com/AzovCapital")</f>
        <v>http://twitter.com/AzovCapital</v>
      </c>
      <c r="K2987">
        <v>505</v>
      </c>
      <c r="N2987" t="s">
        <v>7</v>
      </c>
      <c r="R2987" t="s">
        <v>6067</v>
      </c>
      <c r="S2987" t="s">
        <v>6073</v>
      </c>
    </row>
    <row r="2988" spans="1:19" ht="14.25" customHeight="1" x14ac:dyDescent="0.3">
      <c r="A2988" t="s">
        <v>1</v>
      </c>
      <c r="B2988" t="s">
        <v>283</v>
      </c>
      <c r="C2988" t="s">
        <v>95</v>
      </c>
      <c r="D2988" t="s">
        <v>4</v>
      </c>
      <c r="E2988" t="s">
        <v>284</v>
      </c>
      <c r="F2988" t="s">
        <v>6056</v>
      </c>
      <c r="G2988" s="2" t="str">
        <f>HYPERLINK("https://twitter.com/879907476/status/981810296762388481")</f>
        <v>https://twitter.com/879907476/status/981810296762388481</v>
      </c>
      <c r="H2988" t="s">
        <v>6062</v>
      </c>
      <c r="I2988" t="s">
        <v>36</v>
      </c>
      <c r="J2988" s="2" t="str">
        <f>HYPERLINK("http://twitter.com/BankOnlineNews")</f>
        <v>http://twitter.com/BankOnlineNews</v>
      </c>
      <c r="K2988">
        <v>46</v>
      </c>
      <c r="N2988" t="s">
        <v>7</v>
      </c>
      <c r="R2988" t="s">
        <v>6067</v>
      </c>
    </row>
    <row r="2989" spans="1:19" ht="14.25" customHeight="1" x14ac:dyDescent="0.3">
      <c r="A2989" t="s">
        <v>4439</v>
      </c>
      <c r="B2989" t="s">
        <v>3053</v>
      </c>
      <c r="C2989" t="s">
        <v>3538</v>
      </c>
      <c r="D2989" t="s">
        <v>4</v>
      </c>
      <c r="E2989" t="s">
        <v>4589</v>
      </c>
      <c r="F2989" t="s">
        <v>6056</v>
      </c>
      <c r="G2989" s="2" t="str">
        <f>HYPERLINK("https://twitter.com/885558128481382401/status/980462718753927170")</f>
        <v>https://twitter.com/885558128481382401/status/980462718753927170</v>
      </c>
      <c r="H2989" t="s">
        <v>6062</v>
      </c>
      <c r="I2989" t="s">
        <v>4590</v>
      </c>
      <c r="J2989" s="2" t="str">
        <f>HYPERLINK("http://twitter.com/BogdanInvest")</f>
        <v>http://twitter.com/BogdanInvest</v>
      </c>
      <c r="K2989">
        <v>32</v>
      </c>
      <c r="L2989" t="s">
        <v>6063</v>
      </c>
      <c r="N2989" t="s">
        <v>7</v>
      </c>
      <c r="R2989" t="s">
        <v>6067</v>
      </c>
      <c r="S2989" t="s">
        <v>6073</v>
      </c>
    </row>
    <row r="2990" spans="1:19" ht="14.25" customHeight="1" x14ac:dyDescent="0.3">
      <c r="A2990" t="s">
        <v>5409</v>
      </c>
      <c r="B2990" t="s">
        <v>5970</v>
      </c>
      <c r="C2990" t="s">
        <v>3538</v>
      </c>
      <c r="D2990" t="s">
        <v>4</v>
      </c>
      <c r="E2990" t="s">
        <v>5971</v>
      </c>
      <c r="F2990" t="s">
        <v>6056</v>
      </c>
      <c r="G2990" s="2" t="str">
        <f>HYPERLINK("https://twitter.com/2150778105/status/979557713326690307")</f>
        <v>https://twitter.com/2150778105/status/979557713326690307</v>
      </c>
      <c r="H2990" t="s">
        <v>6062</v>
      </c>
      <c r="I2990" t="s">
        <v>5972</v>
      </c>
      <c r="J2990" s="2" t="str">
        <f>HYPERLINK("http://twitter.com/omenxlipo")</f>
        <v>http://twitter.com/omenxlipo</v>
      </c>
      <c r="K2990">
        <v>2064</v>
      </c>
      <c r="N2990" t="s">
        <v>7</v>
      </c>
      <c r="R2990" t="s">
        <v>6067</v>
      </c>
    </row>
    <row r="2991" spans="1:19" ht="14.25" customHeight="1" x14ac:dyDescent="0.3">
      <c r="A2991" t="s">
        <v>5409</v>
      </c>
      <c r="B2991" t="s">
        <v>405</v>
      </c>
      <c r="C2991" t="s">
        <v>3538</v>
      </c>
      <c r="D2991" t="s">
        <v>4</v>
      </c>
      <c r="E2991" t="s">
        <v>5876</v>
      </c>
      <c r="F2991" t="s">
        <v>6056</v>
      </c>
      <c r="G2991" s="2" t="str">
        <f>HYPERLINK("https://twitter.com/55063062/status/979612750472245248")</f>
        <v>https://twitter.com/55063062/status/979612750472245248</v>
      </c>
      <c r="H2991" t="s">
        <v>6062</v>
      </c>
      <c r="I2991" t="s">
        <v>5877</v>
      </c>
      <c r="J2991" s="2" t="str">
        <f>HYPERLINK("http://twitter.com/nedis84")</f>
        <v>http://twitter.com/nedis84</v>
      </c>
      <c r="K2991">
        <v>78</v>
      </c>
      <c r="L2991" t="s">
        <v>6063</v>
      </c>
      <c r="N2991" t="s">
        <v>7</v>
      </c>
      <c r="R2991" t="s">
        <v>6067</v>
      </c>
      <c r="S2991" t="s">
        <v>6073</v>
      </c>
    </row>
    <row r="2992" spans="1:19" ht="14.25" customHeight="1" x14ac:dyDescent="0.3">
      <c r="A2992" t="s">
        <v>4439</v>
      </c>
      <c r="B2992" t="s">
        <v>2261</v>
      </c>
      <c r="C2992" t="s">
        <v>3538</v>
      </c>
      <c r="D2992" t="s">
        <v>4</v>
      </c>
      <c r="E2992" t="s">
        <v>4440</v>
      </c>
      <c r="F2992" t="s">
        <v>6056</v>
      </c>
      <c r="G2992" s="2" t="str">
        <f>HYPERLINK("https://twitter.com/450165957/status/980542075597918208")</f>
        <v>https://twitter.com/450165957/status/980542075597918208</v>
      </c>
      <c r="H2992" t="s">
        <v>6062</v>
      </c>
      <c r="I2992" t="s">
        <v>4441</v>
      </c>
      <c r="J2992" s="2" t="str">
        <f>HYPERLINK("http://twitter.com/DMatusov")</f>
        <v>http://twitter.com/DMatusov</v>
      </c>
      <c r="K2992">
        <v>106</v>
      </c>
      <c r="L2992" t="s">
        <v>6063</v>
      </c>
      <c r="N2992" t="s">
        <v>7</v>
      </c>
      <c r="R2992" t="s">
        <v>6067</v>
      </c>
      <c r="S2992" t="s">
        <v>6073</v>
      </c>
    </row>
    <row r="2993" spans="1:19" ht="14.25" customHeight="1" x14ac:dyDescent="0.3">
      <c r="A2993" t="s">
        <v>5409</v>
      </c>
      <c r="B2993" t="s">
        <v>5679</v>
      </c>
      <c r="C2993" t="s">
        <v>3538</v>
      </c>
      <c r="D2993" t="s">
        <v>4</v>
      </c>
      <c r="E2993" t="s">
        <v>5680</v>
      </c>
      <c r="F2993" t="s">
        <v>6056</v>
      </c>
      <c r="G2993" s="2" t="str">
        <f>HYPERLINK("https://twitter.com/2253455546/status/979697057865850882")</f>
        <v>https://twitter.com/2253455546/status/979697057865850882</v>
      </c>
      <c r="H2993" t="s">
        <v>6062</v>
      </c>
      <c r="I2993" t="s">
        <v>5681</v>
      </c>
      <c r="J2993" s="2" t="str">
        <f>HYPERLINK("http://twitter.com/ShevaRadio")</f>
        <v>http://twitter.com/ShevaRadio</v>
      </c>
      <c r="K2993">
        <v>177</v>
      </c>
      <c r="L2993" t="s">
        <v>6063</v>
      </c>
      <c r="N2993" t="s">
        <v>7</v>
      </c>
      <c r="R2993" t="s">
        <v>6067</v>
      </c>
      <c r="S2993" t="s">
        <v>6073</v>
      </c>
    </row>
    <row r="2994" spans="1:19" ht="14.25" customHeight="1" x14ac:dyDescent="0.3">
      <c r="A2994" t="s">
        <v>4995</v>
      </c>
      <c r="B2994" t="s">
        <v>252</v>
      </c>
      <c r="C2994" t="s">
        <v>3538</v>
      </c>
      <c r="D2994" t="s">
        <v>4</v>
      </c>
      <c r="E2994" t="s">
        <v>5259</v>
      </c>
      <c r="F2994" t="s">
        <v>6056</v>
      </c>
      <c r="G2994" s="2" t="str">
        <f>HYPERLINK("https://twitter.com/848608452985466882/status/980005323959422976")</f>
        <v>https://twitter.com/848608452985466882/status/980005323959422976</v>
      </c>
      <c r="H2994" t="s">
        <v>6062</v>
      </c>
      <c r="I2994" t="s">
        <v>5260</v>
      </c>
      <c r="J2994" s="2" t="str">
        <f>HYPERLINK("http://twitter.com/Finstatinfo")</f>
        <v>http://twitter.com/Finstatinfo</v>
      </c>
      <c r="K2994">
        <v>13</v>
      </c>
      <c r="N2994" t="s">
        <v>7</v>
      </c>
      <c r="R2994" t="s">
        <v>6067</v>
      </c>
    </row>
    <row r="2995" spans="1:19" ht="14.25" customHeight="1" x14ac:dyDescent="0.3">
      <c r="A2995" t="s">
        <v>4439</v>
      </c>
      <c r="B2995" t="s">
        <v>4900</v>
      </c>
      <c r="C2995" t="s">
        <v>3538</v>
      </c>
      <c r="D2995" t="s">
        <v>4</v>
      </c>
      <c r="E2995" t="s">
        <v>4901</v>
      </c>
      <c r="F2995" t="s">
        <v>6056</v>
      </c>
      <c r="G2995" s="2" t="str">
        <f>HYPERLINK("https://twitter.com/236414130/status/980264067586838528")</f>
        <v>https://twitter.com/236414130/status/980264067586838528</v>
      </c>
      <c r="H2995" t="s">
        <v>6062</v>
      </c>
      <c r="I2995" t="s">
        <v>4902</v>
      </c>
      <c r="J2995" s="2" t="str">
        <f>HYPERLINK("http://twitter.com/bilchikk")</f>
        <v>http://twitter.com/bilchikk</v>
      </c>
      <c r="K2995">
        <v>1221</v>
      </c>
      <c r="N2995" t="s">
        <v>7</v>
      </c>
      <c r="R2995" t="s">
        <v>6067</v>
      </c>
      <c r="S2995" t="s">
        <v>6073</v>
      </c>
    </row>
    <row r="2996" spans="1:19" ht="14.25" customHeight="1" x14ac:dyDescent="0.3">
      <c r="A2996" t="s">
        <v>1</v>
      </c>
      <c r="B2996" t="s">
        <v>365</v>
      </c>
      <c r="C2996" t="s">
        <v>95</v>
      </c>
      <c r="D2996" t="s">
        <v>4</v>
      </c>
      <c r="E2996" t="s">
        <v>366</v>
      </c>
      <c r="F2996" t="s">
        <v>6056</v>
      </c>
      <c r="G2996" s="2" t="str">
        <f>HYPERLINK("https://twitter.com/786178019467538432/status/981795535337197568")</f>
        <v>https://twitter.com/786178019467538432/status/981795535337197568</v>
      </c>
      <c r="H2996" t="s">
        <v>6062</v>
      </c>
      <c r="I2996" t="s">
        <v>367</v>
      </c>
      <c r="J2996" s="2" t="str">
        <f>HYPERLINK("http://twitter.com/KistvovkSimonov")</f>
        <v>http://twitter.com/KistvovkSimonov</v>
      </c>
      <c r="K2996">
        <v>0</v>
      </c>
      <c r="L2996" t="s">
        <v>6063</v>
      </c>
      <c r="N2996" t="s">
        <v>7</v>
      </c>
      <c r="R2996" t="s">
        <v>6067</v>
      </c>
    </row>
    <row r="2997" spans="1:19" ht="14.25" customHeight="1" x14ac:dyDescent="0.3">
      <c r="A2997" t="s">
        <v>2225</v>
      </c>
      <c r="B2997" t="s">
        <v>2217</v>
      </c>
      <c r="C2997" t="s">
        <v>95</v>
      </c>
      <c r="D2997" t="s">
        <v>4</v>
      </c>
      <c r="E2997" t="s">
        <v>3519</v>
      </c>
      <c r="F2997" t="s">
        <v>6056</v>
      </c>
      <c r="G2997" s="2" t="str">
        <f>HYPERLINK("https://twitter.com/312083490/status/980914369637879810")</f>
        <v>https://twitter.com/312083490/status/980914369637879810</v>
      </c>
      <c r="H2997" t="s">
        <v>6062</v>
      </c>
      <c r="I2997" t="s">
        <v>3506</v>
      </c>
      <c r="J2997" s="2" t="str">
        <f>HYPERLINK("http://twitter.com/Kostya_Bakay")</f>
        <v>http://twitter.com/Kostya_Bakay</v>
      </c>
      <c r="K2997">
        <v>190</v>
      </c>
      <c r="L2997" t="s">
        <v>6063</v>
      </c>
      <c r="N2997" t="s">
        <v>7</v>
      </c>
      <c r="R2997" t="s">
        <v>6067</v>
      </c>
      <c r="S2997" t="s">
        <v>6073</v>
      </c>
    </row>
    <row r="2998" spans="1:19" ht="14.25" customHeight="1" x14ac:dyDescent="0.3">
      <c r="A2998" t="s">
        <v>4439</v>
      </c>
      <c r="B2998" t="s">
        <v>396</v>
      </c>
      <c r="C2998" t="s">
        <v>3538</v>
      </c>
      <c r="D2998" t="s">
        <v>4</v>
      </c>
      <c r="E2998" t="s">
        <v>4826</v>
      </c>
      <c r="F2998" t="s">
        <v>6059</v>
      </c>
      <c r="G2998" s="2" t="str">
        <f>HYPERLINK("https://twitter.com/89804790/status/980340784129028097")</f>
        <v>https://twitter.com/89804790/status/980340784129028097</v>
      </c>
      <c r="H2998" t="s">
        <v>6062</v>
      </c>
      <c r="I2998" t="s">
        <v>4827</v>
      </c>
      <c r="J2998" s="2" t="str">
        <f>HYPERLINK("http://twitter.com/rblpx")</f>
        <v>http://twitter.com/rblpx</v>
      </c>
      <c r="K2998">
        <v>127</v>
      </c>
      <c r="N2998" t="s">
        <v>7</v>
      </c>
      <c r="R2998" t="s">
        <v>6067</v>
      </c>
    </row>
    <row r="2999" spans="1:19" ht="14.25" customHeight="1" x14ac:dyDescent="0.3">
      <c r="A2999" t="s">
        <v>1</v>
      </c>
      <c r="B2999" t="s">
        <v>296</v>
      </c>
      <c r="C2999" t="s">
        <v>95</v>
      </c>
      <c r="D2999" t="s">
        <v>4</v>
      </c>
      <c r="E2999" t="s">
        <v>297</v>
      </c>
      <c r="F2999" t="s">
        <v>6059</v>
      </c>
      <c r="G2999" s="2" t="str">
        <f>HYPERLINK("https://twitter.com/924607986240286728/status/981807773246738432")</f>
        <v>https://twitter.com/924607986240286728/status/981807773246738432</v>
      </c>
      <c r="H2999" t="s">
        <v>6062</v>
      </c>
      <c r="I2999" t="s">
        <v>39</v>
      </c>
      <c r="J2999" s="2" t="str">
        <f>HYPERLINK("http://twitter.com/monobankua")</f>
        <v>http://twitter.com/monobankua</v>
      </c>
      <c r="K2999">
        <v>1225</v>
      </c>
      <c r="N2999" t="s">
        <v>7</v>
      </c>
      <c r="R2999" t="s">
        <v>6067</v>
      </c>
      <c r="S2999" t="s">
        <v>6073</v>
      </c>
    </row>
    <row r="3000" spans="1:19" ht="14.25" customHeight="1" x14ac:dyDescent="0.3">
      <c r="A3000" t="s">
        <v>1</v>
      </c>
      <c r="B3000" t="s">
        <v>121</v>
      </c>
      <c r="C3000" t="s">
        <v>95</v>
      </c>
      <c r="D3000" t="s">
        <v>4</v>
      </c>
      <c r="E3000" t="s">
        <v>122</v>
      </c>
      <c r="F3000" t="s">
        <v>6058</v>
      </c>
      <c r="G3000" s="2" t="str">
        <f>HYPERLINK("https://twitter.com/3134881588/status/981838255699255301")</f>
        <v>https://twitter.com/3134881588/status/981838255699255301</v>
      </c>
      <c r="H3000" t="s">
        <v>6062</v>
      </c>
      <c r="I3000" t="s">
        <v>123</v>
      </c>
      <c r="J3000" s="2" t="str">
        <f>HYPERLINK("http://twitter.com/Ki1000kiMr")</f>
        <v>http://twitter.com/Ki1000kiMr</v>
      </c>
      <c r="K3000">
        <v>58</v>
      </c>
      <c r="N3000" t="s">
        <v>7</v>
      </c>
      <c r="R3000" t="s">
        <v>6067</v>
      </c>
    </row>
    <row r="3001" spans="1:19" ht="14.25" customHeight="1" x14ac:dyDescent="0.3">
      <c r="A3001" t="s">
        <v>2225</v>
      </c>
      <c r="B3001" t="s">
        <v>1059</v>
      </c>
      <c r="C3001" t="s">
        <v>95</v>
      </c>
      <c r="D3001" t="s">
        <v>4</v>
      </c>
      <c r="E3001" t="s">
        <v>3146</v>
      </c>
      <c r="F3001" t="s">
        <v>6059</v>
      </c>
      <c r="G3001" s="2" t="str">
        <f>HYPERLINK("https://twitter.com/2589761216/status/981164361916928000")</f>
        <v>https://twitter.com/2589761216/status/981164361916928000</v>
      </c>
      <c r="H3001" t="s">
        <v>6062</v>
      </c>
      <c r="I3001" t="s">
        <v>3147</v>
      </c>
      <c r="J3001" s="2" t="str">
        <f>HYPERLINK("http://twitter.com/NonameNoooname")</f>
        <v>http://twitter.com/NonameNoooname</v>
      </c>
      <c r="K3001">
        <v>85</v>
      </c>
      <c r="N3001" t="s">
        <v>7</v>
      </c>
      <c r="R3001" t="s">
        <v>6067</v>
      </c>
    </row>
    <row r="3002" spans="1:19" ht="14.25" customHeight="1" x14ac:dyDescent="0.3">
      <c r="A3002" t="s">
        <v>5409</v>
      </c>
      <c r="B3002" t="s">
        <v>5771</v>
      </c>
      <c r="C3002" t="s">
        <v>3538</v>
      </c>
      <c r="D3002" t="s">
        <v>4</v>
      </c>
      <c r="E3002" t="s">
        <v>5772</v>
      </c>
      <c r="F3002" t="s">
        <v>6056</v>
      </c>
      <c r="G3002" s="2" t="str">
        <f>HYPERLINK("https://twitter.com/489571254/status/979659081643384832")</f>
        <v>https://twitter.com/489571254/status/979659081643384832</v>
      </c>
      <c r="H3002" t="s">
        <v>6062</v>
      </c>
      <c r="I3002" t="s">
        <v>5773</v>
      </c>
      <c r="J3002" s="2" t="str">
        <f>HYPERLINK("http://twitter.com/krldmntm")</f>
        <v>http://twitter.com/krldmntm</v>
      </c>
      <c r="K3002">
        <v>176</v>
      </c>
      <c r="N3002" t="s">
        <v>7</v>
      </c>
      <c r="R3002" t="s">
        <v>6067</v>
      </c>
    </row>
    <row r="3003" spans="1:19" ht="14.25" customHeight="1" x14ac:dyDescent="0.3">
      <c r="A3003" t="s">
        <v>1</v>
      </c>
      <c r="B3003" t="s">
        <v>396</v>
      </c>
      <c r="C3003" t="s">
        <v>95</v>
      </c>
      <c r="D3003" t="s">
        <v>4</v>
      </c>
      <c r="E3003" t="s">
        <v>397</v>
      </c>
      <c r="F3003" t="s">
        <v>6059</v>
      </c>
      <c r="G3003" s="2" t="str">
        <f>HYPERLINK("https://twitter.com/176102701/status/981790455947030528")</f>
        <v>https://twitter.com/176102701/status/981790455947030528</v>
      </c>
      <c r="H3003" t="s">
        <v>6062</v>
      </c>
      <c r="I3003" t="s">
        <v>398</v>
      </c>
      <c r="J3003" s="2" t="str">
        <f>HYPERLINK("http://twitter.com/Olegpoluektov")</f>
        <v>http://twitter.com/Olegpoluektov</v>
      </c>
      <c r="K3003">
        <v>68</v>
      </c>
      <c r="L3003" t="s">
        <v>6063</v>
      </c>
      <c r="N3003" t="s">
        <v>7</v>
      </c>
      <c r="R3003" t="s">
        <v>6067</v>
      </c>
    </row>
    <row r="3004" spans="1:19" ht="14.25" customHeight="1" x14ac:dyDescent="0.3">
      <c r="A3004" t="s">
        <v>1</v>
      </c>
      <c r="B3004" t="s">
        <v>2</v>
      </c>
      <c r="C3004" t="s">
        <v>3</v>
      </c>
      <c r="D3004" t="s">
        <v>4</v>
      </c>
      <c r="E3004" t="s">
        <v>5</v>
      </c>
      <c r="F3004" t="s">
        <v>6058</v>
      </c>
      <c r="G3004" s="2" t="str">
        <f>HYPERLINK("https://twitter.com/869010212233113605/status/981872896929910784")</f>
        <v>https://twitter.com/869010212233113605/status/981872896929910784</v>
      </c>
      <c r="H3004" t="s">
        <v>6062</v>
      </c>
      <c r="I3004" t="s">
        <v>6</v>
      </c>
      <c r="J3004" s="2" t="str">
        <f>HYPERLINK("http://twitter.com/oleksii_burdiuk")</f>
        <v>http://twitter.com/oleksii_burdiuk</v>
      </c>
      <c r="K3004">
        <v>466</v>
      </c>
      <c r="L3004" t="s">
        <v>6063</v>
      </c>
      <c r="N3004" t="s">
        <v>7</v>
      </c>
      <c r="O3004" t="s">
        <v>4</v>
      </c>
      <c r="P3004" t="s">
        <v>4</v>
      </c>
      <c r="R3004" t="s">
        <v>6067</v>
      </c>
      <c r="S3004" t="s">
        <v>6073</v>
      </c>
    </row>
    <row r="3005" spans="1:19" ht="14.25" customHeight="1" x14ac:dyDescent="0.3">
      <c r="A3005" t="s">
        <v>2225</v>
      </c>
      <c r="B3005" t="s">
        <v>2998</v>
      </c>
      <c r="C3005" t="s">
        <v>95</v>
      </c>
      <c r="D3005" t="s">
        <v>4</v>
      </c>
      <c r="E3005" t="s">
        <v>3000</v>
      </c>
      <c r="F3005" t="s">
        <v>6056</v>
      </c>
      <c r="G3005" s="2" t="str">
        <f>HYPERLINK("https://twitter.com/3165334647/status/981206234945806337")</f>
        <v>https://twitter.com/3165334647/status/981206234945806337</v>
      </c>
      <c r="H3005" t="s">
        <v>6062</v>
      </c>
      <c r="I3005" t="s">
        <v>3001</v>
      </c>
      <c r="J3005" s="2" t="str">
        <f>HYPERLINK("http://twitter.com/Red_Line_TV")</f>
        <v>http://twitter.com/Red_Line_TV</v>
      </c>
      <c r="K3005">
        <v>589</v>
      </c>
      <c r="N3005" t="s">
        <v>7</v>
      </c>
      <c r="R3005" t="s">
        <v>6067</v>
      </c>
    </row>
    <row r="3006" spans="1:19" ht="14.25" customHeight="1" x14ac:dyDescent="0.3">
      <c r="A3006" t="s">
        <v>4439</v>
      </c>
      <c r="B3006" t="s">
        <v>1932</v>
      </c>
      <c r="C3006" t="s">
        <v>3538</v>
      </c>
      <c r="D3006" t="s">
        <v>4</v>
      </c>
      <c r="E3006" t="s">
        <v>4851</v>
      </c>
      <c r="F3006" t="s">
        <v>6056</v>
      </c>
      <c r="G3006" s="2" t="str">
        <f>HYPERLINK("https://twitter.com/1390014176/status/980324998693969920")</f>
        <v>https://twitter.com/1390014176/status/980324998693969920</v>
      </c>
      <c r="H3006" t="s">
        <v>6062</v>
      </c>
      <c r="I3006" t="s">
        <v>4852</v>
      </c>
      <c r="J3006" s="2" t="str">
        <f>HYPERLINK("http://twitter.com/romanpavlyk1990")</f>
        <v>http://twitter.com/romanpavlyk1990</v>
      </c>
      <c r="K3006">
        <v>9</v>
      </c>
      <c r="N3006" t="s">
        <v>7</v>
      </c>
      <c r="R3006" t="s">
        <v>6067</v>
      </c>
      <c r="S3006" t="s">
        <v>6073</v>
      </c>
    </row>
    <row r="3007" spans="1:19" ht="14.25" customHeight="1" x14ac:dyDescent="0.3">
      <c r="A3007" t="s">
        <v>1</v>
      </c>
      <c r="B3007" t="s">
        <v>332</v>
      </c>
      <c r="C3007" t="s">
        <v>95</v>
      </c>
      <c r="D3007" t="s">
        <v>4</v>
      </c>
      <c r="E3007" t="s">
        <v>336</v>
      </c>
      <c r="F3007" t="s">
        <v>6059</v>
      </c>
      <c r="G3007" s="2" t="str">
        <f>HYPERLINK("https://twitter.com/90137643/status/981804280897302528")</f>
        <v>https://twitter.com/90137643/status/981804280897302528</v>
      </c>
      <c r="H3007" t="s">
        <v>6062</v>
      </c>
      <c r="I3007" t="s">
        <v>337</v>
      </c>
      <c r="J3007" s="2" t="str">
        <f>HYPERLINK("http://twitter.com/capt_vimes")</f>
        <v>http://twitter.com/capt_vimes</v>
      </c>
      <c r="K3007">
        <v>626</v>
      </c>
      <c r="L3007" t="s">
        <v>6063</v>
      </c>
      <c r="N3007" t="s">
        <v>7</v>
      </c>
      <c r="R3007" t="s">
        <v>6067</v>
      </c>
      <c r="S3007" t="s">
        <v>6073</v>
      </c>
    </row>
    <row r="3008" spans="1:19" ht="14.25" customHeight="1" x14ac:dyDescent="0.3">
      <c r="A3008" t="s">
        <v>2225</v>
      </c>
      <c r="B3008" t="s">
        <v>3456</v>
      </c>
      <c r="C3008" t="s">
        <v>95</v>
      </c>
      <c r="D3008" t="s">
        <v>4</v>
      </c>
      <c r="E3008" t="s">
        <v>3457</v>
      </c>
      <c r="F3008" t="s">
        <v>6058</v>
      </c>
      <c r="G3008" s="2" t="str">
        <f>HYPERLINK("https://twitter.com/2531613214/status/981029245232263168")</f>
        <v>https://twitter.com/2531613214/status/981029245232263168</v>
      </c>
      <c r="H3008" t="s">
        <v>6062</v>
      </c>
      <c r="I3008" t="s">
        <v>3458</v>
      </c>
      <c r="J3008" s="2" t="str">
        <f>HYPERLINK("http://twitter.com/grek_sergey")</f>
        <v>http://twitter.com/grek_sergey</v>
      </c>
      <c r="K3008">
        <v>79</v>
      </c>
      <c r="L3008" t="s">
        <v>6063</v>
      </c>
      <c r="N3008" t="s">
        <v>7</v>
      </c>
      <c r="R3008" t="s">
        <v>6067</v>
      </c>
    </row>
    <row r="3009" spans="1:19" ht="14.25" customHeight="1" x14ac:dyDescent="0.3">
      <c r="A3009" t="s">
        <v>4439</v>
      </c>
      <c r="B3009" t="s">
        <v>2287</v>
      </c>
      <c r="C3009" t="s">
        <v>3538</v>
      </c>
      <c r="D3009" t="s">
        <v>4</v>
      </c>
      <c r="E3009" t="s">
        <v>4453</v>
      </c>
      <c r="F3009" t="s">
        <v>6056</v>
      </c>
      <c r="G3009" s="2" t="str">
        <f>HYPERLINK("https://twitter.com/942493745055969280/status/980533706132779009")</f>
        <v>https://twitter.com/942493745055969280/status/980533706132779009</v>
      </c>
      <c r="H3009" t="s">
        <v>6062</v>
      </c>
      <c r="I3009" t="s">
        <v>4454</v>
      </c>
      <c r="J3009" s="2" t="str">
        <f>HYPERLINK("http://twitter.com/govshevel")</f>
        <v>http://twitter.com/govshevel</v>
      </c>
      <c r="K3009">
        <v>4778</v>
      </c>
      <c r="N3009" t="s">
        <v>7</v>
      </c>
      <c r="R3009" t="s">
        <v>6067</v>
      </c>
      <c r="S3009" t="s">
        <v>6073</v>
      </c>
    </row>
    <row r="3010" spans="1:19" ht="14.25" customHeight="1" x14ac:dyDescent="0.3">
      <c r="A3010" t="s">
        <v>2225</v>
      </c>
      <c r="B3010" t="s">
        <v>1722</v>
      </c>
      <c r="C3010" t="s">
        <v>95</v>
      </c>
      <c r="D3010" t="s">
        <v>4</v>
      </c>
      <c r="E3010" t="s">
        <v>3422</v>
      </c>
      <c r="F3010" t="s">
        <v>6059</v>
      </c>
      <c r="G3010" s="2" t="str">
        <f>HYPERLINK("https://twitter.com/122351357/status/981064134916739072")</f>
        <v>https://twitter.com/122351357/status/981064134916739072</v>
      </c>
      <c r="H3010" t="s">
        <v>6062</v>
      </c>
      <c r="I3010" t="s">
        <v>3423</v>
      </c>
      <c r="J3010" s="2" t="str">
        <f>HYPERLINK("http://twitter.com/james_ua")</f>
        <v>http://twitter.com/james_ua</v>
      </c>
      <c r="K3010">
        <v>135</v>
      </c>
      <c r="L3010" t="s">
        <v>6063</v>
      </c>
      <c r="N3010" t="s">
        <v>7</v>
      </c>
      <c r="R3010" t="s">
        <v>6067</v>
      </c>
      <c r="S3010" t="s">
        <v>6073</v>
      </c>
    </row>
    <row r="3011" spans="1:19" ht="14.25" customHeight="1" x14ac:dyDescent="0.3">
      <c r="A3011" t="s">
        <v>1</v>
      </c>
      <c r="B3011" t="s">
        <v>126</v>
      </c>
      <c r="C3011" t="s">
        <v>95</v>
      </c>
      <c r="D3011" t="s">
        <v>4</v>
      </c>
      <c r="E3011" t="s">
        <v>127</v>
      </c>
      <c r="F3011" t="s">
        <v>6059</v>
      </c>
      <c r="G3011" s="2" t="str">
        <f>HYPERLINK("https://twitter.com/19286196/status/981836577449103360")</f>
        <v>https://twitter.com/19286196/status/981836577449103360</v>
      </c>
      <c r="H3011" t="s">
        <v>6062</v>
      </c>
      <c r="I3011" t="s">
        <v>128</v>
      </c>
      <c r="J3011" s="2" t="str">
        <f>HYPERLINK("http://twitter.com/pinartra")</f>
        <v>http://twitter.com/pinartra</v>
      </c>
      <c r="K3011">
        <v>192</v>
      </c>
      <c r="N3011" t="s">
        <v>7</v>
      </c>
      <c r="R3011" t="s">
        <v>6067</v>
      </c>
    </row>
    <row r="3012" spans="1:19" ht="14.25" customHeight="1" x14ac:dyDescent="0.3">
      <c r="A3012" t="s">
        <v>4439</v>
      </c>
      <c r="B3012" t="s">
        <v>1158</v>
      </c>
      <c r="C3012" t="s">
        <v>3538</v>
      </c>
      <c r="D3012" t="s">
        <v>4</v>
      </c>
      <c r="E3012" t="s">
        <v>3457</v>
      </c>
      <c r="F3012" t="s">
        <v>6058</v>
      </c>
      <c r="G3012" s="2" t="str">
        <f>HYPERLINK("https://twitter.com/2607498630/status/980424266935164928")</f>
        <v>https://twitter.com/2607498630/status/980424266935164928</v>
      </c>
      <c r="H3012" t="s">
        <v>6062</v>
      </c>
      <c r="I3012" t="s">
        <v>4640</v>
      </c>
      <c r="J3012" s="2" t="str">
        <f>HYPERLINK("http://twitter.com/svbts")</f>
        <v>http://twitter.com/svbts</v>
      </c>
      <c r="K3012">
        <v>4</v>
      </c>
      <c r="N3012" t="s">
        <v>7</v>
      </c>
      <c r="R3012" t="s">
        <v>6067</v>
      </c>
    </row>
    <row r="3013" spans="1:19" ht="14.25" customHeight="1" x14ac:dyDescent="0.3">
      <c r="A3013" t="s">
        <v>3527</v>
      </c>
      <c r="B3013" t="s">
        <v>959</v>
      </c>
      <c r="C3013" t="s">
        <v>95</v>
      </c>
      <c r="D3013" t="s">
        <v>4</v>
      </c>
      <c r="E3013" t="s">
        <v>3984</v>
      </c>
      <c r="F3013" t="s">
        <v>6059</v>
      </c>
      <c r="G3013" s="2" t="str">
        <f>HYPERLINK("https://twitter.com/4434105075/status/980821626559385600")</f>
        <v>https://twitter.com/4434105075/status/980821626559385600</v>
      </c>
      <c r="H3013" t="s">
        <v>6062</v>
      </c>
      <c r="I3013" t="s">
        <v>3985</v>
      </c>
      <c r="J3013" s="2" t="str">
        <f>HYPERLINK("http://twitter.com/LeonClover")</f>
        <v>http://twitter.com/LeonClover</v>
      </c>
      <c r="K3013">
        <v>399</v>
      </c>
      <c r="N3013" t="s">
        <v>7</v>
      </c>
      <c r="R3013" t="s">
        <v>6067</v>
      </c>
      <c r="S3013" t="s">
        <v>6073</v>
      </c>
    </row>
    <row r="3014" spans="1:19" ht="14.25" customHeight="1" x14ac:dyDescent="0.3">
      <c r="A3014" t="s">
        <v>4439</v>
      </c>
      <c r="B3014" t="s">
        <v>3839</v>
      </c>
      <c r="C3014" t="s">
        <v>3538</v>
      </c>
      <c r="D3014" t="s">
        <v>4</v>
      </c>
      <c r="E3014" t="s">
        <v>4547</v>
      </c>
      <c r="F3014" t="s">
        <v>6056</v>
      </c>
      <c r="G3014" s="2" t="str">
        <f>HYPERLINK("https://twitter.com/288770950/status/980486848110907397")</f>
        <v>https://twitter.com/288770950/status/980486848110907397</v>
      </c>
      <c r="H3014" t="s">
        <v>6062</v>
      </c>
      <c r="I3014" t="s">
        <v>4548</v>
      </c>
      <c r="J3014" s="2" t="str">
        <f>HYPERLINK("http://twitter.com/draleck")</f>
        <v>http://twitter.com/draleck</v>
      </c>
      <c r="K3014">
        <v>55</v>
      </c>
      <c r="L3014" t="s">
        <v>6063</v>
      </c>
      <c r="N3014" t="s">
        <v>7</v>
      </c>
      <c r="R3014" t="s">
        <v>6067</v>
      </c>
      <c r="S3014" t="s">
        <v>6073</v>
      </c>
    </row>
    <row r="3015" spans="1:19" ht="14.25" customHeight="1" x14ac:dyDescent="0.3">
      <c r="A3015" t="s">
        <v>4439</v>
      </c>
      <c r="B3015" t="s">
        <v>3343</v>
      </c>
      <c r="C3015" t="s">
        <v>3538</v>
      </c>
      <c r="D3015" t="s">
        <v>4</v>
      </c>
      <c r="E3015" t="s">
        <v>4753</v>
      </c>
      <c r="F3015" t="s">
        <v>6058</v>
      </c>
      <c r="G3015" s="2" t="str">
        <f>HYPERLINK("https://twitter.com/1017316309/status/980365944936640512")</f>
        <v>https://twitter.com/1017316309/status/980365944936640512</v>
      </c>
      <c r="H3015" t="s">
        <v>6062</v>
      </c>
      <c r="I3015" t="s">
        <v>4754</v>
      </c>
      <c r="J3015" s="2" t="str">
        <f>HYPERLINK("http://twitter.com/vvinnik84")</f>
        <v>http://twitter.com/vvinnik84</v>
      </c>
      <c r="K3015">
        <v>106</v>
      </c>
      <c r="L3015" t="s">
        <v>6063</v>
      </c>
      <c r="N3015" t="s">
        <v>7</v>
      </c>
      <c r="R3015" t="s">
        <v>6067</v>
      </c>
    </row>
    <row r="3016" spans="1:19" ht="14.25" customHeight="1" x14ac:dyDescent="0.3">
      <c r="A3016" t="s">
        <v>2225</v>
      </c>
      <c r="B3016" t="s">
        <v>1332</v>
      </c>
      <c r="C3016" t="s">
        <v>95</v>
      </c>
      <c r="D3016" t="s">
        <v>4</v>
      </c>
      <c r="E3016" t="s">
        <v>3226</v>
      </c>
      <c r="F3016" t="s">
        <v>6056</v>
      </c>
      <c r="G3016" s="2" t="str">
        <f>HYPERLINK("https://twitter.com/38110333/status/981133325950685184")</f>
        <v>https://twitter.com/38110333/status/981133325950685184</v>
      </c>
      <c r="H3016" t="s">
        <v>6062</v>
      </c>
      <c r="I3016" t="s">
        <v>3016</v>
      </c>
      <c r="J3016" s="2" t="str">
        <f>HYPERLINK("http://twitter.com/tvgx")</f>
        <v>http://twitter.com/tvgx</v>
      </c>
      <c r="K3016">
        <v>706</v>
      </c>
      <c r="L3016" t="s">
        <v>6063</v>
      </c>
      <c r="N3016" t="s">
        <v>7</v>
      </c>
      <c r="R3016" t="s">
        <v>6067</v>
      </c>
      <c r="S3016" t="s">
        <v>6073</v>
      </c>
    </row>
    <row r="3017" spans="1:19" ht="14.25" customHeight="1" x14ac:dyDescent="0.3">
      <c r="A3017" t="s">
        <v>2225</v>
      </c>
      <c r="B3017" t="s">
        <v>3227</v>
      </c>
      <c r="C3017" t="s">
        <v>95</v>
      </c>
      <c r="D3017" t="s">
        <v>4</v>
      </c>
      <c r="E3017" t="s">
        <v>3228</v>
      </c>
      <c r="F3017" t="s">
        <v>6056</v>
      </c>
      <c r="G3017" s="2" t="str">
        <f>HYPERLINK("https://twitter.com/38110333/status/981133008819417089")</f>
        <v>https://twitter.com/38110333/status/981133008819417089</v>
      </c>
      <c r="H3017" t="s">
        <v>6062</v>
      </c>
      <c r="I3017" t="s">
        <v>3016</v>
      </c>
      <c r="J3017" s="2" t="str">
        <f>HYPERLINK("http://twitter.com/tvgx")</f>
        <v>http://twitter.com/tvgx</v>
      </c>
      <c r="K3017">
        <v>706</v>
      </c>
      <c r="L3017" t="s">
        <v>6063</v>
      </c>
      <c r="N3017" t="s">
        <v>7</v>
      </c>
      <c r="R3017" t="s">
        <v>6067</v>
      </c>
      <c r="S3017" t="s">
        <v>6073</v>
      </c>
    </row>
    <row r="3018" spans="1:19" ht="14.25" customHeight="1" x14ac:dyDescent="0.3">
      <c r="A3018" t="s">
        <v>2225</v>
      </c>
      <c r="B3018" t="s">
        <v>3014</v>
      </c>
      <c r="C3018" t="s">
        <v>95</v>
      </c>
      <c r="D3018" t="s">
        <v>4</v>
      </c>
      <c r="E3018" t="s">
        <v>3015</v>
      </c>
      <c r="F3018" t="s">
        <v>6056</v>
      </c>
      <c r="G3018" s="2" t="str">
        <f>HYPERLINK("https://twitter.com/38110333/status/981200288676831239")</f>
        <v>https://twitter.com/38110333/status/981200288676831239</v>
      </c>
      <c r="H3018" t="s">
        <v>6062</v>
      </c>
      <c r="I3018" t="s">
        <v>3016</v>
      </c>
      <c r="J3018" s="2" t="str">
        <f>HYPERLINK("http://twitter.com/tvgx")</f>
        <v>http://twitter.com/tvgx</v>
      </c>
      <c r="K3018">
        <v>706</v>
      </c>
      <c r="L3018" t="s">
        <v>6063</v>
      </c>
      <c r="N3018" t="s">
        <v>7</v>
      </c>
      <c r="R3018" t="s">
        <v>6067</v>
      </c>
      <c r="S3018" t="s">
        <v>6073</v>
      </c>
    </row>
    <row r="3019" spans="1:19" ht="14.25" customHeight="1" x14ac:dyDescent="0.3">
      <c r="A3019" t="s">
        <v>5409</v>
      </c>
      <c r="B3019" t="s">
        <v>4013</v>
      </c>
      <c r="C3019" t="s">
        <v>3538</v>
      </c>
      <c r="D3019" t="s">
        <v>4</v>
      </c>
      <c r="E3019" t="s">
        <v>3610</v>
      </c>
      <c r="F3019" t="s">
        <v>6056</v>
      </c>
      <c r="G3019" s="2" t="str">
        <f>HYPERLINK("https://twitter.com/140928902/status/979729205549322240")</f>
        <v>https://twitter.com/140928902/status/979729205549322240</v>
      </c>
      <c r="H3019" t="s">
        <v>6062</v>
      </c>
      <c r="I3019" t="s">
        <v>5598</v>
      </c>
      <c r="J3019" s="2" t="str">
        <f>HYPERLINK("http://twitter.com/weblancer_net")</f>
        <v>http://twitter.com/weblancer_net</v>
      </c>
      <c r="K3019">
        <v>2124</v>
      </c>
      <c r="N3019" t="s">
        <v>7</v>
      </c>
      <c r="R3019" t="s">
        <v>6067</v>
      </c>
      <c r="S3019" t="s">
        <v>6073</v>
      </c>
    </row>
    <row r="3020" spans="1:19" ht="14.25" customHeight="1" x14ac:dyDescent="0.3">
      <c r="A3020" t="s">
        <v>2225</v>
      </c>
      <c r="B3020" t="s">
        <v>1253</v>
      </c>
      <c r="C3020" t="s">
        <v>95</v>
      </c>
      <c r="D3020" t="s">
        <v>4</v>
      </c>
      <c r="E3020" t="s">
        <v>3189</v>
      </c>
      <c r="F3020" t="s">
        <v>6056</v>
      </c>
      <c r="G3020" s="2" t="str">
        <f>HYPERLINK("https://twitter.com/979279937386565632/status/981142483299192833")</f>
        <v>https://twitter.com/979279937386565632/status/981142483299192833</v>
      </c>
      <c r="H3020" t="s">
        <v>6062</v>
      </c>
      <c r="I3020" t="s">
        <v>3190</v>
      </c>
      <c r="J3020" s="2" t="str">
        <f>HYPERLINK("http://twitter.com/6BRQbW1tnBpRYbV")</f>
        <v>http://twitter.com/6BRQbW1tnBpRYbV</v>
      </c>
      <c r="K3020">
        <v>1</v>
      </c>
      <c r="L3020" t="s">
        <v>6063</v>
      </c>
      <c r="N3020" t="s">
        <v>7</v>
      </c>
      <c r="R3020" t="s">
        <v>6067</v>
      </c>
      <c r="S3020" t="s">
        <v>6073</v>
      </c>
    </row>
    <row r="3021" spans="1:19" ht="14.25" customHeight="1" x14ac:dyDescent="0.3">
      <c r="A3021" t="s">
        <v>2225</v>
      </c>
      <c r="B3021" t="s">
        <v>3060</v>
      </c>
      <c r="C3021" t="s">
        <v>95</v>
      </c>
      <c r="D3021" t="s">
        <v>4</v>
      </c>
      <c r="E3021" t="s">
        <v>3061</v>
      </c>
      <c r="F3021" t="s">
        <v>6056</v>
      </c>
      <c r="G3021" s="2" t="str">
        <f>HYPERLINK("https://twitter.com/37876560/status/981186518688714754")</f>
        <v>https://twitter.com/37876560/status/981186518688714754</v>
      </c>
      <c r="H3021" t="s">
        <v>6062</v>
      </c>
      <c r="I3021" t="s">
        <v>2604</v>
      </c>
      <c r="J3021" s="2" t="str">
        <f>HYPERLINK("http://twitter.com/victorkolomiets")</f>
        <v>http://twitter.com/victorkolomiets</v>
      </c>
      <c r="K3021">
        <v>357</v>
      </c>
      <c r="L3021" t="s">
        <v>6063</v>
      </c>
      <c r="N3021" t="s">
        <v>7</v>
      </c>
      <c r="R3021" t="s">
        <v>6067</v>
      </c>
      <c r="S3021" t="s">
        <v>6073</v>
      </c>
    </row>
    <row r="3022" spans="1:19" ht="14.25" customHeight="1" x14ac:dyDescent="0.3">
      <c r="A3022" t="s">
        <v>629</v>
      </c>
      <c r="B3022" t="s">
        <v>1219</v>
      </c>
      <c r="C3022" t="s">
        <v>95</v>
      </c>
      <c r="D3022" t="s">
        <v>4</v>
      </c>
      <c r="E3022" t="s">
        <v>1220</v>
      </c>
      <c r="F3022" t="s">
        <v>6059</v>
      </c>
      <c r="G3022" s="2" t="str">
        <f>HYPERLINK("https://twitter.com/1941733051/status/981506751769038848")</f>
        <v>https://twitter.com/1941733051/status/981506751769038848</v>
      </c>
      <c r="H3022" t="s">
        <v>6062</v>
      </c>
      <c r="I3022" t="s">
        <v>1221</v>
      </c>
      <c r="J3022" s="2" t="str">
        <f>HYPERLINK("http://twitter.com/dynortice")</f>
        <v>http://twitter.com/dynortice</v>
      </c>
      <c r="K3022">
        <v>4</v>
      </c>
      <c r="L3022" t="s">
        <v>6063</v>
      </c>
      <c r="N3022" t="s">
        <v>7</v>
      </c>
      <c r="R3022" t="s">
        <v>6067</v>
      </c>
      <c r="S3022" t="s">
        <v>6073</v>
      </c>
    </row>
    <row r="3023" spans="1:19" ht="14.25" customHeight="1" x14ac:dyDescent="0.3">
      <c r="A3023" t="s">
        <v>2225</v>
      </c>
      <c r="B3023" t="s">
        <v>3172</v>
      </c>
      <c r="C3023" t="s">
        <v>95</v>
      </c>
      <c r="D3023" t="s">
        <v>4</v>
      </c>
      <c r="E3023" t="s">
        <v>3173</v>
      </c>
      <c r="F3023" t="s">
        <v>6056</v>
      </c>
      <c r="G3023" s="2" t="str">
        <f>HYPERLINK("https://twitter.com/918542370/status/981153268331155456")</f>
        <v>https://twitter.com/918542370/status/981153268331155456</v>
      </c>
      <c r="H3023" t="s">
        <v>6062</v>
      </c>
      <c r="I3023" t="s">
        <v>3174</v>
      </c>
      <c r="J3023" s="2" t="str">
        <f>HYPERLINK("http://twitter.com/vovatish")</f>
        <v>http://twitter.com/vovatish</v>
      </c>
      <c r="K3023">
        <v>396</v>
      </c>
      <c r="L3023" t="s">
        <v>6063</v>
      </c>
      <c r="N3023" t="s">
        <v>7</v>
      </c>
      <c r="R3023" t="s">
        <v>6067</v>
      </c>
    </row>
    <row r="3024" spans="1:19" ht="14.25" customHeight="1" x14ac:dyDescent="0.3">
      <c r="A3024" t="s">
        <v>2225</v>
      </c>
      <c r="B3024" t="s">
        <v>43</v>
      </c>
      <c r="C3024" t="s">
        <v>95</v>
      </c>
      <c r="D3024" t="s">
        <v>4</v>
      </c>
      <c r="E3024" t="s">
        <v>3217</v>
      </c>
      <c r="F3024" t="s">
        <v>6056</v>
      </c>
      <c r="G3024" s="2" t="str">
        <f>HYPERLINK("https://twitter.com/205886563/status/981138229700243458")</f>
        <v>https://twitter.com/205886563/status/981138229700243458</v>
      </c>
      <c r="H3024" t="s">
        <v>6062</v>
      </c>
      <c r="I3024" t="s">
        <v>3218</v>
      </c>
      <c r="J3024" s="2" t="str">
        <f>HYPERLINK("http://twitter.com/vo0ne")</f>
        <v>http://twitter.com/vo0ne</v>
      </c>
      <c r="K3024">
        <v>148</v>
      </c>
      <c r="N3024" t="s">
        <v>7</v>
      </c>
      <c r="R3024" t="s">
        <v>6067</v>
      </c>
    </row>
    <row r="3025" spans="1:19" ht="14.25" customHeight="1" x14ac:dyDescent="0.3">
      <c r="A3025" t="s">
        <v>1</v>
      </c>
      <c r="B3025" t="s">
        <v>54</v>
      </c>
      <c r="C3025" t="s">
        <v>55</v>
      </c>
      <c r="D3025" t="s">
        <v>4</v>
      </c>
      <c r="E3025" t="s">
        <v>5</v>
      </c>
      <c r="F3025" t="s">
        <v>6058</v>
      </c>
      <c r="G3025" s="2" t="str">
        <f>HYPERLINK("https://twitter.com/362348579/status/981860220082315264")</f>
        <v>https://twitter.com/362348579/status/981860220082315264</v>
      </c>
      <c r="H3025" t="s">
        <v>6062</v>
      </c>
      <c r="I3025" t="s">
        <v>56</v>
      </c>
      <c r="J3025" s="2" t="str">
        <f>HYPERLINK("http://twitter.com/artem8537")</f>
        <v>http://twitter.com/artem8537</v>
      </c>
      <c r="K3025">
        <v>1204</v>
      </c>
      <c r="N3025" t="s">
        <v>7</v>
      </c>
      <c r="O3025" t="s">
        <v>4</v>
      </c>
      <c r="P3025" t="s">
        <v>4</v>
      </c>
      <c r="R3025" t="s">
        <v>6067</v>
      </c>
      <c r="S3025" t="s">
        <v>6073</v>
      </c>
    </row>
    <row r="3026" spans="1:19" ht="14.25" customHeight="1" x14ac:dyDescent="0.3">
      <c r="A3026" t="s">
        <v>2225</v>
      </c>
      <c r="B3026" t="s">
        <v>1020</v>
      </c>
      <c r="C3026" t="s">
        <v>95</v>
      </c>
      <c r="D3026" t="s">
        <v>4</v>
      </c>
      <c r="E3026" t="s">
        <v>3104</v>
      </c>
      <c r="F3026" t="s">
        <v>6059</v>
      </c>
      <c r="G3026" s="2" t="str">
        <f>HYPERLINK("https://twitter.com/1033234230/status/981169556252065798")</f>
        <v>https://twitter.com/1033234230/status/981169556252065798</v>
      </c>
      <c r="H3026" t="s">
        <v>6062</v>
      </c>
      <c r="I3026" t="s">
        <v>3105</v>
      </c>
      <c r="J3026" s="2" t="str">
        <f>HYPERLINK("http://twitter.com/doorachka")</f>
        <v>http://twitter.com/doorachka</v>
      </c>
      <c r="K3026">
        <v>827</v>
      </c>
      <c r="N3026" t="s">
        <v>7</v>
      </c>
      <c r="R3026" t="s">
        <v>6067</v>
      </c>
      <c r="S3026" t="s">
        <v>6073</v>
      </c>
    </row>
    <row r="3027" spans="1:19" ht="14.25" customHeight="1" x14ac:dyDescent="0.3">
      <c r="A3027" t="s">
        <v>4439</v>
      </c>
      <c r="B3027" t="s">
        <v>422</v>
      </c>
      <c r="C3027" t="s">
        <v>3538</v>
      </c>
      <c r="D3027" t="s">
        <v>4</v>
      </c>
      <c r="E3027" t="s">
        <v>4839</v>
      </c>
      <c r="F3027" t="s">
        <v>6059</v>
      </c>
      <c r="G3027" s="2" t="str">
        <f>HYPERLINK("https://twitter.com/112199992/status/980332039193923584")</f>
        <v>https://twitter.com/112199992/status/980332039193923584</v>
      </c>
      <c r="H3027" t="s">
        <v>6062</v>
      </c>
      <c r="I3027" t="s">
        <v>4840</v>
      </c>
      <c r="J3027" s="2" t="str">
        <f>HYPERLINK("http://twitter.com/ddya_sasha")</f>
        <v>http://twitter.com/ddya_sasha</v>
      </c>
      <c r="K3027">
        <v>10935</v>
      </c>
      <c r="L3027" t="s">
        <v>6063</v>
      </c>
      <c r="N3027" t="s">
        <v>7</v>
      </c>
      <c r="R3027" t="s">
        <v>6067</v>
      </c>
      <c r="S3027" t="s">
        <v>6073</v>
      </c>
    </row>
    <row r="3028" spans="1:19" ht="14.25" customHeight="1" x14ac:dyDescent="0.3">
      <c r="A3028" t="s">
        <v>4439</v>
      </c>
      <c r="B3028" t="s">
        <v>4841</v>
      </c>
      <c r="C3028" t="s">
        <v>3538</v>
      </c>
      <c r="D3028" t="s">
        <v>4</v>
      </c>
      <c r="E3028" t="s">
        <v>3457</v>
      </c>
      <c r="F3028" t="s">
        <v>6056</v>
      </c>
      <c r="G3028" s="2" t="str">
        <f>HYPERLINK("https://twitter.com/112199992/status/980330945810137088")</f>
        <v>https://twitter.com/112199992/status/980330945810137088</v>
      </c>
      <c r="H3028" t="s">
        <v>6062</v>
      </c>
      <c r="I3028" t="s">
        <v>4840</v>
      </c>
      <c r="J3028" s="2" t="str">
        <f>HYPERLINK("http://twitter.com/ddya_sasha")</f>
        <v>http://twitter.com/ddya_sasha</v>
      </c>
      <c r="K3028">
        <v>10935</v>
      </c>
      <c r="L3028" t="s">
        <v>6063</v>
      </c>
      <c r="N3028" t="s">
        <v>7</v>
      </c>
      <c r="R3028" t="s">
        <v>6067</v>
      </c>
      <c r="S3028" t="s">
        <v>6073</v>
      </c>
    </row>
    <row r="3029" spans="1:19" ht="14.25" customHeight="1" x14ac:dyDescent="0.3">
      <c r="A3029" t="s">
        <v>1</v>
      </c>
      <c r="B3029" t="s">
        <v>324</v>
      </c>
      <c r="C3029" t="s">
        <v>95</v>
      </c>
      <c r="D3029" t="s">
        <v>4</v>
      </c>
      <c r="E3029" t="s">
        <v>326</v>
      </c>
      <c r="F3029" t="s">
        <v>6056</v>
      </c>
      <c r="G3029" s="2" t="str">
        <f>HYPERLINK("https://twitter.com/4267740904/status/981804768174706689")</f>
        <v>https://twitter.com/4267740904/status/981804768174706689</v>
      </c>
      <c r="H3029" t="s">
        <v>6062</v>
      </c>
      <c r="I3029" t="s">
        <v>327</v>
      </c>
      <c r="J3029" s="2" t="str">
        <f>HYPERLINK("http://twitter.com/ReflectMaterial")</f>
        <v>http://twitter.com/ReflectMaterial</v>
      </c>
      <c r="K3029">
        <v>143</v>
      </c>
      <c r="N3029" t="s">
        <v>7</v>
      </c>
      <c r="R3029" t="s">
        <v>6067</v>
      </c>
      <c r="S3029" t="s">
        <v>6073</v>
      </c>
    </row>
    <row r="3030" spans="1:19" ht="14.25" customHeight="1" x14ac:dyDescent="0.3">
      <c r="A3030" t="s">
        <v>1</v>
      </c>
      <c r="B3030" t="s">
        <v>332</v>
      </c>
      <c r="C3030" t="s">
        <v>95</v>
      </c>
      <c r="D3030" t="s">
        <v>4</v>
      </c>
      <c r="E3030" t="s">
        <v>335</v>
      </c>
      <c r="F3030" t="s">
        <v>6056</v>
      </c>
      <c r="G3030" s="2" t="str">
        <f>HYPERLINK("https://twitter.com/4267740904/status/981804345904762880")</f>
        <v>https://twitter.com/4267740904/status/981804345904762880</v>
      </c>
      <c r="H3030" t="s">
        <v>6062</v>
      </c>
      <c r="I3030" t="s">
        <v>327</v>
      </c>
      <c r="J3030" s="2" t="str">
        <f>HYPERLINK("http://twitter.com/ReflectMaterial")</f>
        <v>http://twitter.com/ReflectMaterial</v>
      </c>
      <c r="K3030">
        <v>143</v>
      </c>
      <c r="N3030" t="s">
        <v>7</v>
      </c>
      <c r="R3030" t="s">
        <v>6067</v>
      </c>
      <c r="S3030" t="s">
        <v>6073</v>
      </c>
    </row>
    <row r="3031" spans="1:19" ht="14.25" customHeight="1" x14ac:dyDescent="0.3">
      <c r="A3031" t="s">
        <v>629</v>
      </c>
      <c r="B3031" t="s">
        <v>271</v>
      </c>
      <c r="C3031" t="s">
        <v>95</v>
      </c>
      <c r="D3031" t="s">
        <v>4</v>
      </c>
      <c r="E3031" t="s">
        <v>1479</v>
      </c>
      <c r="F3031" t="s">
        <v>6056</v>
      </c>
      <c r="G3031" s="2" t="str">
        <f>HYPERLINK("https://twitter.com/782150892120338432/status/981449694583934976")</f>
        <v>https://twitter.com/782150892120338432/status/981449694583934976</v>
      </c>
      <c r="H3031" t="s">
        <v>6062</v>
      </c>
      <c r="I3031" t="s">
        <v>1480</v>
      </c>
      <c r="J3031" s="2" t="str">
        <f>HYPERLINK("http://twitter.com/stasik_iskorka")</f>
        <v>http://twitter.com/stasik_iskorka</v>
      </c>
      <c r="K3031">
        <v>758</v>
      </c>
      <c r="N3031" t="s">
        <v>7</v>
      </c>
      <c r="R3031" t="s">
        <v>6067</v>
      </c>
    </row>
    <row r="3032" spans="1:19" ht="14.25" customHeight="1" x14ac:dyDescent="0.3">
      <c r="A3032" t="s">
        <v>629</v>
      </c>
      <c r="B3032" t="s">
        <v>271</v>
      </c>
      <c r="C3032" t="s">
        <v>95</v>
      </c>
      <c r="D3032" t="s">
        <v>4</v>
      </c>
      <c r="E3032" t="s">
        <v>1483</v>
      </c>
      <c r="F3032" t="s">
        <v>6056</v>
      </c>
      <c r="G3032" s="2" t="str">
        <f>HYPERLINK("https://twitter.com/782150892120338432/status/981449611318648832")</f>
        <v>https://twitter.com/782150892120338432/status/981449611318648832</v>
      </c>
      <c r="H3032" t="s">
        <v>6062</v>
      </c>
      <c r="I3032" t="s">
        <v>1480</v>
      </c>
      <c r="J3032" s="2" t="str">
        <f>HYPERLINK("http://twitter.com/stasik_iskorka")</f>
        <v>http://twitter.com/stasik_iskorka</v>
      </c>
      <c r="K3032">
        <v>758</v>
      </c>
      <c r="N3032" t="s">
        <v>7</v>
      </c>
      <c r="R3032" t="s">
        <v>6067</v>
      </c>
    </row>
    <row r="3033" spans="1:19" ht="14.25" customHeight="1" x14ac:dyDescent="0.3">
      <c r="A3033" t="s">
        <v>629</v>
      </c>
      <c r="B3033" t="s">
        <v>1787</v>
      </c>
      <c r="C3033" t="s">
        <v>95</v>
      </c>
      <c r="D3033" t="s">
        <v>4</v>
      </c>
      <c r="E3033" t="s">
        <v>1788</v>
      </c>
      <c r="F3033" t="s">
        <v>6056</v>
      </c>
      <c r="G3033" s="2" t="str">
        <f>HYPERLINK("https://twitter.com/326228499/status/981422322103013376")</f>
        <v>https://twitter.com/326228499/status/981422322103013376</v>
      </c>
      <c r="H3033" t="s">
        <v>6062</v>
      </c>
      <c r="I3033" t="s">
        <v>1789</v>
      </c>
      <c r="J3033" s="2" t="str">
        <f>HYPERLINK("http://twitter.com/juis_")</f>
        <v>http://twitter.com/juis_</v>
      </c>
      <c r="K3033">
        <v>1847</v>
      </c>
      <c r="L3033" t="s">
        <v>6063</v>
      </c>
      <c r="N3033" t="s">
        <v>7</v>
      </c>
      <c r="R3033" t="s">
        <v>6067</v>
      </c>
      <c r="S3033" t="s">
        <v>6073</v>
      </c>
    </row>
    <row r="3034" spans="1:19" ht="14.25" customHeight="1" x14ac:dyDescent="0.3">
      <c r="A3034" t="s">
        <v>3527</v>
      </c>
      <c r="B3034" t="s">
        <v>3589</v>
      </c>
      <c r="C3034" t="s">
        <v>95</v>
      </c>
      <c r="D3034" t="s">
        <v>4</v>
      </c>
      <c r="E3034" t="s">
        <v>3590</v>
      </c>
      <c r="F3034" t="s">
        <v>6056</v>
      </c>
      <c r="G3034" s="2" t="str">
        <f>HYPERLINK("https://twitter.com/980890907905069057/status/980895009636605952")</f>
        <v>https://twitter.com/980890907905069057/status/980895009636605952</v>
      </c>
      <c r="H3034" t="s">
        <v>6062</v>
      </c>
      <c r="I3034" t="s">
        <v>3591</v>
      </c>
      <c r="J3034" s="2" t="str">
        <f>HYPERLINK("http://twitter.com/mr_shoz")</f>
        <v>http://twitter.com/mr_shoz</v>
      </c>
      <c r="K3034">
        <v>1</v>
      </c>
      <c r="L3034" t="s">
        <v>6063</v>
      </c>
      <c r="N3034" t="s">
        <v>7</v>
      </c>
      <c r="R3034" t="s">
        <v>6067</v>
      </c>
      <c r="S3034" t="s">
        <v>6073</v>
      </c>
    </row>
    <row r="3035" spans="1:19" ht="14.25" customHeight="1" x14ac:dyDescent="0.3">
      <c r="A3035" t="s">
        <v>629</v>
      </c>
      <c r="B3035" t="s">
        <v>2060</v>
      </c>
      <c r="C3035" t="s">
        <v>95</v>
      </c>
      <c r="D3035" t="s">
        <v>4</v>
      </c>
      <c r="E3035" t="s">
        <v>2061</v>
      </c>
      <c r="F3035" t="s">
        <v>6056</v>
      </c>
      <c r="G3035" s="2" t="str">
        <f>HYPERLINK("https://twitter.com/430037846/status/981379053474209793")</f>
        <v>https://twitter.com/430037846/status/981379053474209793</v>
      </c>
      <c r="H3035" t="s">
        <v>6062</v>
      </c>
      <c r="I3035" t="s">
        <v>2062</v>
      </c>
      <c r="J3035" s="2" t="str">
        <f>HYPERLINK("http://twitter.com/MaksymKrechetov")</f>
        <v>http://twitter.com/MaksymKrechetov</v>
      </c>
      <c r="K3035">
        <v>242</v>
      </c>
      <c r="L3035" t="s">
        <v>6063</v>
      </c>
      <c r="N3035" t="s">
        <v>7</v>
      </c>
      <c r="R3035" t="s">
        <v>6067</v>
      </c>
      <c r="S3035" t="s">
        <v>6073</v>
      </c>
    </row>
    <row r="3036" spans="1:19" ht="14.25" customHeight="1" x14ac:dyDescent="0.3">
      <c r="A3036" t="s">
        <v>629</v>
      </c>
      <c r="B3036" t="s">
        <v>907</v>
      </c>
      <c r="C3036" t="s">
        <v>95</v>
      </c>
      <c r="D3036" t="s">
        <v>4</v>
      </c>
      <c r="E3036" t="s">
        <v>908</v>
      </c>
      <c r="F3036" t="s">
        <v>6056</v>
      </c>
      <c r="G3036" s="2" t="str">
        <f>HYPERLINK("https://twitter.com/2394704982/status/981560716489580545")</f>
        <v>https://twitter.com/2394704982/status/981560716489580545</v>
      </c>
      <c r="H3036" t="s">
        <v>6062</v>
      </c>
      <c r="I3036" t="s">
        <v>655</v>
      </c>
      <c r="J3036" s="2" t="str">
        <f>HYPERLINK("http://twitter.com/kudrik8282")</f>
        <v>http://twitter.com/kudrik8282</v>
      </c>
      <c r="K3036">
        <v>54</v>
      </c>
      <c r="L3036" t="s">
        <v>6063</v>
      </c>
      <c r="N3036" t="s">
        <v>7</v>
      </c>
      <c r="R3036" t="s">
        <v>6067</v>
      </c>
      <c r="S3036" t="s">
        <v>6073</v>
      </c>
    </row>
    <row r="3037" spans="1:19" ht="14.25" customHeight="1" x14ac:dyDescent="0.3">
      <c r="A3037" t="s">
        <v>2225</v>
      </c>
      <c r="B3037" t="s">
        <v>1098</v>
      </c>
      <c r="C3037" t="s">
        <v>95</v>
      </c>
      <c r="D3037" t="s">
        <v>4</v>
      </c>
      <c r="E3037" t="s">
        <v>3167</v>
      </c>
      <c r="F3037" t="s">
        <v>6056</v>
      </c>
      <c r="G3037" s="2" t="str">
        <f>HYPERLINK("https://twitter.com/2234453713/status/981158232902262786")</f>
        <v>https://twitter.com/2234453713/status/981158232902262786</v>
      </c>
      <c r="H3037" t="s">
        <v>6062</v>
      </c>
      <c r="I3037" t="s">
        <v>3168</v>
      </c>
      <c r="J3037" s="2" t="str">
        <f>HYPERLINK("http://twitter.com/Happy_Revo")</f>
        <v>http://twitter.com/Happy_Revo</v>
      </c>
      <c r="K3037">
        <v>967</v>
      </c>
      <c r="N3037" t="s">
        <v>7</v>
      </c>
      <c r="R3037" t="s">
        <v>6067</v>
      </c>
    </row>
    <row r="3038" spans="1:19" ht="14.25" customHeight="1" x14ac:dyDescent="0.3">
      <c r="A3038" t="s">
        <v>4439</v>
      </c>
      <c r="B3038" t="s">
        <v>263</v>
      </c>
      <c r="C3038" t="s">
        <v>3538</v>
      </c>
      <c r="D3038" t="s">
        <v>4</v>
      </c>
      <c r="E3038" t="s">
        <v>3457</v>
      </c>
      <c r="F3038" t="s">
        <v>6058</v>
      </c>
      <c r="G3038" s="2" t="str">
        <f>HYPERLINK("https://twitter.com/2831778470/status/980363298959970304")</f>
        <v>https://twitter.com/2831778470/status/980363298959970304</v>
      </c>
      <c r="H3038" t="s">
        <v>6062</v>
      </c>
      <c r="I3038" t="s">
        <v>4765</v>
      </c>
      <c r="J3038" s="2" t="str">
        <f>HYPERLINK("http://twitter.com/marusiaNadia")</f>
        <v>http://twitter.com/marusiaNadia</v>
      </c>
      <c r="K3038">
        <v>479</v>
      </c>
      <c r="N3038" t="s">
        <v>7</v>
      </c>
      <c r="R3038" t="s">
        <v>6067</v>
      </c>
    </row>
    <row r="3039" spans="1:19" ht="14.25" customHeight="1" x14ac:dyDescent="0.3">
      <c r="A3039" t="s">
        <v>1</v>
      </c>
      <c r="B3039" t="s">
        <v>57</v>
      </c>
      <c r="C3039" t="s">
        <v>58</v>
      </c>
      <c r="D3039" t="s">
        <v>4</v>
      </c>
      <c r="E3039" t="s">
        <v>5</v>
      </c>
      <c r="F3039" t="s">
        <v>6056</v>
      </c>
      <c r="G3039" s="2" t="str">
        <f>HYPERLINK("https://twitter.com/433454736/status/981858331659767814")</f>
        <v>https://twitter.com/433454736/status/981858331659767814</v>
      </c>
      <c r="H3039" t="s">
        <v>6062</v>
      </c>
      <c r="I3039" t="s">
        <v>59</v>
      </c>
      <c r="J3039" s="2" t="str">
        <f>HYPERLINK("http://twitter.com/Gandrushka")</f>
        <v>http://twitter.com/Gandrushka</v>
      </c>
      <c r="K3039">
        <v>5602</v>
      </c>
      <c r="N3039" t="s">
        <v>7</v>
      </c>
      <c r="O3039" t="s">
        <v>4</v>
      </c>
      <c r="P3039" t="s">
        <v>4</v>
      </c>
      <c r="R3039" t="s">
        <v>6067</v>
      </c>
      <c r="S3039" t="s">
        <v>6073</v>
      </c>
    </row>
    <row r="3040" spans="1:19" ht="14.25" customHeight="1" x14ac:dyDescent="0.3">
      <c r="A3040" t="s">
        <v>1</v>
      </c>
      <c r="B3040" t="s">
        <v>365</v>
      </c>
      <c r="C3040" t="s">
        <v>95</v>
      </c>
      <c r="D3040" t="s">
        <v>4</v>
      </c>
      <c r="E3040" t="s">
        <v>366</v>
      </c>
      <c r="F3040" t="s">
        <v>6056</v>
      </c>
      <c r="G3040" s="2" t="str">
        <f>HYPERLINK("https://twitter.com/787237216267403264/status/981795472036810752")</f>
        <v>https://twitter.com/787237216267403264/status/981795472036810752</v>
      </c>
      <c r="H3040" t="s">
        <v>6062</v>
      </c>
      <c r="I3040" t="s">
        <v>368</v>
      </c>
      <c r="J3040" s="2" t="str">
        <f>HYPERLINK("http://twitter.com/kistvovk2")</f>
        <v>http://twitter.com/kistvovk2</v>
      </c>
      <c r="K3040">
        <v>0</v>
      </c>
      <c r="L3040" t="s">
        <v>6063</v>
      </c>
      <c r="N3040" t="s">
        <v>7</v>
      </c>
      <c r="R3040" t="s">
        <v>6067</v>
      </c>
    </row>
    <row r="3041" spans="1:19" ht="14.25" customHeight="1" x14ac:dyDescent="0.3">
      <c r="A3041" t="s">
        <v>2225</v>
      </c>
      <c r="B3041" t="s">
        <v>1077</v>
      </c>
      <c r="C3041" t="s">
        <v>95</v>
      </c>
      <c r="D3041" t="s">
        <v>4</v>
      </c>
      <c r="E3041" t="s">
        <v>3161</v>
      </c>
      <c r="F3041" t="s">
        <v>6056</v>
      </c>
      <c r="G3041" s="2" t="str">
        <f>HYPERLINK("https://twitter.com/91182634/status/981160461709164544")</f>
        <v>https://twitter.com/91182634/status/981160461709164544</v>
      </c>
      <c r="H3041" t="s">
        <v>6062</v>
      </c>
      <c r="I3041" t="s">
        <v>3162</v>
      </c>
      <c r="J3041" s="2" t="str">
        <f>HYPERLINK("http://twitter.com/nagornyserg")</f>
        <v>http://twitter.com/nagornyserg</v>
      </c>
      <c r="K3041">
        <v>640</v>
      </c>
      <c r="L3041" t="s">
        <v>6063</v>
      </c>
      <c r="N3041" t="s">
        <v>7</v>
      </c>
      <c r="R3041" t="s">
        <v>6067</v>
      </c>
      <c r="S3041" t="s">
        <v>6073</v>
      </c>
    </row>
    <row r="3042" spans="1:19" ht="14.25" customHeight="1" x14ac:dyDescent="0.3">
      <c r="A3042" t="s">
        <v>3527</v>
      </c>
      <c r="B3042" t="s">
        <v>4273</v>
      </c>
      <c r="C3042" t="s">
        <v>3538</v>
      </c>
      <c r="D3042" t="s">
        <v>4</v>
      </c>
      <c r="E3042" t="s">
        <v>4276</v>
      </c>
      <c r="F3042" t="s">
        <v>6056</v>
      </c>
      <c r="G3042" s="2" t="str">
        <f>HYPERLINK("https://twitter.com/4903776597/status/980729239166246912")</f>
        <v>https://twitter.com/4903776597/status/980729239166246912</v>
      </c>
      <c r="H3042" t="s">
        <v>6062</v>
      </c>
      <c r="I3042" t="s">
        <v>4277</v>
      </c>
      <c r="J3042" s="2" t="str">
        <f>HYPERLINK("http://twitter.com/stas_anikeenko")</f>
        <v>http://twitter.com/stas_anikeenko</v>
      </c>
      <c r="K3042">
        <v>9</v>
      </c>
      <c r="L3042" t="s">
        <v>6063</v>
      </c>
      <c r="N3042" t="s">
        <v>7</v>
      </c>
      <c r="R3042" t="s">
        <v>6067</v>
      </c>
    </row>
    <row r="3043" spans="1:19" ht="14.25" customHeight="1" x14ac:dyDescent="0.3">
      <c r="A3043" t="s">
        <v>4439</v>
      </c>
      <c r="B3043" t="s">
        <v>4919</v>
      </c>
      <c r="C3043" t="s">
        <v>3538</v>
      </c>
      <c r="D3043" t="s">
        <v>4</v>
      </c>
      <c r="E3043" t="s">
        <v>4920</v>
      </c>
      <c r="F3043" t="s">
        <v>6056</v>
      </c>
      <c r="G3043" s="2" t="str">
        <f>HYPERLINK("https://twitter.com/234368386/status/980216830789869568")</f>
        <v>https://twitter.com/234368386/status/980216830789869568</v>
      </c>
      <c r="H3043" t="s">
        <v>6062</v>
      </c>
      <c r="I3043" t="s">
        <v>4921</v>
      </c>
      <c r="J3043" s="2" t="str">
        <f>HYPERLINK("http://twitter.com/keys_keeper_")</f>
        <v>http://twitter.com/keys_keeper_</v>
      </c>
      <c r="K3043">
        <v>579</v>
      </c>
      <c r="N3043" t="s">
        <v>7</v>
      </c>
      <c r="R3043" t="s">
        <v>6067</v>
      </c>
    </row>
    <row r="3044" spans="1:19" ht="14.25" customHeight="1" x14ac:dyDescent="0.3">
      <c r="A3044" t="s">
        <v>3527</v>
      </c>
      <c r="B3044" t="s">
        <v>2329</v>
      </c>
      <c r="C3044" t="s">
        <v>95</v>
      </c>
      <c r="D3044" t="s">
        <v>4</v>
      </c>
      <c r="E3044" t="s">
        <v>3610</v>
      </c>
      <c r="F3044" t="s">
        <v>6058</v>
      </c>
      <c r="G3044" s="2" t="str">
        <f>HYPERLINK("https://twitter.com/975488182757314562/status/980891051748741121")</f>
        <v>https://twitter.com/975488182757314562/status/980891051748741121</v>
      </c>
      <c r="H3044" t="s">
        <v>6062</v>
      </c>
      <c r="I3044" t="s">
        <v>3611</v>
      </c>
      <c r="J3044" s="2" t="str">
        <f>HYPERLINK("http://twitter.com/6mlkL8tJl0xNI7J")</f>
        <v>http://twitter.com/6mlkL8tJl0xNI7J</v>
      </c>
      <c r="K3044">
        <v>1</v>
      </c>
      <c r="L3044" t="s">
        <v>6064</v>
      </c>
      <c r="N3044" t="s">
        <v>7</v>
      </c>
      <c r="R3044" t="s">
        <v>6067</v>
      </c>
      <c r="S3044" t="s">
        <v>6073</v>
      </c>
    </row>
    <row r="3045" spans="1:19" ht="14.25" customHeight="1" x14ac:dyDescent="0.3">
      <c r="A3045" t="s">
        <v>5409</v>
      </c>
      <c r="B3045" t="s">
        <v>2298</v>
      </c>
      <c r="C3045" t="s">
        <v>3538</v>
      </c>
      <c r="D3045" t="s">
        <v>4</v>
      </c>
      <c r="E3045" t="s">
        <v>5456</v>
      </c>
      <c r="F3045" t="s">
        <v>6056</v>
      </c>
      <c r="G3045" s="2" t="str">
        <f>HYPERLINK("https://twitter.com/2356582128/status/979806770909638657")</f>
        <v>https://twitter.com/2356582128/status/979806770909638657</v>
      </c>
      <c r="H3045" t="s">
        <v>6062</v>
      </c>
      <c r="I3045" t="s">
        <v>5457</v>
      </c>
      <c r="J3045" s="2" t="str">
        <f>HYPERLINK("http://twitter.com/timeystuff")</f>
        <v>http://twitter.com/timeystuff</v>
      </c>
      <c r="K3045">
        <v>228</v>
      </c>
      <c r="N3045" t="s">
        <v>7</v>
      </c>
      <c r="R3045" t="s">
        <v>6067</v>
      </c>
      <c r="S3045" t="s">
        <v>6073</v>
      </c>
    </row>
    <row r="3046" spans="1:19" ht="14.25" customHeight="1" x14ac:dyDescent="0.3">
      <c r="A3046" t="s">
        <v>2225</v>
      </c>
      <c r="B3046" t="s">
        <v>3036</v>
      </c>
      <c r="C3046" t="s">
        <v>95</v>
      </c>
      <c r="D3046" t="s">
        <v>4</v>
      </c>
      <c r="E3046" t="s">
        <v>3037</v>
      </c>
      <c r="F3046" t="s">
        <v>6056</v>
      </c>
      <c r="G3046" s="2" t="str">
        <f>HYPERLINK("https://twitter.com/211595450/status/981195105586548737")</f>
        <v>https://twitter.com/211595450/status/981195105586548737</v>
      </c>
      <c r="H3046" t="s">
        <v>6061</v>
      </c>
      <c r="I3046" t="s">
        <v>3038</v>
      </c>
      <c r="J3046" s="2" t="str">
        <f>HYPERLINK("http://twitter.com/Rogalskiya")</f>
        <v>http://twitter.com/Rogalskiya</v>
      </c>
      <c r="K3046">
        <v>2124</v>
      </c>
      <c r="L3046" t="s">
        <v>6063</v>
      </c>
      <c r="N3046" t="s">
        <v>7</v>
      </c>
      <c r="R3046" t="s">
        <v>6067</v>
      </c>
      <c r="S3046" t="s">
        <v>6073</v>
      </c>
    </row>
    <row r="3047" spans="1:19" ht="14.25" customHeight="1" x14ac:dyDescent="0.3">
      <c r="A3047" t="s">
        <v>3527</v>
      </c>
      <c r="B3047" t="s">
        <v>1456</v>
      </c>
      <c r="C3047" t="s">
        <v>3538</v>
      </c>
      <c r="D3047" t="s">
        <v>4</v>
      </c>
      <c r="E3047" t="s">
        <v>3667</v>
      </c>
      <c r="F3047" t="s">
        <v>6056</v>
      </c>
      <c r="G3047" s="2" t="str">
        <f>HYPERLINK("https://twitter.com/150630016/status/980731599368146944")</f>
        <v>https://twitter.com/150630016/status/980731599368146944</v>
      </c>
      <c r="H3047" t="s">
        <v>6061</v>
      </c>
      <c r="I3047" t="s">
        <v>996</v>
      </c>
      <c r="J3047" s="2" t="str">
        <f>HYPERLINK("http://twitter.com/flhinside")</f>
        <v>http://twitter.com/flhinside</v>
      </c>
      <c r="K3047">
        <v>464</v>
      </c>
      <c r="N3047" t="s">
        <v>7</v>
      </c>
      <c r="R3047" t="s">
        <v>6067</v>
      </c>
      <c r="S3047" t="s">
        <v>6073</v>
      </c>
    </row>
    <row r="3048" spans="1:19" ht="14.25" customHeight="1" x14ac:dyDescent="0.3">
      <c r="A3048" t="s">
        <v>3527</v>
      </c>
      <c r="B3048" t="s">
        <v>657</v>
      </c>
      <c r="C3048" t="s">
        <v>95</v>
      </c>
      <c r="D3048" t="s">
        <v>4</v>
      </c>
      <c r="E3048" t="s">
        <v>3545</v>
      </c>
      <c r="F3048" t="s">
        <v>6056</v>
      </c>
      <c r="G3048" s="2" t="str">
        <f>HYPERLINK("https://twitter.com/305794684/status/980905091975741440")</f>
        <v>https://twitter.com/305794684/status/980905091975741440</v>
      </c>
      <c r="H3048" t="s">
        <v>6061</v>
      </c>
      <c r="I3048" t="s">
        <v>3546</v>
      </c>
      <c r="J3048" s="2" t="str">
        <f>HYPERLINK("http://twitter.com/stwordy")</f>
        <v>http://twitter.com/stwordy</v>
      </c>
      <c r="K3048">
        <v>62</v>
      </c>
      <c r="L3048" t="s">
        <v>6063</v>
      </c>
      <c r="N3048" t="s">
        <v>7</v>
      </c>
      <c r="R3048" t="s">
        <v>6067</v>
      </c>
      <c r="S3048" t="s">
        <v>6073</v>
      </c>
    </row>
    <row r="3049" spans="1:19" ht="14.25" customHeight="1" x14ac:dyDescent="0.3">
      <c r="A3049" t="s">
        <v>3527</v>
      </c>
      <c r="B3049" t="s">
        <v>659</v>
      </c>
      <c r="C3049" t="s">
        <v>95</v>
      </c>
      <c r="D3049" t="s">
        <v>4</v>
      </c>
      <c r="E3049" t="s">
        <v>3555</v>
      </c>
      <c r="F3049" t="s">
        <v>6056</v>
      </c>
      <c r="G3049" s="2" t="str">
        <f>HYPERLINK("https://twitter.com/305794684/status/980903823358201856")</f>
        <v>https://twitter.com/305794684/status/980903823358201856</v>
      </c>
      <c r="H3049" t="s">
        <v>6061</v>
      </c>
      <c r="I3049" t="s">
        <v>3546</v>
      </c>
      <c r="J3049" s="2" t="str">
        <f>HYPERLINK("http://twitter.com/stwordy")</f>
        <v>http://twitter.com/stwordy</v>
      </c>
      <c r="K3049">
        <v>62</v>
      </c>
      <c r="L3049" t="s">
        <v>6063</v>
      </c>
      <c r="N3049" t="s">
        <v>7</v>
      </c>
      <c r="R3049" t="s">
        <v>6067</v>
      </c>
      <c r="S3049" t="s">
        <v>6073</v>
      </c>
    </row>
    <row r="3050" spans="1:19" ht="14.25" customHeight="1" x14ac:dyDescent="0.3">
      <c r="A3050" t="s">
        <v>3527</v>
      </c>
      <c r="B3050" t="s">
        <v>2536</v>
      </c>
      <c r="C3050" t="s">
        <v>95</v>
      </c>
      <c r="D3050" t="s">
        <v>4</v>
      </c>
      <c r="E3050" t="s">
        <v>3667</v>
      </c>
      <c r="F3050" t="s">
        <v>6058</v>
      </c>
      <c r="G3050" s="2" t="str">
        <f>HYPERLINK("https://twitter.com/975488182757314562/status/980880235037122560")</f>
        <v>https://twitter.com/975488182757314562/status/980880235037122560</v>
      </c>
      <c r="H3050" t="s">
        <v>6061</v>
      </c>
      <c r="I3050" t="s">
        <v>3611</v>
      </c>
      <c r="J3050" s="2" t="str">
        <f>HYPERLINK("http://twitter.com/6mlkL8tJl0xNI7J")</f>
        <v>http://twitter.com/6mlkL8tJl0xNI7J</v>
      </c>
      <c r="K3050">
        <v>1</v>
      </c>
      <c r="L3050" t="s">
        <v>6064</v>
      </c>
      <c r="N3050" t="s">
        <v>7</v>
      </c>
      <c r="R3050" t="s">
        <v>6067</v>
      </c>
      <c r="S3050" t="s">
        <v>6073</v>
      </c>
    </row>
    <row r="3051" spans="1:19" ht="14.25" customHeight="1" x14ac:dyDescent="0.3">
      <c r="A3051" t="s">
        <v>2225</v>
      </c>
      <c r="B3051" t="s">
        <v>2352</v>
      </c>
      <c r="C3051" t="s">
        <v>95</v>
      </c>
      <c r="D3051" t="s">
        <v>4</v>
      </c>
      <c r="E3051" t="s">
        <v>2354</v>
      </c>
      <c r="F3051" t="s">
        <v>6056</v>
      </c>
      <c r="G3051" s="2" t="str">
        <f>HYPERLINK("https://twitter.com/273403142/status/981250832078434309")</f>
        <v>https://twitter.com/273403142/status/981250832078434309</v>
      </c>
      <c r="H3051" t="s">
        <v>6061</v>
      </c>
      <c r="I3051" t="s">
        <v>2355</v>
      </c>
      <c r="J3051" s="2" t="str">
        <f>HYPERLINK("http://twitter.com/nokwin_ua")</f>
        <v>http://twitter.com/nokwin_ua</v>
      </c>
      <c r="K3051">
        <v>70</v>
      </c>
      <c r="N3051" t="s">
        <v>7</v>
      </c>
      <c r="R3051" t="s">
        <v>6067</v>
      </c>
      <c r="S3051" t="s">
        <v>6073</v>
      </c>
    </row>
    <row r="3052" spans="1:19" ht="14.25" customHeight="1" x14ac:dyDescent="0.3">
      <c r="A3052" t="s">
        <v>5409</v>
      </c>
      <c r="B3052" t="s">
        <v>2287</v>
      </c>
      <c r="C3052" t="s">
        <v>3538</v>
      </c>
      <c r="D3052" t="s">
        <v>4</v>
      </c>
      <c r="E3052" t="s">
        <v>403</v>
      </c>
      <c r="F3052" t="s">
        <v>6056</v>
      </c>
      <c r="G3052" s="2" t="str">
        <f>HYPERLINK("https://vk.com/wall481057043_4")</f>
        <v>https://vk.com/wall481057043_4</v>
      </c>
      <c r="H3052" t="s">
        <v>6060</v>
      </c>
      <c r="I3052" t="s">
        <v>5330</v>
      </c>
      <c r="J3052" s="2" t="str">
        <f>HYPERLINK("http://vk.com/id481057043")</f>
        <v>http://vk.com/id481057043</v>
      </c>
      <c r="K3052">
        <v>0</v>
      </c>
      <c r="L3052" t="s">
        <v>6063</v>
      </c>
      <c r="M3052">
        <v>28</v>
      </c>
      <c r="N3052" t="s">
        <v>25</v>
      </c>
      <c r="O3052" t="s">
        <v>5330</v>
      </c>
      <c r="P3052" s="2" t="str">
        <f>HYPERLINK("http://vk.com/id481057043")</f>
        <v>http://vk.com/id481057043</v>
      </c>
      <c r="Q3052">
        <v>0</v>
      </c>
      <c r="R3052" t="s">
        <v>6067</v>
      </c>
    </row>
    <row r="3053" spans="1:19" ht="14.25" customHeight="1" x14ac:dyDescent="0.3">
      <c r="A3053" t="s">
        <v>1</v>
      </c>
      <c r="B3053" t="s">
        <v>415</v>
      </c>
      <c r="C3053" t="s">
        <v>95</v>
      </c>
      <c r="D3053" t="s">
        <v>4</v>
      </c>
      <c r="E3053" t="s">
        <v>403</v>
      </c>
      <c r="F3053" t="s">
        <v>6058</v>
      </c>
      <c r="G3053" s="2" t="str">
        <f>HYPERLINK("https://vk.com/wall428908946_222")</f>
        <v>https://vk.com/wall428908946_222</v>
      </c>
      <c r="H3053" t="s">
        <v>6060</v>
      </c>
      <c r="I3053" t="s">
        <v>416</v>
      </c>
      <c r="J3053" s="2" t="str">
        <f>HYPERLINK("http://vk.com/id428908946")</f>
        <v>http://vk.com/id428908946</v>
      </c>
      <c r="K3053">
        <v>195</v>
      </c>
      <c r="L3053" t="s">
        <v>6064</v>
      </c>
      <c r="N3053" t="s">
        <v>25</v>
      </c>
      <c r="O3053" t="s">
        <v>416</v>
      </c>
      <c r="P3053" s="2" t="str">
        <f>HYPERLINK("http://vk.com/id428908946")</f>
        <v>http://vk.com/id428908946</v>
      </c>
      <c r="Q3053">
        <v>195</v>
      </c>
      <c r="R3053" t="s">
        <v>6067</v>
      </c>
      <c r="S3053" t="s">
        <v>6072</v>
      </c>
    </row>
    <row r="3054" spans="1:19" ht="14.25" customHeight="1" x14ac:dyDescent="0.3">
      <c r="A3054" t="s">
        <v>1</v>
      </c>
      <c r="B3054" t="s">
        <v>551</v>
      </c>
      <c r="C3054" t="s">
        <v>95</v>
      </c>
      <c r="D3054" t="s">
        <v>4</v>
      </c>
      <c r="E3054" t="s">
        <v>403</v>
      </c>
      <c r="F3054" t="s">
        <v>6058</v>
      </c>
      <c r="G3054" s="2" t="str">
        <f>HYPERLINK("https://vk.com/wall427467975_611")</f>
        <v>https://vk.com/wall427467975_611</v>
      </c>
      <c r="H3054" t="s">
        <v>6060</v>
      </c>
      <c r="I3054" t="s">
        <v>552</v>
      </c>
      <c r="J3054" s="2" t="str">
        <f>HYPERLINK("http://vk.com/id427467975")</f>
        <v>http://vk.com/id427467975</v>
      </c>
      <c r="K3054">
        <v>79</v>
      </c>
      <c r="L3054" t="s">
        <v>6064</v>
      </c>
      <c r="M3054">
        <v>14</v>
      </c>
      <c r="N3054" t="s">
        <v>25</v>
      </c>
      <c r="O3054" t="s">
        <v>552</v>
      </c>
      <c r="P3054" s="2" t="str">
        <f>HYPERLINK("http://vk.com/id427467975")</f>
        <v>http://vk.com/id427467975</v>
      </c>
      <c r="Q3054">
        <v>79</v>
      </c>
      <c r="R3054" t="s">
        <v>6067</v>
      </c>
      <c r="S3054" t="s">
        <v>6077</v>
      </c>
    </row>
    <row r="3055" spans="1:19" ht="14.25" customHeight="1" x14ac:dyDescent="0.3">
      <c r="A3055" t="s">
        <v>1</v>
      </c>
      <c r="B3055" t="s">
        <v>402</v>
      </c>
      <c r="C3055" t="s">
        <v>95</v>
      </c>
      <c r="D3055" t="s">
        <v>4</v>
      </c>
      <c r="E3055" t="s">
        <v>403</v>
      </c>
      <c r="F3055" t="s">
        <v>6058</v>
      </c>
      <c r="G3055" s="2" t="str">
        <f>HYPERLINK("https://vk.com/wall455355919_15")</f>
        <v>https://vk.com/wall455355919_15</v>
      </c>
      <c r="H3055" t="s">
        <v>6060</v>
      </c>
      <c r="I3055" t="s">
        <v>404</v>
      </c>
      <c r="J3055" s="2" t="str">
        <f>HYPERLINK("http://vk.com/id455355919")</f>
        <v>http://vk.com/id455355919</v>
      </c>
      <c r="K3055">
        <v>25</v>
      </c>
      <c r="L3055" t="s">
        <v>6064</v>
      </c>
      <c r="M3055">
        <v>19</v>
      </c>
      <c r="N3055" t="s">
        <v>25</v>
      </c>
      <c r="O3055" t="s">
        <v>404</v>
      </c>
      <c r="P3055" s="2" t="str">
        <f>HYPERLINK("http://vk.com/id455355919")</f>
        <v>http://vk.com/id455355919</v>
      </c>
      <c r="Q3055">
        <v>25</v>
      </c>
      <c r="R3055" t="s">
        <v>6067</v>
      </c>
      <c r="S3055" t="s">
        <v>6072</v>
      </c>
    </row>
    <row r="3056" spans="1:19" ht="14.25" customHeight="1" x14ac:dyDescent="0.3">
      <c r="A3056" t="s">
        <v>629</v>
      </c>
      <c r="B3056" t="s">
        <v>831</v>
      </c>
      <c r="C3056" t="s">
        <v>95</v>
      </c>
      <c r="D3056" t="s">
        <v>4</v>
      </c>
      <c r="E3056" t="s">
        <v>833</v>
      </c>
      <c r="F3056" t="s">
        <v>6056</v>
      </c>
      <c r="G3056" s="2" t="str">
        <f>HYPERLINK("https://vk.com/wall-27513148_655877")</f>
        <v>https://vk.com/wall-27513148_655877</v>
      </c>
      <c r="H3056" t="s">
        <v>6060</v>
      </c>
      <c r="I3056" t="s">
        <v>727</v>
      </c>
      <c r="J3056" s="2" t="str">
        <f>HYPERLINK("http://vk.com/club27513148")</f>
        <v>http://vk.com/club27513148</v>
      </c>
      <c r="K3056">
        <v>52377</v>
      </c>
      <c r="L3056" t="s">
        <v>6065</v>
      </c>
      <c r="N3056" t="s">
        <v>25</v>
      </c>
      <c r="O3056" t="s">
        <v>727</v>
      </c>
      <c r="P3056" s="2" t="str">
        <f>HYPERLINK("http://vk.com/club27513148")</f>
        <v>http://vk.com/club27513148</v>
      </c>
      <c r="Q3056">
        <v>52377</v>
      </c>
      <c r="R3056" t="s">
        <v>6067</v>
      </c>
    </row>
    <row r="3057" spans="1:19" ht="14.25" customHeight="1" x14ac:dyDescent="0.3">
      <c r="A3057" t="s">
        <v>1</v>
      </c>
      <c r="B3057" t="s">
        <v>411</v>
      </c>
      <c r="C3057" t="s">
        <v>95</v>
      </c>
      <c r="D3057" t="s">
        <v>4</v>
      </c>
      <c r="E3057" t="s">
        <v>403</v>
      </c>
      <c r="F3057" t="s">
        <v>6058</v>
      </c>
      <c r="G3057" s="2" t="str">
        <f>HYPERLINK("https://vk.com/wall477958346_31")</f>
        <v>https://vk.com/wall477958346_31</v>
      </c>
      <c r="H3057" t="s">
        <v>6060</v>
      </c>
      <c r="I3057" t="s">
        <v>412</v>
      </c>
      <c r="J3057" s="2" t="str">
        <f>HYPERLINK("http://vk.com/id477958346")</f>
        <v>http://vk.com/id477958346</v>
      </c>
      <c r="K3057">
        <v>84</v>
      </c>
      <c r="L3057" t="s">
        <v>6063</v>
      </c>
      <c r="M3057">
        <v>22</v>
      </c>
      <c r="N3057" t="s">
        <v>25</v>
      </c>
      <c r="O3057" t="s">
        <v>412</v>
      </c>
      <c r="P3057" s="2" t="str">
        <f>HYPERLINK("http://vk.com/id477958346")</f>
        <v>http://vk.com/id477958346</v>
      </c>
      <c r="Q3057">
        <v>84</v>
      </c>
      <c r="R3057" t="s">
        <v>6067</v>
      </c>
      <c r="S3057" t="s">
        <v>6072</v>
      </c>
    </row>
    <row r="3058" spans="1:19" ht="14.25" customHeight="1" x14ac:dyDescent="0.3">
      <c r="A3058" t="s">
        <v>1</v>
      </c>
      <c r="B3058" t="s">
        <v>413</v>
      </c>
      <c r="C3058" t="s">
        <v>95</v>
      </c>
      <c r="D3058" t="s">
        <v>4</v>
      </c>
      <c r="E3058" t="s">
        <v>403</v>
      </c>
      <c r="F3058" t="s">
        <v>6058</v>
      </c>
      <c r="G3058" s="2" t="str">
        <f>HYPERLINK("https://vk.com/wall306657295_286")</f>
        <v>https://vk.com/wall306657295_286</v>
      </c>
      <c r="H3058" t="s">
        <v>6060</v>
      </c>
      <c r="I3058" t="s">
        <v>414</v>
      </c>
      <c r="J3058" s="2" t="str">
        <f>HYPERLINK("http://vk.com/id306657295")</f>
        <v>http://vk.com/id306657295</v>
      </c>
      <c r="K3058">
        <v>184</v>
      </c>
      <c r="L3058" t="s">
        <v>6063</v>
      </c>
      <c r="M3058">
        <v>14</v>
      </c>
      <c r="N3058" t="s">
        <v>25</v>
      </c>
      <c r="O3058" t="s">
        <v>414</v>
      </c>
      <c r="P3058" s="2" t="str">
        <f>HYPERLINK("http://vk.com/id306657295")</f>
        <v>http://vk.com/id306657295</v>
      </c>
      <c r="Q3058">
        <v>184</v>
      </c>
      <c r="R3058" t="s">
        <v>6067</v>
      </c>
      <c r="S3058" t="s">
        <v>6092</v>
      </c>
    </row>
    <row r="3059" spans="1:19" ht="14.25" customHeight="1" x14ac:dyDescent="0.3">
      <c r="A3059" t="s">
        <v>1</v>
      </c>
      <c r="B3059" t="s">
        <v>409</v>
      </c>
      <c r="C3059" t="s">
        <v>95</v>
      </c>
      <c r="D3059" t="s">
        <v>4</v>
      </c>
      <c r="E3059" t="s">
        <v>403</v>
      </c>
      <c r="F3059" t="s">
        <v>6058</v>
      </c>
      <c r="G3059" s="2" t="str">
        <f>HYPERLINK("https://vk.com/wall300477752_981")</f>
        <v>https://vk.com/wall300477752_981</v>
      </c>
      <c r="H3059" t="s">
        <v>6060</v>
      </c>
      <c r="I3059" t="s">
        <v>410</v>
      </c>
      <c r="J3059" s="2" t="str">
        <f>HYPERLINK("http://vk.com/id300477752")</f>
        <v>http://vk.com/id300477752</v>
      </c>
      <c r="K3059">
        <v>75</v>
      </c>
      <c r="L3059" t="s">
        <v>6063</v>
      </c>
      <c r="M3059">
        <v>20</v>
      </c>
      <c r="N3059" t="s">
        <v>25</v>
      </c>
      <c r="O3059" t="s">
        <v>410</v>
      </c>
      <c r="P3059" s="2" t="str">
        <f>HYPERLINK("http://vk.com/id300477752")</f>
        <v>http://vk.com/id300477752</v>
      </c>
      <c r="Q3059">
        <v>75</v>
      </c>
      <c r="R3059" t="s">
        <v>6067</v>
      </c>
      <c r="S3059" t="s">
        <v>6085</v>
      </c>
    </row>
    <row r="3060" spans="1:19" ht="14.25" customHeight="1" x14ac:dyDescent="0.3">
      <c r="A3060" t="s">
        <v>1</v>
      </c>
      <c r="B3060" t="s">
        <v>405</v>
      </c>
      <c r="C3060" t="s">
        <v>95</v>
      </c>
      <c r="D3060" t="s">
        <v>4</v>
      </c>
      <c r="E3060" t="s">
        <v>403</v>
      </c>
      <c r="F3060" t="s">
        <v>6058</v>
      </c>
      <c r="G3060" s="2" t="str">
        <f>HYPERLINK("https://vk.com/wall326342488_1256")</f>
        <v>https://vk.com/wall326342488_1256</v>
      </c>
      <c r="H3060" t="s">
        <v>6060</v>
      </c>
      <c r="I3060" t="s">
        <v>406</v>
      </c>
      <c r="J3060" s="2" t="str">
        <f>HYPERLINK("http://vk.com/id326342488")</f>
        <v>http://vk.com/id326342488</v>
      </c>
      <c r="K3060">
        <v>248</v>
      </c>
      <c r="L3060" t="s">
        <v>6063</v>
      </c>
      <c r="N3060" t="s">
        <v>25</v>
      </c>
      <c r="O3060" t="s">
        <v>406</v>
      </c>
      <c r="P3060" s="2" t="str">
        <f>HYPERLINK("http://vk.com/id326342488")</f>
        <v>http://vk.com/id326342488</v>
      </c>
      <c r="Q3060">
        <v>248</v>
      </c>
      <c r="R3060" t="s">
        <v>6067</v>
      </c>
      <c r="S3060" t="s">
        <v>6072</v>
      </c>
    </row>
    <row r="3061" spans="1:19" ht="14.25" customHeight="1" x14ac:dyDescent="0.3">
      <c r="A3061" t="s">
        <v>4995</v>
      </c>
      <c r="B3061" t="s">
        <v>2646</v>
      </c>
      <c r="C3061" t="s">
        <v>3538</v>
      </c>
      <c r="D3061" t="s">
        <v>4</v>
      </c>
      <c r="E3061" t="s">
        <v>5044</v>
      </c>
      <c r="F3061" t="s">
        <v>6056</v>
      </c>
      <c r="G3061" s="2" t="str">
        <f>HYPERLINK("https://vk.com/wall167987568_1081")</f>
        <v>https://vk.com/wall167987568_1081</v>
      </c>
      <c r="H3061" t="s">
        <v>6060</v>
      </c>
      <c r="I3061" t="s">
        <v>5045</v>
      </c>
      <c r="J3061" s="2" t="str">
        <f>HYPERLINK("http://vk.com/id167987568")</f>
        <v>http://vk.com/id167987568</v>
      </c>
      <c r="K3061">
        <v>5156</v>
      </c>
      <c r="L3061" t="s">
        <v>6063</v>
      </c>
      <c r="N3061" t="s">
        <v>25</v>
      </c>
      <c r="O3061" t="s">
        <v>5045</v>
      </c>
      <c r="P3061" s="2" t="str">
        <f>HYPERLINK("http://vk.com/id167987568")</f>
        <v>http://vk.com/id167987568</v>
      </c>
      <c r="Q3061">
        <v>5156</v>
      </c>
      <c r="R3061" t="s">
        <v>6067</v>
      </c>
      <c r="S3061" t="s">
        <v>6109</v>
      </c>
    </row>
    <row r="3062" spans="1:19" ht="14.25" customHeight="1" x14ac:dyDescent="0.3">
      <c r="A3062" t="s">
        <v>629</v>
      </c>
      <c r="B3062" t="s">
        <v>867</v>
      </c>
      <c r="C3062" t="s">
        <v>95</v>
      </c>
      <c r="D3062" t="s">
        <v>4</v>
      </c>
      <c r="E3062" t="s">
        <v>833</v>
      </c>
      <c r="F3062" t="s">
        <v>6056</v>
      </c>
      <c r="G3062" s="2" t="str">
        <f>HYPERLINK("https://vk.com/wall-88244421_267012")</f>
        <v>https://vk.com/wall-88244421_267012</v>
      </c>
      <c r="H3062" t="s">
        <v>6060</v>
      </c>
      <c r="I3062" t="s">
        <v>868</v>
      </c>
      <c r="J3062" s="2" t="str">
        <f>HYPERLINK("http://vk.com/club88244421")</f>
        <v>http://vk.com/club88244421</v>
      </c>
      <c r="K3062">
        <v>19949</v>
      </c>
      <c r="L3062" t="s">
        <v>6065</v>
      </c>
      <c r="N3062" t="s">
        <v>25</v>
      </c>
      <c r="O3062" t="s">
        <v>868</v>
      </c>
      <c r="P3062" s="2" t="str">
        <f>HYPERLINK("http://vk.com/club88244421")</f>
        <v>http://vk.com/club88244421</v>
      </c>
      <c r="Q3062">
        <v>19949</v>
      </c>
      <c r="R3062" t="s">
        <v>6067</v>
      </c>
    </row>
    <row r="3063" spans="1:19" ht="14.25" customHeight="1" x14ac:dyDescent="0.3">
      <c r="A3063" t="s">
        <v>4439</v>
      </c>
      <c r="B3063" t="s">
        <v>131</v>
      </c>
      <c r="C3063" t="s">
        <v>3538</v>
      </c>
      <c r="D3063" t="s">
        <v>4</v>
      </c>
      <c r="E3063" t="s">
        <v>4696</v>
      </c>
      <c r="F3063" t="s">
        <v>6056</v>
      </c>
      <c r="G3063" s="2" t="str">
        <f>HYPERLINK("https://vk.com/wall-57038867_64666")</f>
        <v>https://vk.com/wall-57038867_64666</v>
      </c>
      <c r="H3063" t="s">
        <v>6060</v>
      </c>
      <c r="I3063" t="s">
        <v>4697</v>
      </c>
      <c r="J3063" s="2" t="str">
        <f>HYPERLINK("http://vk.com/club57038867")</f>
        <v>http://vk.com/club57038867</v>
      </c>
      <c r="K3063">
        <v>6243</v>
      </c>
      <c r="L3063" t="s">
        <v>6065</v>
      </c>
      <c r="N3063" t="s">
        <v>25</v>
      </c>
      <c r="O3063" t="s">
        <v>4697</v>
      </c>
      <c r="P3063" s="2" t="str">
        <f>HYPERLINK("http://vk.com/club57038867")</f>
        <v>http://vk.com/club57038867</v>
      </c>
      <c r="Q3063">
        <v>6243</v>
      </c>
      <c r="R3063" t="s">
        <v>6067</v>
      </c>
    </row>
    <row r="3064" spans="1:19" ht="14.25" customHeight="1" x14ac:dyDescent="0.3">
      <c r="A3064" t="s">
        <v>1</v>
      </c>
      <c r="B3064" t="s">
        <v>457</v>
      </c>
      <c r="C3064" t="s">
        <v>95</v>
      </c>
      <c r="D3064" t="s">
        <v>453</v>
      </c>
      <c r="E3064" t="s">
        <v>458</v>
      </c>
      <c r="F3064" t="s">
        <v>6059</v>
      </c>
      <c r="G3064" s="2" t="str">
        <f>HYPERLINK("https://vk.com/wall-11821426_316")</f>
        <v>https://vk.com/wall-11821426_316</v>
      </c>
      <c r="H3064" t="s">
        <v>6060</v>
      </c>
      <c r="I3064" t="s">
        <v>455</v>
      </c>
      <c r="J3064" s="2" t="str">
        <f>HYPERLINK("http://vk.com/id443617970")</f>
        <v>http://vk.com/id443617970</v>
      </c>
      <c r="K3064">
        <v>38</v>
      </c>
      <c r="L3064" t="s">
        <v>6063</v>
      </c>
      <c r="M3064">
        <v>19</v>
      </c>
      <c r="N3064" t="s">
        <v>25</v>
      </c>
      <c r="O3064" t="s">
        <v>456</v>
      </c>
      <c r="P3064" s="2" t="str">
        <f>HYPERLINK("http://vk.com/club11821426")</f>
        <v>http://vk.com/club11821426</v>
      </c>
      <c r="Q3064">
        <v>297</v>
      </c>
      <c r="R3064" t="s">
        <v>6067</v>
      </c>
      <c r="S3064" t="s">
        <v>6073</v>
      </c>
    </row>
    <row r="3065" spans="1:19" ht="14.25" customHeight="1" x14ac:dyDescent="0.3">
      <c r="A3065" t="s">
        <v>1</v>
      </c>
      <c r="B3065" t="s">
        <v>452</v>
      </c>
      <c r="C3065" t="s">
        <v>95</v>
      </c>
      <c r="D3065" t="s">
        <v>453</v>
      </c>
      <c r="E3065" t="s">
        <v>454</v>
      </c>
      <c r="F3065" t="s">
        <v>6059</v>
      </c>
      <c r="G3065" s="2" t="str">
        <f>HYPERLINK("https://vk.com/wall-11821426_317")</f>
        <v>https://vk.com/wall-11821426_317</v>
      </c>
      <c r="H3065" t="s">
        <v>6060</v>
      </c>
      <c r="I3065" t="s">
        <v>455</v>
      </c>
      <c r="J3065" s="2" t="str">
        <f>HYPERLINK("http://vk.com/id443617970")</f>
        <v>http://vk.com/id443617970</v>
      </c>
      <c r="K3065">
        <v>38</v>
      </c>
      <c r="L3065" t="s">
        <v>6063</v>
      </c>
      <c r="M3065">
        <v>19</v>
      </c>
      <c r="N3065" t="s">
        <v>25</v>
      </c>
      <c r="O3065" t="s">
        <v>456</v>
      </c>
      <c r="P3065" s="2" t="str">
        <f>HYPERLINK("http://vk.com/club11821426")</f>
        <v>http://vk.com/club11821426</v>
      </c>
      <c r="Q3065">
        <v>297</v>
      </c>
      <c r="R3065" t="s">
        <v>6067</v>
      </c>
      <c r="S3065" t="s">
        <v>6073</v>
      </c>
    </row>
    <row r="3066" spans="1:19" ht="14.25" customHeight="1" x14ac:dyDescent="0.3">
      <c r="A3066" t="s">
        <v>629</v>
      </c>
      <c r="B3066" t="s">
        <v>869</v>
      </c>
      <c r="C3066" t="s">
        <v>95</v>
      </c>
      <c r="D3066" t="s">
        <v>4</v>
      </c>
      <c r="E3066" t="s">
        <v>833</v>
      </c>
      <c r="F3066" t="s">
        <v>6056</v>
      </c>
      <c r="G3066" s="2" t="str">
        <f>HYPERLINK("https://vk.com/wall-45700783_385178")</f>
        <v>https://vk.com/wall-45700783_385178</v>
      </c>
      <c r="H3066" t="s">
        <v>6060</v>
      </c>
      <c r="I3066" t="s">
        <v>874</v>
      </c>
      <c r="J3066" s="2" t="str">
        <f>HYPERLINK("http://vk.com/club45700783")</f>
        <v>http://vk.com/club45700783</v>
      </c>
      <c r="K3066">
        <v>44639</v>
      </c>
      <c r="L3066" t="s">
        <v>6065</v>
      </c>
      <c r="N3066" t="s">
        <v>25</v>
      </c>
      <c r="O3066" t="s">
        <v>874</v>
      </c>
      <c r="P3066" s="2" t="str">
        <f>HYPERLINK("http://vk.com/club45700783")</f>
        <v>http://vk.com/club45700783</v>
      </c>
      <c r="Q3066">
        <v>44639</v>
      </c>
      <c r="R3066" t="s">
        <v>6067</v>
      </c>
    </row>
    <row r="3067" spans="1:19" ht="14.25" customHeight="1" x14ac:dyDescent="0.3">
      <c r="A3067" t="s">
        <v>3527</v>
      </c>
      <c r="B3067" t="s">
        <v>1146</v>
      </c>
      <c r="C3067" t="s">
        <v>95</v>
      </c>
      <c r="D3067" t="s">
        <v>4</v>
      </c>
      <c r="E3067" t="s">
        <v>4045</v>
      </c>
      <c r="F3067" t="s">
        <v>6058</v>
      </c>
      <c r="G3067" s="2" t="str">
        <f>HYPERLINK("https://vk.com/wall479519823_104")</f>
        <v>https://vk.com/wall479519823_104</v>
      </c>
      <c r="H3067" t="s">
        <v>6062</v>
      </c>
      <c r="I3067" t="s">
        <v>4105</v>
      </c>
      <c r="J3067" s="2" t="str">
        <f>HYPERLINK("http://vk.com/id479519823")</f>
        <v>http://vk.com/id479519823</v>
      </c>
      <c r="K3067">
        <v>1</v>
      </c>
      <c r="L3067" t="s">
        <v>6063</v>
      </c>
      <c r="M3067">
        <v>65</v>
      </c>
      <c r="N3067" t="s">
        <v>25</v>
      </c>
      <c r="O3067" t="s">
        <v>4105</v>
      </c>
      <c r="P3067" s="2" t="str">
        <f>HYPERLINK("http://vk.com/id479519823")</f>
        <v>http://vk.com/id479519823</v>
      </c>
      <c r="Q3067">
        <v>1</v>
      </c>
      <c r="R3067" t="s">
        <v>6067</v>
      </c>
      <c r="S3067" t="s">
        <v>6088</v>
      </c>
    </row>
    <row r="3068" spans="1:19" ht="14.25" customHeight="1" x14ac:dyDescent="0.3">
      <c r="A3068" t="s">
        <v>3527</v>
      </c>
      <c r="B3068" t="s">
        <v>126</v>
      </c>
      <c r="C3068" t="s">
        <v>95</v>
      </c>
      <c r="D3068" t="s">
        <v>4</v>
      </c>
      <c r="E3068" t="s">
        <v>4045</v>
      </c>
      <c r="F3068" t="s">
        <v>6058</v>
      </c>
      <c r="G3068" s="2" t="str">
        <f>HYPERLINK("https://vk.com/wall475553704_255")</f>
        <v>https://vk.com/wall475553704_255</v>
      </c>
      <c r="H3068" t="s">
        <v>6062</v>
      </c>
      <c r="I3068" t="s">
        <v>4226</v>
      </c>
      <c r="J3068" s="2" t="str">
        <f>HYPERLINK("http://vk.com/id475553704")</f>
        <v>http://vk.com/id475553704</v>
      </c>
      <c r="K3068">
        <v>65</v>
      </c>
      <c r="L3068" t="s">
        <v>6063</v>
      </c>
      <c r="M3068">
        <v>30</v>
      </c>
      <c r="N3068" t="s">
        <v>25</v>
      </c>
      <c r="O3068" t="s">
        <v>4226</v>
      </c>
      <c r="P3068" s="2" t="str">
        <f>HYPERLINK("http://vk.com/id475553704")</f>
        <v>http://vk.com/id475553704</v>
      </c>
      <c r="Q3068">
        <v>65</v>
      </c>
      <c r="R3068" t="s">
        <v>6067</v>
      </c>
    </row>
    <row r="3069" spans="1:19" ht="14.25" customHeight="1" x14ac:dyDescent="0.3">
      <c r="A3069" t="s">
        <v>3527</v>
      </c>
      <c r="B3069" t="s">
        <v>3832</v>
      </c>
      <c r="C3069" t="s">
        <v>95</v>
      </c>
      <c r="D3069" t="s">
        <v>4</v>
      </c>
      <c r="E3069" t="s">
        <v>3792</v>
      </c>
      <c r="F3069" t="s">
        <v>6058</v>
      </c>
      <c r="G3069" s="2" t="str">
        <f>HYPERLINK("https://vk.com/wall362457597_635")</f>
        <v>https://vk.com/wall362457597_635</v>
      </c>
      <c r="H3069" t="s">
        <v>6062</v>
      </c>
      <c r="I3069" t="s">
        <v>3834</v>
      </c>
      <c r="J3069" s="2" t="str">
        <f>HYPERLINK("http://vk.com/id362457597")</f>
        <v>http://vk.com/id362457597</v>
      </c>
      <c r="K3069">
        <v>258</v>
      </c>
      <c r="L3069" t="s">
        <v>6063</v>
      </c>
      <c r="M3069">
        <v>34</v>
      </c>
      <c r="N3069" t="s">
        <v>25</v>
      </c>
      <c r="O3069" t="s">
        <v>3834</v>
      </c>
      <c r="P3069" s="2" t="str">
        <f>HYPERLINK("http://vk.com/id362457597")</f>
        <v>http://vk.com/id362457597</v>
      </c>
      <c r="Q3069">
        <v>258</v>
      </c>
      <c r="R3069" t="s">
        <v>6067</v>
      </c>
      <c r="S3069" t="s">
        <v>6103</v>
      </c>
    </row>
    <row r="3070" spans="1:19" ht="14.25" customHeight="1" x14ac:dyDescent="0.3">
      <c r="A3070" t="s">
        <v>3527</v>
      </c>
      <c r="B3070" t="s">
        <v>1579</v>
      </c>
      <c r="C3070" t="s">
        <v>3538</v>
      </c>
      <c r="D3070" t="s">
        <v>4</v>
      </c>
      <c r="E3070" t="s">
        <v>4045</v>
      </c>
      <c r="F3070" t="s">
        <v>6058</v>
      </c>
      <c r="G3070" s="2" t="str">
        <f>HYPERLINK("https://vk.com/wall469962923_56")</f>
        <v>https://vk.com/wall469962923_56</v>
      </c>
      <c r="H3070" t="s">
        <v>6062</v>
      </c>
      <c r="I3070" t="s">
        <v>4294</v>
      </c>
      <c r="J3070" s="2" t="str">
        <f>HYPERLINK("http://vk.com/id469962923")</f>
        <v>http://vk.com/id469962923</v>
      </c>
      <c r="K3070">
        <v>0</v>
      </c>
      <c r="L3070" t="s">
        <v>6063</v>
      </c>
      <c r="M3070">
        <v>36</v>
      </c>
      <c r="N3070" t="s">
        <v>25</v>
      </c>
      <c r="O3070" t="s">
        <v>4294</v>
      </c>
      <c r="P3070" s="2" t="str">
        <f>HYPERLINK("http://vk.com/id469962923")</f>
        <v>http://vk.com/id469962923</v>
      </c>
      <c r="Q3070">
        <v>0</v>
      </c>
      <c r="R3070" t="s">
        <v>6067</v>
      </c>
      <c r="S3070" t="s">
        <v>6072</v>
      </c>
    </row>
    <row r="3071" spans="1:19" ht="14.25" customHeight="1" x14ac:dyDescent="0.3">
      <c r="A3071" t="s">
        <v>4439</v>
      </c>
      <c r="B3071" t="s">
        <v>1315</v>
      </c>
      <c r="C3071" t="s">
        <v>3538</v>
      </c>
      <c r="D3071" t="s">
        <v>4</v>
      </c>
      <c r="E3071" t="s">
        <v>4659</v>
      </c>
      <c r="F3071" t="s">
        <v>6056</v>
      </c>
      <c r="G3071" s="2" t="str">
        <f>HYPERLINK("https://vk.com/wall384759551_421")</f>
        <v>https://vk.com/wall384759551_421</v>
      </c>
      <c r="H3071" t="s">
        <v>6062</v>
      </c>
      <c r="I3071" t="s">
        <v>4660</v>
      </c>
      <c r="J3071" s="2" t="str">
        <f>HYPERLINK("http://vk.com/id384759551")</f>
        <v>http://vk.com/id384759551</v>
      </c>
      <c r="K3071">
        <v>432</v>
      </c>
      <c r="L3071" t="s">
        <v>6063</v>
      </c>
      <c r="M3071">
        <v>76</v>
      </c>
      <c r="N3071" t="s">
        <v>25</v>
      </c>
      <c r="O3071" t="s">
        <v>4660</v>
      </c>
      <c r="P3071" s="2" t="str">
        <f>HYPERLINK("http://vk.com/id384759551")</f>
        <v>http://vk.com/id384759551</v>
      </c>
      <c r="Q3071">
        <v>432</v>
      </c>
      <c r="R3071" t="s">
        <v>6067</v>
      </c>
      <c r="S3071" t="s">
        <v>6073</v>
      </c>
    </row>
    <row r="3072" spans="1:19" ht="14.25" customHeight="1" x14ac:dyDescent="0.3">
      <c r="A3072" t="s">
        <v>5409</v>
      </c>
      <c r="B3072" t="s">
        <v>2785</v>
      </c>
      <c r="C3072" t="s">
        <v>3538</v>
      </c>
      <c r="D3072" t="s">
        <v>4</v>
      </c>
      <c r="E3072" t="s">
        <v>5484</v>
      </c>
      <c r="F3072" t="s">
        <v>6056</v>
      </c>
      <c r="G3072" s="2" t="str">
        <f>HYPERLINK("https://vk.com/wall254531067_3232")</f>
        <v>https://vk.com/wall254531067_3232</v>
      </c>
      <c r="H3072" t="s">
        <v>6062</v>
      </c>
      <c r="I3072" t="s">
        <v>5485</v>
      </c>
      <c r="J3072" s="2" t="str">
        <f>HYPERLINK("http://vk.com/id254531067")</f>
        <v>http://vk.com/id254531067</v>
      </c>
      <c r="K3072">
        <v>3439</v>
      </c>
      <c r="L3072" t="s">
        <v>6063</v>
      </c>
      <c r="M3072">
        <v>16</v>
      </c>
      <c r="N3072" t="s">
        <v>25</v>
      </c>
      <c r="O3072" t="s">
        <v>5485</v>
      </c>
      <c r="P3072" s="2" t="str">
        <f>HYPERLINK("http://vk.com/id254531067")</f>
        <v>http://vk.com/id254531067</v>
      </c>
      <c r="Q3072">
        <v>3439</v>
      </c>
      <c r="R3072" t="s">
        <v>6067</v>
      </c>
      <c r="S3072" t="s">
        <v>6073</v>
      </c>
    </row>
    <row r="3073" spans="1:19" ht="14.25" customHeight="1" x14ac:dyDescent="0.3">
      <c r="A3073" t="s">
        <v>3527</v>
      </c>
      <c r="B3073" t="s">
        <v>345</v>
      </c>
      <c r="C3073" t="s">
        <v>3538</v>
      </c>
      <c r="D3073" t="s">
        <v>4</v>
      </c>
      <c r="E3073" t="s">
        <v>4045</v>
      </c>
      <c r="F3073" t="s">
        <v>6058</v>
      </c>
      <c r="G3073" s="2" t="str">
        <f>HYPERLINK("https://vk.com/wall185226021_1082")</f>
        <v>https://vk.com/wall185226021_1082</v>
      </c>
      <c r="H3073" t="s">
        <v>6062</v>
      </c>
      <c r="I3073" t="s">
        <v>3724</v>
      </c>
      <c r="J3073" s="2" t="str">
        <f>HYPERLINK("http://vk.com/id185226021")</f>
        <v>http://vk.com/id185226021</v>
      </c>
      <c r="K3073">
        <v>532</v>
      </c>
      <c r="L3073" t="s">
        <v>6063</v>
      </c>
      <c r="M3073">
        <v>15</v>
      </c>
      <c r="N3073" t="s">
        <v>25</v>
      </c>
      <c r="O3073" t="s">
        <v>3724</v>
      </c>
      <c r="P3073" s="2" t="str">
        <f>HYPERLINK("http://vk.com/id185226021")</f>
        <v>http://vk.com/id185226021</v>
      </c>
      <c r="Q3073">
        <v>532</v>
      </c>
      <c r="R3073" t="s">
        <v>6067</v>
      </c>
    </row>
    <row r="3074" spans="1:19" ht="14.25" customHeight="1" x14ac:dyDescent="0.3">
      <c r="A3074" t="s">
        <v>3527</v>
      </c>
      <c r="B3074" t="s">
        <v>3723</v>
      </c>
      <c r="C3074" t="s">
        <v>95</v>
      </c>
      <c r="D3074" t="s">
        <v>4</v>
      </c>
      <c r="E3074" t="s">
        <v>3625</v>
      </c>
      <c r="F3074" t="s">
        <v>6058</v>
      </c>
      <c r="G3074" s="2" t="str">
        <f>HYPERLINK("https://vk.com/wall185226021_1097")</f>
        <v>https://vk.com/wall185226021_1097</v>
      </c>
      <c r="H3074" t="s">
        <v>6062</v>
      </c>
      <c r="I3074" t="s">
        <v>3724</v>
      </c>
      <c r="J3074" s="2" t="str">
        <f>HYPERLINK("http://vk.com/id185226021")</f>
        <v>http://vk.com/id185226021</v>
      </c>
      <c r="K3074">
        <v>532</v>
      </c>
      <c r="L3074" t="s">
        <v>6063</v>
      </c>
      <c r="M3074">
        <v>15</v>
      </c>
      <c r="N3074" t="s">
        <v>25</v>
      </c>
      <c r="O3074" t="s">
        <v>3724</v>
      </c>
      <c r="P3074" s="2" t="str">
        <f>HYPERLINK("http://vk.com/id185226021")</f>
        <v>http://vk.com/id185226021</v>
      </c>
      <c r="Q3074">
        <v>532</v>
      </c>
      <c r="R3074" t="s">
        <v>6067</v>
      </c>
    </row>
    <row r="3075" spans="1:19" ht="14.25" customHeight="1" x14ac:dyDescent="0.3">
      <c r="A3075" t="s">
        <v>3527</v>
      </c>
      <c r="B3075" t="s">
        <v>1527</v>
      </c>
      <c r="C3075" t="s">
        <v>3538</v>
      </c>
      <c r="D3075" t="s">
        <v>4</v>
      </c>
      <c r="E3075" t="s">
        <v>4045</v>
      </c>
      <c r="F3075" t="s">
        <v>6058</v>
      </c>
      <c r="G3075" s="2" t="str">
        <f>HYPERLINK("https://vk.com/wall470673490_499")</f>
        <v>https://vk.com/wall470673490_499</v>
      </c>
      <c r="H3075" t="s">
        <v>6062</v>
      </c>
      <c r="I3075" t="s">
        <v>3948</v>
      </c>
      <c r="J3075" s="2" t="str">
        <f>HYPERLINK("http://vk.com/id470673490")</f>
        <v>http://vk.com/id470673490</v>
      </c>
      <c r="K3075">
        <v>3</v>
      </c>
      <c r="L3075" t="s">
        <v>6064</v>
      </c>
      <c r="M3075">
        <v>117</v>
      </c>
      <c r="N3075" t="s">
        <v>25</v>
      </c>
      <c r="O3075" t="s">
        <v>3948</v>
      </c>
      <c r="P3075" s="2" t="str">
        <f>HYPERLINK("http://vk.com/id470673490")</f>
        <v>http://vk.com/id470673490</v>
      </c>
      <c r="Q3075">
        <v>3</v>
      </c>
      <c r="R3075" t="s">
        <v>6067</v>
      </c>
    </row>
    <row r="3076" spans="1:19" ht="14.25" customHeight="1" x14ac:dyDescent="0.3">
      <c r="A3076" t="s">
        <v>3527</v>
      </c>
      <c r="B3076" t="s">
        <v>3944</v>
      </c>
      <c r="C3076" t="s">
        <v>95</v>
      </c>
      <c r="D3076" t="s">
        <v>4</v>
      </c>
      <c r="E3076" t="s">
        <v>3820</v>
      </c>
      <c r="F3076" t="s">
        <v>6058</v>
      </c>
      <c r="G3076" s="2" t="str">
        <f>HYPERLINK("https://vk.com/wall470673490_517")</f>
        <v>https://vk.com/wall470673490_517</v>
      </c>
      <c r="H3076" t="s">
        <v>6062</v>
      </c>
      <c r="I3076" t="s">
        <v>3948</v>
      </c>
      <c r="J3076" s="2" t="str">
        <f>HYPERLINK("http://vk.com/id470673490")</f>
        <v>http://vk.com/id470673490</v>
      </c>
      <c r="K3076">
        <v>3</v>
      </c>
      <c r="L3076" t="s">
        <v>6064</v>
      </c>
      <c r="M3076">
        <v>117</v>
      </c>
      <c r="N3076" t="s">
        <v>25</v>
      </c>
      <c r="O3076" t="s">
        <v>3948</v>
      </c>
      <c r="P3076" s="2" t="str">
        <f>HYPERLINK("http://vk.com/id470673490")</f>
        <v>http://vk.com/id470673490</v>
      </c>
      <c r="Q3076">
        <v>3</v>
      </c>
      <c r="R3076" t="s">
        <v>6067</v>
      </c>
    </row>
    <row r="3077" spans="1:19" ht="14.25" customHeight="1" x14ac:dyDescent="0.3">
      <c r="A3077" t="s">
        <v>2225</v>
      </c>
      <c r="B3077" t="s">
        <v>1511</v>
      </c>
      <c r="C3077" t="s">
        <v>95</v>
      </c>
      <c r="D3077" t="s">
        <v>4</v>
      </c>
      <c r="E3077" t="s">
        <v>3354</v>
      </c>
      <c r="F3077" t="s">
        <v>6056</v>
      </c>
      <c r="G3077" s="2" t="str">
        <f>HYPERLINK("https://vk.com/wall198753497_2118")</f>
        <v>https://vk.com/wall198753497_2118</v>
      </c>
      <c r="H3077" t="s">
        <v>6062</v>
      </c>
      <c r="I3077" t="s">
        <v>3355</v>
      </c>
      <c r="J3077" s="2" t="str">
        <f>HYPERLINK("http://vk.com/id198753497")</f>
        <v>http://vk.com/id198753497</v>
      </c>
      <c r="K3077">
        <v>590</v>
      </c>
      <c r="L3077" t="s">
        <v>6063</v>
      </c>
      <c r="N3077" t="s">
        <v>25</v>
      </c>
      <c r="O3077" t="s">
        <v>3355</v>
      </c>
      <c r="P3077" s="2" t="str">
        <f>HYPERLINK("http://vk.com/id198753497")</f>
        <v>http://vk.com/id198753497</v>
      </c>
      <c r="Q3077">
        <v>590</v>
      </c>
      <c r="R3077" t="s">
        <v>6067</v>
      </c>
      <c r="S3077" t="s">
        <v>6101</v>
      </c>
    </row>
    <row r="3078" spans="1:19" ht="14.25" customHeight="1" x14ac:dyDescent="0.3">
      <c r="A3078" t="s">
        <v>5409</v>
      </c>
      <c r="B3078" t="s">
        <v>1468</v>
      </c>
      <c r="C3078" t="s">
        <v>3538</v>
      </c>
      <c r="D3078" t="s">
        <v>4</v>
      </c>
      <c r="E3078" t="s">
        <v>5811</v>
      </c>
      <c r="F3078" t="s">
        <v>6056</v>
      </c>
      <c r="G3078" s="2" t="str">
        <f>HYPERLINK("https://vk.com/wall265913504_375")</f>
        <v>https://vk.com/wall265913504_375</v>
      </c>
      <c r="H3078" t="s">
        <v>6062</v>
      </c>
      <c r="I3078" t="s">
        <v>5812</v>
      </c>
      <c r="J3078" s="2" t="str">
        <f>HYPERLINK("http://vk.com/id265913504")</f>
        <v>http://vk.com/id265913504</v>
      </c>
      <c r="K3078">
        <v>1858</v>
      </c>
      <c r="L3078" t="s">
        <v>6064</v>
      </c>
      <c r="N3078" t="s">
        <v>25</v>
      </c>
      <c r="O3078" t="s">
        <v>5812</v>
      </c>
      <c r="P3078" s="2" t="str">
        <f>HYPERLINK("http://vk.com/id265913504")</f>
        <v>http://vk.com/id265913504</v>
      </c>
      <c r="Q3078">
        <v>1858</v>
      </c>
      <c r="R3078" t="s">
        <v>6067</v>
      </c>
      <c r="S3078" t="s">
        <v>6073</v>
      </c>
    </row>
    <row r="3079" spans="1:19" ht="14.25" customHeight="1" x14ac:dyDescent="0.3">
      <c r="A3079" t="s">
        <v>3527</v>
      </c>
      <c r="B3079" t="s">
        <v>1862</v>
      </c>
      <c r="C3079" t="s">
        <v>3538</v>
      </c>
      <c r="D3079" t="s">
        <v>4</v>
      </c>
      <c r="E3079" t="s">
        <v>4045</v>
      </c>
      <c r="F3079" t="s">
        <v>6058</v>
      </c>
      <c r="G3079" s="2" t="str">
        <f>HYPERLINK("https://vk.com/wall243588764_33")</f>
        <v>https://vk.com/wall243588764_33</v>
      </c>
      <c r="H3079" t="s">
        <v>6062</v>
      </c>
      <c r="I3079" t="s">
        <v>3827</v>
      </c>
      <c r="J3079" s="2" t="str">
        <f>HYPERLINK("http://vk.com/id243588764")</f>
        <v>http://vk.com/id243588764</v>
      </c>
      <c r="K3079">
        <v>27</v>
      </c>
      <c r="L3079" t="s">
        <v>6063</v>
      </c>
      <c r="N3079" t="s">
        <v>25</v>
      </c>
      <c r="O3079" t="s">
        <v>3827</v>
      </c>
      <c r="P3079" s="2" t="str">
        <f>HYPERLINK("http://vk.com/id243588764")</f>
        <v>http://vk.com/id243588764</v>
      </c>
      <c r="Q3079">
        <v>27</v>
      </c>
      <c r="R3079" t="s">
        <v>6067</v>
      </c>
      <c r="S3079" t="s">
        <v>6103</v>
      </c>
    </row>
    <row r="3080" spans="1:19" ht="14.25" customHeight="1" x14ac:dyDescent="0.3">
      <c r="A3080" t="s">
        <v>3527</v>
      </c>
      <c r="B3080" t="s">
        <v>3826</v>
      </c>
      <c r="C3080" t="s">
        <v>95</v>
      </c>
      <c r="D3080" t="s">
        <v>4</v>
      </c>
      <c r="E3080" t="s">
        <v>3820</v>
      </c>
      <c r="F3080" t="s">
        <v>6058</v>
      </c>
      <c r="G3080" s="2" t="str">
        <f>HYPERLINK("https://vk.com/wall243588764_45")</f>
        <v>https://vk.com/wall243588764_45</v>
      </c>
      <c r="H3080" t="s">
        <v>6062</v>
      </c>
      <c r="I3080" t="s">
        <v>3827</v>
      </c>
      <c r="J3080" s="2" t="str">
        <f>HYPERLINK("http://vk.com/id243588764")</f>
        <v>http://vk.com/id243588764</v>
      </c>
      <c r="K3080">
        <v>27</v>
      </c>
      <c r="L3080" t="s">
        <v>6063</v>
      </c>
      <c r="N3080" t="s">
        <v>25</v>
      </c>
      <c r="O3080" t="s">
        <v>3827</v>
      </c>
      <c r="P3080" s="2" t="str">
        <f>HYPERLINK("http://vk.com/id243588764")</f>
        <v>http://vk.com/id243588764</v>
      </c>
      <c r="Q3080">
        <v>27</v>
      </c>
      <c r="R3080" t="s">
        <v>6067</v>
      </c>
      <c r="S3080" t="s">
        <v>6103</v>
      </c>
    </row>
    <row r="3081" spans="1:19" ht="14.25" customHeight="1" x14ac:dyDescent="0.3">
      <c r="A3081" t="s">
        <v>3527</v>
      </c>
      <c r="B3081" t="s">
        <v>867</v>
      </c>
      <c r="C3081" t="s">
        <v>95</v>
      </c>
      <c r="D3081" t="s">
        <v>4</v>
      </c>
      <c r="E3081" t="s">
        <v>3792</v>
      </c>
      <c r="F3081" t="s">
        <v>6058</v>
      </c>
      <c r="G3081" s="2" t="str">
        <f>HYPERLINK("https://vk.com/wall451607891_27")</f>
        <v>https://vk.com/wall451607891_27</v>
      </c>
      <c r="H3081" t="s">
        <v>6062</v>
      </c>
      <c r="I3081" t="s">
        <v>3853</v>
      </c>
      <c r="J3081" s="2" t="str">
        <f>HYPERLINK("http://vk.com/id451607891")</f>
        <v>http://vk.com/id451607891</v>
      </c>
      <c r="K3081">
        <v>45</v>
      </c>
      <c r="L3081" t="s">
        <v>6063</v>
      </c>
      <c r="M3081">
        <v>15</v>
      </c>
      <c r="N3081" t="s">
        <v>25</v>
      </c>
      <c r="O3081" t="s">
        <v>3853</v>
      </c>
      <c r="P3081" s="2" t="str">
        <f>HYPERLINK("http://vk.com/id451607891")</f>
        <v>http://vk.com/id451607891</v>
      </c>
      <c r="Q3081">
        <v>45</v>
      </c>
      <c r="R3081" t="s">
        <v>6067</v>
      </c>
    </row>
    <row r="3082" spans="1:19" ht="14.25" customHeight="1" x14ac:dyDescent="0.3">
      <c r="A3082" t="s">
        <v>3527</v>
      </c>
      <c r="B3082" t="s">
        <v>1618</v>
      </c>
      <c r="C3082" t="s">
        <v>3538</v>
      </c>
      <c r="D3082" t="s">
        <v>4</v>
      </c>
      <c r="E3082" t="s">
        <v>4045</v>
      </c>
      <c r="F3082" t="s">
        <v>6058</v>
      </c>
      <c r="G3082" s="2" t="str">
        <f>HYPERLINK("https://vk.com/wall99113443_2492")</f>
        <v>https://vk.com/wall99113443_2492</v>
      </c>
      <c r="H3082" t="s">
        <v>6062</v>
      </c>
      <c r="I3082" t="s">
        <v>4298</v>
      </c>
      <c r="J3082" s="2" t="str">
        <f>HYPERLINK("http://vk.com/id99113443")</f>
        <v>http://vk.com/id99113443</v>
      </c>
      <c r="K3082">
        <v>1533</v>
      </c>
      <c r="L3082" t="s">
        <v>6064</v>
      </c>
      <c r="M3082">
        <v>23</v>
      </c>
      <c r="N3082" t="s">
        <v>25</v>
      </c>
      <c r="O3082" t="s">
        <v>4298</v>
      </c>
      <c r="P3082" s="2" t="str">
        <f>HYPERLINK("http://vk.com/id99113443")</f>
        <v>http://vk.com/id99113443</v>
      </c>
      <c r="Q3082">
        <v>1533</v>
      </c>
      <c r="R3082" t="s">
        <v>6067</v>
      </c>
      <c r="S3082" t="s">
        <v>6072</v>
      </c>
    </row>
    <row r="3083" spans="1:19" ht="14.25" customHeight="1" x14ac:dyDescent="0.3">
      <c r="A3083" t="s">
        <v>3527</v>
      </c>
      <c r="B3083" t="s">
        <v>3991</v>
      </c>
      <c r="C3083" t="s">
        <v>3538</v>
      </c>
      <c r="D3083" t="s">
        <v>4</v>
      </c>
      <c r="E3083" t="s">
        <v>3820</v>
      </c>
      <c r="F3083" t="s">
        <v>6058</v>
      </c>
      <c r="G3083" s="2" t="str">
        <f>HYPERLINK("https://vk.com/wall280378231_291")</f>
        <v>https://vk.com/wall280378231_291</v>
      </c>
      <c r="H3083" t="s">
        <v>6062</v>
      </c>
      <c r="I3083" t="s">
        <v>3992</v>
      </c>
      <c r="J3083" s="2" t="str">
        <f>HYPERLINK("http://vk.com/id280378231")</f>
        <v>http://vk.com/id280378231</v>
      </c>
      <c r="K3083">
        <v>0</v>
      </c>
      <c r="L3083" t="s">
        <v>6064</v>
      </c>
      <c r="M3083">
        <v>22</v>
      </c>
      <c r="N3083" t="s">
        <v>25</v>
      </c>
      <c r="O3083" t="s">
        <v>3992</v>
      </c>
      <c r="P3083" s="2" t="str">
        <f>HYPERLINK("http://vk.com/id280378231")</f>
        <v>http://vk.com/id280378231</v>
      </c>
      <c r="Q3083">
        <v>0</v>
      </c>
      <c r="R3083" t="s">
        <v>6067</v>
      </c>
      <c r="S3083" t="s">
        <v>6072</v>
      </c>
    </row>
    <row r="3084" spans="1:19" ht="14.25" customHeight="1" x14ac:dyDescent="0.3">
      <c r="A3084" t="s">
        <v>3527</v>
      </c>
      <c r="B3084" t="s">
        <v>915</v>
      </c>
      <c r="C3084" t="s">
        <v>95</v>
      </c>
      <c r="D3084" t="s">
        <v>4</v>
      </c>
      <c r="E3084" t="s">
        <v>3625</v>
      </c>
      <c r="F3084" t="s">
        <v>6058</v>
      </c>
      <c r="G3084" s="2" t="str">
        <f>HYPERLINK("https://vk.com/wall475385363_53")</f>
        <v>https://vk.com/wall475385363_53</v>
      </c>
      <c r="H3084" t="s">
        <v>6062</v>
      </c>
      <c r="I3084" t="s">
        <v>3937</v>
      </c>
      <c r="J3084" s="2" t="str">
        <f>HYPERLINK("http://vk.com/id475385363")</f>
        <v>http://vk.com/id475385363</v>
      </c>
      <c r="K3084">
        <v>1</v>
      </c>
      <c r="L3084" t="s">
        <v>6063</v>
      </c>
      <c r="M3084">
        <v>23</v>
      </c>
      <c r="N3084" t="s">
        <v>25</v>
      </c>
      <c r="O3084" t="s">
        <v>3937</v>
      </c>
      <c r="P3084" s="2" t="str">
        <f>HYPERLINK("http://vk.com/id475385363")</f>
        <v>http://vk.com/id475385363</v>
      </c>
      <c r="Q3084">
        <v>1</v>
      </c>
      <c r="R3084" t="s">
        <v>6067</v>
      </c>
    </row>
    <row r="3085" spans="1:19" ht="14.25" customHeight="1" x14ac:dyDescent="0.3">
      <c r="A3085" t="s">
        <v>4439</v>
      </c>
      <c r="B3085" t="s">
        <v>3908</v>
      </c>
      <c r="C3085" t="s">
        <v>3538</v>
      </c>
      <c r="D3085" t="s">
        <v>4</v>
      </c>
      <c r="E3085" t="s">
        <v>509</v>
      </c>
      <c r="F3085" t="s">
        <v>6056</v>
      </c>
      <c r="G3085" s="2" t="str">
        <f>HYPERLINK("https://vk.com/wall-161711995_150")</f>
        <v>https://vk.com/wall-161711995_150</v>
      </c>
      <c r="H3085" t="s">
        <v>6062</v>
      </c>
      <c r="I3085" t="s">
        <v>4573</v>
      </c>
      <c r="J3085" s="2" t="str">
        <f>HYPERLINK("http://vk.com/club161711995")</f>
        <v>http://vk.com/club161711995</v>
      </c>
      <c r="K3085">
        <v>450</v>
      </c>
      <c r="L3085" t="s">
        <v>6065</v>
      </c>
      <c r="N3085" t="s">
        <v>25</v>
      </c>
      <c r="O3085" t="s">
        <v>4573</v>
      </c>
      <c r="P3085" s="2" t="str">
        <f>HYPERLINK("http://vk.com/club161711995")</f>
        <v>http://vk.com/club161711995</v>
      </c>
      <c r="Q3085">
        <v>450</v>
      </c>
      <c r="R3085" t="s">
        <v>6067</v>
      </c>
      <c r="S3085" t="s">
        <v>6073</v>
      </c>
    </row>
    <row r="3086" spans="1:19" ht="14.25" customHeight="1" x14ac:dyDescent="0.3">
      <c r="A3086" t="s">
        <v>3527</v>
      </c>
      <c r="B3086" t="s">
        <v>2994</v>
      </c>
      <c r="C3086" t="s">
        <v>95</v>
      </c>
      <c r="D3086" t="s">
        <v>4</v>
      </c>
      <c r="E3086" t="s">
        <v>3792</v>
      </c>
      <c r="F3086" t="s">
        <v>6058</v>
      </c>
      <c r="G3086" s="2" t="str">
        <f>HYPERLINK("https://vk.com/wall188483964_98")</f>
        <v>https://vk.com/wall188483964_98</v>
      </c>
      <c r="H3086" t="s">
        <v>6062</v>
      </c>
      <c r="I3086" t="s">
        <v>3857</v>
      </c>
      <c r="J3086" s="2" t="str">
        <f>HYPERLINK("http://vk.com/id188483964")</f>
        <v>http://vk.com/id188483964</v>
      </c>
      <c r="K3086">
        <v>220</v>
      </c>
      <c r="L3086" t="s">
        <v>6063</v>
      </c>
      <c r="N3086" t="s">
        <v>25</v>
      </c>
      <c r="O3086" t="s">
        <v>3857</v>
      </c>
      <c r="P3086" s="2" t="str">
        <f>HYPERLINK("http://vk.com/id188483964")</f>
        <v>http://vk.com/id188483964</v>
      </c>
      <c r="Q3086">
        <v>220</v>
      </c>
      <c r="R3086" t="s">
        <v>6067</v>
      </c>
      <c r="S3086" t="s">
        <v>6107</v>
      </c>
    </row>
    <row r="3087" spans="1:19" ht="14.25" customHeight="1" x14ac:dyDescent="0.3">
      <c r="A3087" t="s">
        <v>3527</v>
      </c>
      <c r="B3087" t="s">
        <v>4360</v>
      </c>
      <c r="C3087" t="s">
        <v>3538</v>
      </c>
      <c r="D3087" t="s">
        <v>4</v>
      </c>
      <c r="E3087" t="s">
        <v>4045</v>
      </c>
      <c r="F3087" t="s">
        <v>6058</v>
      </c>
      <c r="G3087" s="2" t="str">
        <f>HYPERLINK("https://vk.com/wall5107971_1087")</f>
        <v>https://vk.com/wall5107971_1087</v>
      </c>
      <c r="H3087" t="s">
        <v>6062</v>
      </c>
      <c r="I3087" t="s">
        <v>4361</v>
      </c>
      <c r="J3087" s="2" t="str">
        <f>HYPERLINK("http://vk.com/id5107971")</f>
        <v>http://vk.com/id5107971</v>
      </c>
      <c r="K3087">
        <v>66</v>
      </c>
      <c r="L3087" t="s">
        <v>6063</v>
      </c>
      <c r="N3087" t="s">
        <v>25</v>
      </c>
      <c r="O3087" t="s">
        <v>4361</v>
      </c>
      <c r="P3087" s="2" t="str">
        <f>HYPERLINK("http://vk.com/id5107971")</f>
        <v>http://vk.com/id5107971</v>
      </c>
      <c r="Q3087">
        <v>66</v>
      </c>
      <c r="R3087" t="s">
        <v>6067</v>
      </c>
    </row>
    <row r="3088" spans="1:19" ht="14.25" customHeight="1" x14ac:dyDescent="0.3">
      <c r="A3088" t="s">
        <v>3527</v>
      </c>
      <c r="B3088" t="s">
        <v>4195</v>
      </c>
      <c r="C3088" t="s">
        <v>3538</v>
      </c>
      <c r="D3088" t="s">
        <v>4</v>
      </c>
      <c r="E3088" t="s">
        <v>4045</v>
      </c>
      <c r="F3088" t="s">
        <v>6058</v>
      </c>
      <c r="G3088" s="2" t="str">
        <f>HYPERLINK("https://vk.com/wall352029841_350")</f>
        <v>https://vk.com/wall352029841_350</v>
      </c>
      <c r="H3088" t="s">
        <v>6062</v>
      </c>
      <c r="I3088" t="s">
        <v>4196</v>
      </c>
      <c r="J3088" s="2" t="str">
        <f>HYPERLINK("http://vk.com/id352029841")</f>
        <v>http://vk.com/id352029841</v>
      </c>
      <c r="K3088">
        <v>285</v>
      </c>
      <c r="L3088" t="s">
        <v>6064</v>
      </c>
      <c r="N3088" t="s">
        <v>25</v>
      </c>
      <c r="O3088" t="s">
        <v>4196</v>
      </c>
      <c r="P3088" s="2" t="str">
        <f>HYPERLINK("http://vk.com/id352029841")</f>
        <v>http://vk.com/id352029841</v>
      </c>
      <c r="Q3088">
        <v>285</v>
      </c>
      <c r="R3088" t="s">
        <v>6067</v>
      </c>
      <c r="S3088" t="s">
        <v>6073</v>
      </c>
    </row>
    <row r="3089" spans="1:19" ht="14.25" customHeight="1" x14ac:dyDescent="0.3">
      <c r="A3089" t="s">
        <v>3527</v>
      </c>
      <c r="B3089" t="s">
        <v>3627</v>
      </c>
      <c r="C3089" t="s">
        <v>95</v>
      </c>
      <c r="D3089" t="s">
        <v>4</v>
      </c>
      <c r="E3089" t="s">
        <v>3511</v>
      </c>
      <c r="F3089" t="s">
        <v>6058</v>
      </c>
      <c r="G3089" s="2" t="str">
        <f>HYPERLINK("https://vk.com/wall477105475_67")</f>
        <v>https://vk.com/wall477105475_67</v>
      </c>
      <c r="H3089" t="s">
        <v>6062</v>
      </c>
      <c r="I3089" t="s">
        <v>3631</v>
      </c>
      <c r="J3089" s="2" t="str">
        <f>HYPERLINK("http://vk.com/id477105475")</f>
        <v>http://vk.com/id477105475</v>
      </c>
      <c r="K3089">
        <v>0</v>
      </c>
      <c r="L3089" t="s">
        <v>6063</v>
      </c>
      <c r="M3089">
        <v>17</v>
      </c>
      <c r="N3089" t="s">
        <v>25</v>
      </c>
      <c r="O3089" t="s">
        <v>3631</v>
      </c>
      <c r="P3089" s="2" t="str">
        <f>HYPERLINK("http://vk.com/id477105475")</f>
        <v>http://vk.com/id477105475</v>
      </c>
      <c r="Q3089">
        <v>0</v>
      </c>
      <c r="R3089" t="s">
        <v>6067</v>
      </c>
    </row>
    <row r="3090" spans="1:19" ht="14.25" customHeight="1" x14ac:dyDescent="0.3">
      <c r="A3090" t="s">
        <v>3527</v>
      </c>
      <c r="B3090" t="s">
        <v>3912</v>
      </c>
      <c r="C3090" t="s">
        <v>95</v>
      </c>
      <c r="D3090" t="s">
        <v>4</v>
      </c>
      <c r="E3090" t="s">
        <v>3792</v>
      </c>
      <c r="F3090" t="s">
        <v>6058</v>
      </c>
      <c r="G3090" s="2" t="str">
        <f>HYPERLINK("https://vk.com/wall480135361_70")</f>
        <v>https://vk.com/wall480135361_70</v>
      </c>
      <c r="H3090" t="s">
        <v>6062</v>
      </c>
      <c r="I3090" t="s">
        <v>3913</v>
      </c>
      <c r="J3090" s="2" t="str">
        <f>HYPERLINK("http://vk.com/id480135361")</f>
        <v>http://vk.com/id480135361</v>
      </c>
      <c r="K3090">
        <v>3</v>
      </c>
      <c r="L3090" t="s">
        <v>6064</v>
      </c>
      <c r="M3090">
        <v>26</v>
      </c>
      <c r="N3090" t="s">
        <v>25</v>
      </c>
      <c r="O3090" t="s">
        <v>3913</v>
      </c>
      <c r="P3090" s="2" t="str">
        <f>HYPERLINK("http://vk.com/id480135361")</f>
        <v>http://vk.com/id480135361</v>
      </c>
      <c r="Q3090">
        <v>3</v>
      </c>
      <c r="R3090" t="s">
        <v>6067</v>
      </c>
    </row>
    <row r="3091" spans="1:19" ht="14.25" customHeight="1" x14ac:dyDescent="0.3">
      <c r="A3091" t="s">
        <v>3527</v>
      </c>
      <c r="B3091" t="s">
        <v>3906</v>
      </c>
      <c r="C3091" t="s">
        <v>95</v>
      </c>
      <c r="D3091" t="s">
        <v>4</v>
      </c>
      <c r="E3091" t="s">
        <v>3792</v>
      </c>
      <c r="F3091" t="s">
        <v>6058</v>
      </c>
      <c r="G3091" s="2" t="str">
        <f>HYPERLINK("https://vk.com/wall481248490_21")</f>
        <v>https://vk.com/wall481248490_21</v>
      </c>
      <c r="H3091" t="s">
        <v>6062</v>
      </c>
      <c r="I3091" t="s">
        <v>3907</v>
      </c>
      <c r="J3091" s="2" t="str">
        <f>HYPERLINK("http://vk.com/id481248490")</f>
        <v>http://vk.com/id481248490</v>
      </c>
      <c r="K3091">
        <v>0</v>
      </c>
      <c r="L3091" t="s">
        <v>6063</v>
      </c>
      <c r="M3091">
        <v>19</v>
      </c>
      <c r="N3091" t="s">
        <v>25</v>
      </c>
      <c r="O3091" t="s">
        <v>3907</v>
      </c>
      <c r="P3091" s="2" t="str">
        <f>HYPERLINK("http://vk.com/id481248490")</f>
        <v>http://vk.com/id481248490</v>
      </c>
      <c r="Q3091">
        <v>0</v>
      </c>
      <c r="R3091" t="s">
        <v>6067</v>
      </c>
    </row>
    <row r="3092" spans="1:19" ht="14.25" customHeight="1" x14ac:dyDescent="0.3">
      <c r="A3092" t="s">
        <v>1</v>
      </c>
      <c r="B3092" t="s">
        <v>621</v>
      </c>
      <c r="C3092" t="s">
        <v>95</v>
      </c>
      <c r="D3092" t="s">
        <v>374</v>
      </c>
      <c r="E3092" t="s">
        <v>622</v>
      </c>
      <c r="F3092" t="s">
        <v>6059</v>
      </c>
      <c r="G3092" s="2" t="str">
        <f>HYPERLINK("https://vk.com/wall-26822578_81762")</f>
        <v>https://vk.com/wall-26822578_81762</v>
      </c>
      <c r="H3092" t="s">
        <v>6062</v>
      </c>
      <c r="I3092" t="s">
        <v>623</v>
      </c>
      <c r="J3092" s="2" t="str">
        <f>HYPERLINK("http://vk.com/id434356649")</f>
        <v>http://vk.com/id434356649</v>
      </c>
      <c r="K3092">
        <v>476</v>
      </c>
      <c r="L3092" t="s">
        <v>6064</v>
      </c>
      <c r="M3092">
        <v>24</v>
      </c>
      <c r="N3092" t="s">
        <v>25</v>
      </c>
      <c r="O3092" t="s">
        <v>624</v>
      </c>
      <c r="P3092" s="2" t="str">
        <f>HYPERLINK("http://vk.com/club26822578")</f>
        <v>http://vk.com/club26822578</v>
      </c>
      <c r="Q3092">
        <v>14601</v>
      </c>
      <c r="R3092" t="s">
        <v>6067</v>
      </c>
      <c r="S3092" t="s">
        <v>6073</v>
      </c>
    </row>
    <row r="3093" spans="1:19" ht="14.25" customHeight="1" x14ac:dyDescent="0.3">
      <c r="A3093" t="s">
        <v>4995</v>
      </c>
      <c r="B3093" t="s">
        <v>296</v>
      </c>
      <c r="C3093" t="s">
        <v>3538</v>
      </c>
      <c r="D3093" t="s">
        <v>4</v>
      </c>
      <c r="E3093" t="s">
        <v>5288</v>
      </c>
      <c r="F3093" t="s">
        <v>6056</v>
      </c>
      <c r="G3093" s="2" t="str">
        <f>HYPERLINK("https://vk.com/wall-106985610_804")</f>
        <v>https://vk.com/wall-106985610_804</v>
      </c>
      <c r="H3093" t="s">
        <v>6062</v>
      </c>
      <c r="I3093" t="s">
        <v>5289</v>
      </c>
      <c r="J3093" s="2" t="str">
        <f>HYPERLINK("http://vk.com/club106985610")</f>
        <v>http://vk.com/club106985610</v>
      </c>
      <c r="K3093">
        <v>745</v>
      </c>
      <c r="L3093" t="s">
        <v>6065</v>
      </c>
      <c r="N3093" t="s">
        <v>25</v>
      </c>
      <c r="O3093" t="s">
        <v>5289</v>
      </c>
      <c r="P3093" s="2" t="str">
        <f>HYPERLINK("http://vk.com/club106985610")</f>
        <v>http://vk.com/club106985610</v>
      </c>
      <c r="Q3093">
        <v>745</v>
      </c>
      <c r="R3093" t="s">
        <v>6067</v>
      </c>
      <c r="S3093" t="s">
        <v>6073</v>
      </c>
    </row>
    <row r="3094" spans="1:19" ht="14.25" customHeight="1" x14ac:dyDescent="0.3">
      <c r="A3094" t="s">
        <v>3527</v>
      </c>
      <c r="B3094" t="s">
        <v>903</v>
      </c>
      <c r="C3094" t="s">
        <v>95</v>
      </c>
      <c r="D3094" t="s">
        <v>4</v>
      </c>
      <c r="E3094" t="s">
        <v>3820</v>
      </c>
      <c r="F3094" t="s">
        <v>6058</v>
      </c>
      <c r="G3094" s="2" t="str">
        <f>HYPERLINK("https://vk.com/wall22690896_334")</f>
        <v>https://vk.com/wall22690896_334</v>
      </c>
      <c r="H3094" t="s">
        <v>6062</v>
      </c>
      <c r="I3094" t="s">
        <v>3903</v>
      </c>
      <c r="J3094" s="2" t="str">
        <f>HYPERLINK("http://vk.com/id22690896")</f>
        <v>http://vk.com/id22690896</v>
      </c>
      <c r="L3094" t="s">
        <v>6064</v>
      </c>
      <c r="N3094" t="s">
        <v>25</v>
      </c>
      <c r="O3094" t="s">
        <v>3903</v>
      </c>
      <c r="P3094" s="2" t="str">
        <f>HYPERLINK("http://vk.com/id22690896")</f>
        <v>http://vk.com/id22690896</v>
      </c>
      <c r="R3094" t="s">
        <v>6067</v>
      </c>
      <c r="S3094" t="s">
        <v>6078</v>
      </c>
    </row>
    <row r="3095" spans="1:19" ht="14.25" customHeight="1" x14ac:dyDescent="0.3">
      <c r="A3095" t="s">
        <v>2225</v>
      </c>
      <c r="B3095" t="s">
        <v>2219</v>
      </c>
      <c r="C3095" t="s">
        <v>95</v>
      </c>
      <c r="D3095" t="s">
        <v>4</v>
      </c>
      <c r="E3095" t="s">
        <v>3517</v>
      </c>
      <c r="F3095" t="s">
        <v>6058</v>
      </c>
      <c r="G3095" s="2" t="str">
        <f>HYPERLINK("https://vk.com/wall479396088_237")</f>
        <v>https://vk.com/wall479396088_237</v>
      </c>
      <c r="H3095" t="s">
        <v>6062</v>
      </c>
      <c r="I3095" t="s">
        <v>3523</v>
      </c>
      <c r="J3095" s="2" t="str">
        <f>HYPERLINK("http://vk.com/id479396088")</f>
        <v>http://vk.com/id479396088</v>
      </c>
      <c r="K3095">
        <v>3</v>
      </c>
      <c r="L3095" t="s">
        <v>6064</v>
      </c>
      <c r="M3095">
        <v>21</v>
      </c>
      <c r="N3095" t="s">
        <v>25</v>
      </c>
      <c r="O3095" t="s">
        <v>3523</v>
      </c>
      <c r="P3095" s="2" t="str">
        <f>HYPERLINK("http://vk.com/id479396088")</f>
        <v>http://vk.com/id479396088</v>
      </c>
      <c r="Q3095">
        <v>3</v>
      </c>
      <c r="R3095" t="s">
        <v>6067</v>
      </c>
    </row>
    <row r="3096" spans="1:19" ht="14.25" customHeight="1" x14ac:dyDescent="0.3">
      <c r="A3096" t="s">
        <v>3527</v>
      </c>
      <c r="B3096" t="s">
        <v>3885</v>
      </c>
      <c r="C3096" t="s">
        <v>3538</v>
      </c>
      <c r="D3096" t="s">
        <v>4</v>
      </c>
      <c r="E3096" t="s">
        <v>3886</v>
      </c>
      <c r="F3096" t="s">
        <v>6056</v>
      </c>
      <c r="G3096" s="2" t="str">
        <f>HYPERLINK("https://vk.com/wall339023092_520")</f>
        <v>https://vk.com/wall339023092_520</v>
      </c>
      <c r="H3096" t="s">
        <v>6062</v>
      </c>
      <c r="I3096" t="s">
        <v>3887</v>
      </c>
      <c r="J3096" s="2" t="str">
        <f>HYPERLINK("http://vk.com/id339023092")</f>
        <v>http://vk.com/id339023092</v>
      </c>
      <c r="K3096">
        <v>7761</v>
      </c>
      <c r="L3096" t="s">
        <v>6063</v>
      </c>
      <c r="N3096" t="s">
        <v>25</v>
      </c>
      <c r="O3096" t="s">
        <v>3887</v>
      </c>
      <c r="P3096" s="2" t="str">
        <f>HYPERLINK("http://vk.com/id339023092")</f>
        <v>http://vk.com/id339023092</v>
      </c>
      <c r="Q3096">
        <v>7761</v>
      </c>
      <c r="R3096" t="s">
        <v>6067</v>
      </c>
      <c r="S3096" t="s">
        <v>6073</v>
      </c>
    </row>
    <row r="3097" spans="1:19" ht="14.25" customHeight="1" x14ac:dyDescent="0.3">
      <c r="A3097" t="s">
        <v>3527</v>
      </c>
      <c r="B3097" t="s">
        <v>4260</v>
      </c>
      <c r="C3097" t="s">
        <v>3538</v>
      </c>
      <c r="D3097" t="s">
        <v>4</v>
      </c>
      <c r="E3097" t="s">
        <v>4045</v>
      </c>
      <c r="F3097" t="s">
        <v>6058</v>
      </c>
      <c r="G3097" s="2" t="str">
        <f>HYPERLINK("https://vk.com/wall481029026_52")</f>
        <v>https://vk.com/wall481029026_52</v>
      </c>
      <c r="H3097" t="s">
        <v>6062</v>
      </c>
      <c r="I3097" t="s">
        <v>4261</v>
      </c>
      <c r="J3097" s="2" t="str">
        <f>HYPERLINK("http://vk.com/id481029026")</f>
        <v>http://vk.com/id481029026</v>
      </c>
      <c r="K3097">
        <v>2</v>
      </c>
      <c r="L3097" t="s">
        <v>6064</v>
      </c>
      <c r="M3097">
        <v>32</v>
      </c>
      <c r="N3097" t="s">
        <v>25</v>
      </c>
      <c r="O3097" t="s">
        <v>4261</v>
      </c>
      <c r="P3097" s="2" t="str">
        <f>HYPERLINK("http://vk.com/id481029026")</f>
        <v>http://vk.com/id481029026</v>
      </c>
      <c r="Q3097">
        <v>2</v>
      </c>
      <c r="R3097" t="s">
        <v>6067</v>
      </c>
    </row>
    <row r="3098" spans="1:19" ht="14.25" customHeight="1" x14ac:dyDescent="0.3">
      <c r="A3098" t="s">
        <v>5409</v>
      </c>
      <c r="B3098" t="s">
        <v>896</v>
      </c>
      <c r="C3098" t="s">
        <v>3538</v>
      </c>
      <c r="D3098" t="s">
        <v>4</v>
      </c>
      <c r="E3098" t="s">
        <v>5575</v>
      </c>
      <c r="F3098" t="s">
        <v>6056</v>
      </c>
      <c r="G3098" s="2" t="str">
        <f>HYPERLINK("https://vk.com/wall152969779_17913")</f>
        <v>https://vk.com/wall152969779_17913</v>
      </c>
      <c r="H3098" t="s">
        <v>6062</v>
      </c>
      <c r="I3098" t="s">
        <v>5576</v>
      </c>
      <c r="J3098" s="2" t="str">
        <f>HYPERLINK("http://vk.com/id152969779")</f>
        <v>http://vk.com/id152969779</v>
      </c>
      <c r="K3098">
        <v>294</v>
      </c>
      <c r="L3098" t="s">
        <v>6063</v>
      </c>
      <c r="M3098">
        <v>17</v>
      </c>
      <c r="N3098" t="s">
        <v>25</v>
      </c>
      <c r="O3098" t="s">
        <v>5576</v>
      </c>
      <c r="P3098" s="2" t="str">
        <f>HYPERLINK("http://vk.com/id152969779")</f>
        <v>http://vk.com/id152969779</v>
      </c>
      <c r="Q3098">
        <v>294</v>
      </c>
      <c r="R3098" t="s">
        <v>6067</v>
      </c>
      <c r="S3098" t="s">
        <v>6073</v>
      </c>
    </row>
    <row r="3099" spans="1:19" ht="14.25" customHeight="1" x14ac:dyDescent="0.3">
      <c r="A3099" t="s">
        <v>3527</v>
      </c>
      <c r="B3099" t="s">
        <v>3558</v>
      </c>
      <c r="C3099" t="s">
        <v>95</v>
      </c>
      <c r="D3099" t="s">
        <v>4</v>
      </c>
      <c r="E3099" t="s">
        <v>3559</v>
      </c>
      <c r="F3099" t="s">
        <v>6058</v>
      </c>
      <c r="G3099" s="2" t="str">
        <f>HYPERLINK("https://vk.com/wall435593108_1869")</f>
        <v>https://vk.com/wall435593108_1869</v>
      </c>
      <c r="H3099" t="s">
        <v>6062</v>
      </c>
      <c r="I3099" t="s">
        <v>3560</v>
      </c>
      <c r="J3099" s="2" t="str">
        <f>HYPERLINK("http://vk.com/id435593108")</f>
        <v>http://vk.com/id435593108</v>
      </c>
      <c r="K3099">
        <v>306</v>
      </c>
      <c r="L3099" t="s">
        <v>6064</v>
      </c>
      <c r="M3099">
        <v>23</v>
      </c>
      <c r="N3099" t="s">
        <v>25</v>
      </c>
      <c r="O3099" t="s">
        <v>3560</v>
      </c>
      <c r="P3099" s="2" t="str">
        <f>HYPERLINK("http://vk.com/id435593108")</f>
        <v>http://vk.com/id435593108</v>
      </c>
      <c r="Q3099">
        <v>306</v>
      </c>
      <c r="R3099" t="s">
        <v>6067</v>
      </c>
    </row>
    <row r="3100" spans="1:19" ht="14.25" customHeight="1" x14ac:dyDescent="0.3">
      <c r="A3100" t="s">
        <v>3527</v>
      </c>
      <c r="B3100" t="s">
        <v>742</v>
      </c>
      <c r="C3100" t="s">
        <v>95</v>
      </c>
      <c r="D3100" t="s">
        <v>4</v>
      </c>
      <c r="E3100" t="s">
        <v>3517</v>
      </c>
      <c r="F3100" t="s">
        <v>6058</v>
      </c>
      <c r="G3100" s="2" t="str">
        <f>HYPERLINK("https://vk.com/wall435593108_1861")</f>
        <v>https://vk.com/wall435593108_1861</v>
      </c>
      <c r="H3100" t="s">
        <v>6062</v>
      </c>
      <c r="I3100" t="s">
        <v>3560</v>
      </c>
      <c r="J3100" s="2" t="str">
        <f>HYPERLINK("http://vk.com/id435593108")</f>
        <v>http://vk.com/id435593108</v>
      </c>
      <c r="K3100">
        <v>306</v>
      </c>
      <c r="L3100" t="s">
        <v>6064</v>
      </c>
      <c r="M3100">
        <v>23</v>
      </c>
      <c r="N3100" t="s">
        <v>25</v>
      </c>
      <c r="O3100" t="s">
        <v>3560</v>
      </c>
      <c r="P3100" s="2" t="str">
        <f>HYPERLINK("http://vk.com/id435593108")</f>
        <v>http://vk.com/id435593108</v>
      </c>
      <c r="Q3100">
        <v>306</v>
      </c>
      <c r="R3100" t="s">
        <v>6067</v>
      </c>
    </row>
    <row r="3101" spans="1:19" ht="14.25" customHeight="1" x14ac:dyDescent="0.3">
      <c r="A3101" t="s">
        <v>3527</v>
      </c>
      <c r="B3101" t="s">
        <v>2282</v>
      </c>
      <c r="C3101" t="s">
        <v>95</v>
      </c>
      <c r="D3101" t="s">
        <v>4</v>
      </c>
      <c r="E3101" t="s">
        <v>3511</v>
      </c>
      <c r="F3101" t="s">
        <v>6058</v>
      </c>
      <c r="G3101" s="2" t="str">
        <f>HYPERLINK("https://vk.com/wall435593108_1867")</f>
        <v>https://vk.com/wall435593108_1867</v>
      </c>
      <c r="H3101" t="s">
        <v>6062</v>
      </c>
      <c r="I3101" t="s">
        <v>3560</v>
      </c>
      <c r="J3101" s="2" t="str">
        <f>HYPERLINK("http://vk.com/id435593108")</f>
        <v>http://vk.com/id435593108</v>
      </c>
      <c r="K3101">
        <v>306</v>
      </c>
      <c r="L3101" t="s">
        <v>6064</v>
      </c>
      <c r="M3101">
        <v>23</v>
      </c>
      <c r="N3101" t="s">
        <v>25</v>
      </c>
      <c r="O3101" t="s">
        <v>3560</v>
      </c>
      <c r="P3101" s="2" t="str">
        <f>HYPERLINK("http://vk.com/id435593108")</f>
        <v>http://vk.com/id435593108</v>
      </c>
      <c r="Q3101">
        <v>306</v>
      </c>
      <c r="R3101" t="s">
        <v>6067</v>
      </c>
    </row>
    <row r="3102" spans="1:19" ht="14.25" customHeight="1" x14ac:dyDescent="0.3">
      <c r="A3102" t="s">
        <v>3527</v>
      </c>
      <c r="B3102" t="s">
        <v>4097</v>
      </c>
      <c r="C3102" t="s">
        <v>95</v>
      </c>
      <c r="D3102" t="s">
        <v>4</v>
      </c>
      <c r="E3102" t="s">
        <v>4098</v>
      </c>
      <c r="F3102" t="s">
        <v>6056</v>
      </c>
      <c r="G3102" s="2" t="str">
        <f>HYPERLINK("https://vk.com/wall9670989_8073")</f>
        <v>https://vk.com/wall9670989_8073</v>
      </c>
      <c r="H3102" t="s">
        <v>6062</v>
      </c>
      <c r="I3102" t="s">
        <v>4099</v>
      </c>
      <c r="J3102" s="2" t="str">
        <f>HYPERLINK("http://vk.com/id9670989")</f>
        <v>http://vk.com/id9670989</v>
      </c>
      <c r="K3102">
        <v>17040</v>
      </c>
      <c r="L3102" t="s">
        <v>6064</v>
      </c>
      <c r="M3102">
        <v>27</v>
      </c>
      <c r="N3102" t="s">
        <v>25</v>
      </c>
      <c r="O3102" t="s">
        <v>4099</v>
      </c>
      <c r="P3102" s="2" t="str">
        <f>HYPERLINK("http://vk.com/id9670989")</f>
        <v>http://vk.com/id9670989</v>
      </c>
      <c r="Q3102">
        <v>17040</v>
      </c>
      <c r="R3102" t="s">
        <v>6067</v>
      </c>
      <c r="S3102" t="s">
        <v>6073</v>
      </c>
    </row>
    <row r="3103" spans="1:19" ht="14.25" customHeight="1" x14ac:dyDescent="0.3">
      <c r="A3103" t="s">
        <v>3527</v>
      </c>
      <c r="B3103" t="s">
        <v>3977</v>
      </c>
      <c r="C3103" t="s">
        <v>95</v>
      </c>
      <c r="D3103" t="s">
        <v>4</v>
      </c>
      <c r="E3103" t="s">
        <v>3820</v>
      </c>
      <c r="F3103" t="s">
        <v>6058</v>
      </c>
      <c r="G3103" s="2" t="str">
        <f>HYPERLINK("https://vk.com/wall480679805_111")</f>
        <v>https://vk.com/wall480679805_111</v>
      </c>
      <c r="H3103" t="s">
        <v>6062</v>
      </c>
      <c r="I3103" t="s">
        <v>3561</v>
      </c>
      <c r="J3103" s="2" t="str">
        <f>HYPERLINK("http://vk.com/id480679805")</f>
        <v>http://vk.com/id480679805</v>
      </c>
      <c r="K3103">
        <v>7</v>
      </c>
      <c r="L3103" t="s">
        <v>6063</v>
      </c>
      <c r="M3103">
        <v>35</v>
      </c>
      <c r="N3103" t="s">
        <v>25</v>
      </c>
      <c r="O3103" t="s">
        <v>3561</v>
      </c>
      <c r="P3103" s="2" t="str">
        <f>HYPERLINK("http://vk.com/id480679805")</f>
        <v>http://vk.com/id480679805</v>
      </c>
      <c r="Q3103">
        <v>7</v>
      </c>
      <c r="R3103" t="s">
        <v>6067</v>
      </c>
    </row>
    <row r="3104" spans="1:19" ht="14.25" customHeight="1" x14ac:dyDescent="0.3">
      <c r="A3104" t="s">
        <v>3527</v>
      </c>
      <c r="B3104" t="s">
        <v>2273</v>
      </c>
      <c r="C3104" t="s">
        <v>95</v>
      </c>
      <c r="D3104" t="s">
        <v>4</v>
      </c>
      <c r="E3104" t="s">
        <v>3511</v>
      </c>
      <c r="F3104" t="s">
        <v>6058</v>
      </c>
      <c r="G3104" s="2" t="str">
        <f>HYPERLINK("https://vk.com/wall480679805_121")</f>
        <v>https://vk.com/wall480679805_121</v>
      </c>
      <c r="H3104" t="s">
        <v>6062</v>
      </c>
      <c r="I3104" t="s">
        <v>3561</v>
      </c>
      <c r="J3104" s="2" t="str">
        <f>HYPERLINK("http://vk.com/id480679805")</f>
        <v>http://vk.com/id480679805</v>
      </c>
      <c r="K3104">
        <v>7</v>
      </c>
      <c r="L3104" t="s">
        <v>6063</v>
      </c>
      <c r="M3104">
        <v>35</v>
      </c>
      <c r="N3104" t="s">
        <v>25</v>
      </c>
      <c r="O3104" t="s">
        <v>3561</v>
      </c>
      <c r="P3104" s="2" t="str">
        <f>HYPERLINK("http://vk.com/id480679805")</f>
        <v>http://vk.com/id480679805</v>
      </c>
      <c r="Q3104">
        <v>7</v>
      </c>
      <c r="R3104" t="s">
        <v>6067</v>
      </c>
    </row>
    <row r="3105" spans="1:19" ht="14.25" customHeight="1" x14ac:dyDescent="0.3">
      <c r="A3105" t="s">
        <v>3527</v>
      </c>
      <c r="B3105" t="s">
        <v>3858</v>
      </c>
      <c r="C3105" t="s">
        <v>95</v>
      </c>
      <c r="D3105" t="s">
        <v>4</v>
      </c>
      <c r="E3105" t="s">
        <v>3706</v>
      </c>
      <c r="F3105" t="s">
        <v>6058</v>
      </c>
      <c r="G3105" s="2" t="str">
        <f>HYPERLINK("https://vk.com/wall424787345_139")</f>
        <v>https://vk.com/wall424787345_139</v>
      </c>
      <c r="H3105" t="s">
        <v>6062</v>
      </c>
      <c r="I3105" t="s">
        <v>3859</v>
      </c>
      <c r="J3105" s="2" t="str">
        <f>HYPERLINK("http://vk.com/id424787345")</f>
        <v>http://vk.com/id424787345</v>
      </c>
      <c r="K3105">
        <v>171</v>
      </c>
      <c r="L3105" t="s">
        <v>6064</v>
      </c>
      <c r="M3105">
        <v>20</v>
      </c>
      <c r="N3105" t="s">
        <v>25</v>
      </c>
      <c r="O3105" t="s">
        <v>3859</v>
      </c>
      <c r="P3105" s="2" t="str">
        <f>HYPERLINK("http://vk.com/id424787345")</f>
        <v>http://vk.com/id424787345</v>
      </c>
      <c r="Q3105">
        <v>171</v>
      </c>
      <c r="R3105" t="s">
        <v>6067</v>
      </c>
      <c r="S3105" t="s">
        <v>6106</v>
      </c>
    </row>
    <row r="3106" spans="1:19" ht="14.25" customHeight="1" x14ac:dyDescent="0.3">
      <c r="A3106" t="s">
        <v>3527</v>
      </c>
      <c r="B3106" t="s">
        <v>963</v>
      </c>
      <c r="C3106" t="s">
        <v>95</v>
      </c>
      <c r="D3106" t="s">
        <v>4</v>
      </c>
      <c r="E3106" t="s">
        <v>3820</v>
      </c>
      <c r="F3106" t="s">
        <v>6058</v>
      </c>
      <c r="G3106" s="2" t="str">
        <f>HYPERLINK("https://vk.com/wall424787345_134")</f>
        <v>https://vk.com/wall424787345_134</v>
      </c>
      <c r="H3106" t="s">
        <v>6062</v>
      </c>
      <c r="I3106" t="s">
        <v>3859</v>
      </c>
      <c r="J3106" s="2" t="str">
        <f>HYPERLINK("http://vk.com/id424787345")</f>
        <v>http://vk.com/id424787345</v>
      </c>
      <c r="K3106">
        <v>171</v>
      </c>
      <c r="L3106" t="s">
        <v>6064</v>
      </c>
      <c r="M3106">
        <v>20</v>
      </c>
      <c r="N3106" t="s">
        <v>25</v>
      </c>
      <c r="O3106" t="s">
        <v>3859</v>
      </c>
      <c r="P3106" s="2" t="str">
        <f>HYPERLINK("http://vk.com/id424787345")</f>
        <v>http://vk.com/id424787345</v>
      </c>
      <c r="Q3106">
        <v>171</v>
      </c>
      <c r="R3106" t="s">
        <v>6067</v>
      </c>
      <c r="S3106" t="s">
        <v>6106</v>
      </c>
    </row>
    <row r="3107" spans="1:19" ht="14.25" customHeight="1" x14ac:dyDescent="0.3">
      <c r="A3107" t="s">
        <v>3527</v>
      </c>
      <c r="B3107" t="s">
        <v>1356</v>
      </c>
      <c r="C3107" t="s">
        <v>95</v>
      </c>
      <c r="D3107" t="s">
        <v>4</v>
      </c>
      <c r="E3107" t="s">
        <v>4045</v>
      </c>
      <c r="F3107" t="s">
        <v>6058</v>
      </c>
      <c r="G3107" s="2" t="str">
        <f>HYPERLINK("https://vk.com/wall443799267_202")</f>
        <v>https://vk.com/wall443799267_202</v>
      </c>
      <c r="H3107" t="s">
        <v>6062</v>
      </c>
      <c r="I3107" t="s">
        <v>4166</v>
      </c>
      <c r="J3107" s="2" t="str">
        <f>HYPERLINK("http://vk.com/id443799267")</f>
        <v>http://vk.com/id443799267</v>
      </c>
      <c r="K3107">
        <v>50</v>
      </c>
      <c r="L3107" t="s">
        <v>6064</v>
      </c>
      <c r="M3107">
        <v>117</v>
      </c>
      <c r="N3107" t="s">
        <v>25</v>
      </c>
      <c r="O3107" t="s">
        <v>4166</v>
      </c>
      <c r="P3107" s="2" t="str">
        <f>HYPERLINK("http://vk.com/id443799267")</f>
        <v>http://vk.com/id443799267</v>
      </c>
      <c r="Q3107">
        <v>50</v>
      </c>
      <c r="R3107" t="s">
        <v>6067</v>
      </c>
    </row>
    <row r="3108" spans="1:19" ht="14.25" customHeight="1" x14ac:dyDescent="0.3">
      <c r="A3108" t="s">
        <v>3527</v>
      </c>
      <c r="B3108" t="s">
        <v>43</v>
      </c>
      <c r="C3108" t="s">
        <v>95</v>
      </c>
      <c r="D3108" t="s">
        <v>4</v>
      </c>
      <c r="E3108" t="s">
        <v>4045</v>
      </c>
      <c r="F3108" t="s">
        <v>6058</v>
      </c>
      <c r="G3108" s="2" t="str">
        <f>HYPERLINK("https://vk.com/wall479364406_27")</f>
        <v>https://vk.com/wall479364406_27</v>
      </c>
      <c r="H3108" t="s">
        <v>6062</v>
      </c>
      <c r="I3108" t="s">
        <v>4140</v>
      </c>
      <c r="J3108" s="2" t="str">
        <f>HYPERLINK("http://vk.com/id479364406")</f>
        <v>http://vk.com/id479364406</v>
      </c>
      <c r="K3108">
        <v>182</v>
      </c>
      <c r="L3108" t="s">
        <v>6063</v>
      </c>
      <c r="N3108" t="s">
        <v>25</v>
      </c>
      <c r="O3108" t="s">
        <v>4140</v>
      </c>
      <c r="P3108" s="2" t="str">
        <f>HYPERLINK("http://vk.com/id479364406")</f>
        <v>http://vk.com/id479364406</v>
      </c>
      <c r="Q3108">
        <v>182</v>
      </c>
      <c r="R3108" t="s">
        <v>6067</v>
      </c>
      <c r="S3108" t="s">
        <v>6072</v>
      </c>
    </row>
    <row r="3109" spans="1:19" ht="14.25" customHeight="1" x14ac:dyDescent="0.3">
      <c r="A3109" t="s">
        <v>3527</v>
      </c>
      <c r="B3109" t="s">
        <v>2261</v>
      </c>
      <c r="C3109" t="s">
        <v>95</v>
      </c>
      <c r="D3109" t="s">
        <v>4</v>
      </c>
      <c r="E3109" t="s">
        <v>3548</v>
      </c>
      <c r="F3109" t="s">
        <v>6056</v>
      </c>
      <c r="G3109" s="2" t="str">
        <f>HYPERLINK("https://vk.com/wall7380606_10046")</f>
        <v>https://vk.com/wall7380606_10046</v>
      </c>
      <c r="H3109" t="s">
        <v>6062</v>
      </c>
      <c r="I3109" t="s">
        <v>3549</v>
      </c>
      <c r="J3109" s="2" t="str">
        <f>HYPERLINK("http://vk.com/id7380606")</f>
        <v>http://vk.com/id7380606</v>
      </c>
      <c r="K3109">
        <v>1759</v>
      </c>
      <c r="L3109" t="s">
        <v>6063</v>
      </c>
      <c r="N3109" t="s">
        <v>25</v>
      </c>
      <c r="O3109" t="s">
        <v>3549</v>
      </c>
      <c r="P3109" s="2" t="str">
        <f>HYPERLINK("http://vk.com/id7380606")</f>
        <v>http://vk.com/id7380606</v>
      </c>
      <c r="Q3109">
        <v>1759</v>
      </c>
      <c r="R3109" t="s">
        <v>6067</v>
      </c>
      <c r="S3109" t="s">
        <v>6073</v>
      </c>
    </row>
    <row r="3110" spans="1:19" ht="14.25" customHeight="1" x14ac:dyDescent="0.3">
      <c r="A3110" t="s">
        <v>3527</v>
      </c>
      <c r="B3110" t="s">
        <v>3550</v>
      </c>
      <c r="C3110" t="s">
        <v>95</v>
      </c>
      <c r="D3110" t="s">
        <v>4</v>
      </c>
      <c r="E3110" t="s">
        <v>3548</v>
      </c>
      <c r="F3110" t="s">
        <v>6056</v>
      </c>
      <c r="G3110" s="2" t="str">
        <f>HYPERLINK("https://vk.com/wall7380606_10045")</f>
        <v>https://vk.com/wall7380606_10045</v>
      </c>
      <c r="H3110" t="s">
        <v>6062</v>
      </c>
      <c r="I3110" t="s">
        <v>3549</v>
      </c>
      <c r="J3110" s="2" t="str">
        <f>HYPERLINK("http://vk.com/id7380606")</f>
        <v>http://vk.com/id7380606</v>
      </c>
      <c r="K3110">
        <v>1759</v>
      </c>
      <c r="L3110" t="s">
        <v>6063</v>
      </c>
      <c r="N3110" t="s">
        <v>25</v>
      </c>
      <c r="O3110" t="s">
        <v>3549</v>
      </c>
      <c r="P3110" s="2" t="str">
        <f>HYPERLINK("http://vk.com/id7380606")</f>
        <v>http://vk.com/id7380606</v>
      </c>
      <c r="Q3110">
        <v>1759</v>
      </c>
      <c r="R3110" t="s">
        <v>6067</v>
      </c>
      <c r="S3110" t="s">
        <v>6073</v>
      </c>
    </row>
    <row r="3111" spans="1:19" ht="14.25" customHeight="1" x14ac:dyDescent="0.3">
      <c r="A3111" t="s">
        <v>3527</v>
      </c>
      <c r="B3111" t="s">
        <v>3550</v>
      </c>
      <c r="C3111" t="s">
        <v>95</v>
      </c>
      <c r="D3111" t="s">
        <v>4</v>
      </c>
      <c r="E3111" t="s">
        <v>3548</v>
      </c>
      <c r="F3111" t="s">
        <v>6056</v>
      </c>
      <c r="G3111" s="2" t="str">
        <f>HYPERLINK("https://vk.com/wall7380606_10043")</f>
        <v>https://vk.com/wall7380606_10043</v>
      </c>
      <c r="H3111" t="s">
        <v>6062</v>
      </c>
      <c r="I3111" t="s">
        <v>3549</v>
      </c>
      <c r="J3111" s="2" t="str">
        <f>HYPERLINK("http://vk.com/id7380606")</f>
        <v>http://vk.com/id7380606</v>
      </c>
      <c r="K3111">
        <v>1759</v>
      </c>
      <c r="L3111" t="s">
        <v>6063</v>
      </c>
      <c r="N3111" t="s">
        <v>25</v>
      </c>
      <c r="O3111" t="s">
        <v>3549</v>
      </c>
      <c r="P3111" s="2" t="str">
        <f>HYPERLINK("http://vk.com/id7380606")</f>
        <v>http://vk.com/id7380606</v>
      </c>
      <c r="Q3111">
        <v>1759</v>
      </c>
      <c r="R3111" t="s">
        <v>6067</v>
      </c>
      <c r="S3111" t="s">
        <v>6073</v>
      </c>
    </row>
    <row r="3112" spans="1:19" ht="14.25" customHeight="1" x14ac:dyDescent="0.3">
      <c r="A3112" t="s">
        <v>3527</v>
      </c>
      <c r="B3112" t="s">
        <v>2269</v>
      </c>
      <c r="C3112" t="s">
        <v>95</v>
      </c>
      <c r="D3112" t="s">
        <v>4</v>
      </c>
      <c r="E3112" t="s">
        <v>3557</v>
      </c>
      <c r="F3112" t="s">
        <v>6056</v>
      </c>
      <c r="G3112" s="2" t="str">
        <f>HYPERLINK("https://vk.com/wall7380606_10042")</f>
        <v>https://vk.com/wall7380606_10042</v>
      </c>
      <c r="H3112" t="s">
        <v>6062</v>
      </c>
      <c r="I3112" t="s">
        <v>3549</v>
      </c>
      <c r="J3112" s="2" t="str">
        <f>HYPERLINK("http://vk.com/id7380606")</f>
        <v>http://vk.com/id7380606</v>
      </c>
      <c r="K3112">
        <v>1759</v>
      </c>
      <c r="L3112" t="s">
        <v>6063</v>
      </c>
      <c r="N3112" t="s">
        <v>25</v>
      </c>
      <c r="O3112" t="s">
        <v>3549</v>
      </c>
      <c r="P3112" s="2" t="str">
        <f>HYPERLINK("http://vk.com/id7380606")</f>
        <v>http://vk.com/id7380606</v>
      </c>
      <c r="Q3112">
        <v>1759</v>
      </c>
      <c r="R3112" t="s">
        <v>6067</v>
      </c>
      <c r="S3112" t="s">
        <v>6073</v>
      </c>
    </row>
    <row r="3113" spans="1:19" ht="14.25" customHeight="1" x14ac:dyDescent="0.3">
      <c r="A3113" t="s">
        <v>5409</v>
      </c>
      <c r="B3113" t="s">
        <v>5016</v>
      </c>
      <c r="C3113" t="s">
        <v>3538</v>
      </c>
      <c r="D3113" t="s">
        <v>4</v>
      </c>
      <c r="E3113" t="s">
        <v>5434</v>
      </c>
      <c r="F3113" t="s">
        <v>6056</v>
      </c>
      <c r="G3113" s="2" t="str">
        <f>HYPERLINK("https://vk.com/wall481057043_5")</f>
        <v>https://vk.com/wall481057043_5</v>
      </c>
      <c r="H3113" t="s">
        <v>6062</v>
      </c>
      <c r="I3113" t="s">
        <v>5330</v>
      </c>
      <c r="J3113" s="2" t="str">
        <f>HYPERLINK("http://vk.com/id481057043")</f>
        <v>http://vk.com/id481057043</v>
      </c>
      <c r="K3113">
        <v>0</v>
      </c>
      <c r="L3113" t="s">
        <v>6063</v>
      </c>
      <c r="M3113">
        <v>28</v>
      </c>
      <c r="N3113" t="s">
        <v>25</v>
      </c>
      <c r="O3113" t="s">
        <v>5330</v>
      </c>
      <c r="P3113" s="2" t="str">
        <f>HYPERLINK("http://vk.com/id481057043")</f>
        <v>http://vk.com/id481057043</v>
      </c>
      <c r="Q3113">
        <v>0</v>
      </c>
      <c r="R3113" t="s">
        <v>6067</v>
      </c>
    </row>
    <row r="3114" spans="1:19" ht="14.25" customHeight="1" x14ac:dyDescent="0.3">
      <c r="A3114" t="s">
        <v>5409</v>
      </c>
      <c r="B3114" t="s">
        <v>3589</v>
      </c>
      <c r="C3114" t="s">
        <v>3538</v>
      </c>
      <c r="D3114" t="s">
        <v>4</v>
      </c>
      <c r="E3114" t="s">
        <v>5445</v>
      </c>
      <c r="F3114" t="s">
        <v>6056</v>
      </c>
      <c r="G3114" s="2" t="str">
        <f>HYPERLINK("https://vk.com/wall481057043_3")</f>
        <v>https://vk.com/wall481057043_3</v>
      </c>
      <c r="H3114" t="s">
        <v>6062</v>
      </c>
      <c r="I3114" t="s">
        <v>5330</v>
      </c>
      <c r="J3114" s="2" t="str">
        <f>HYPERLINK("http://vk.com/id481057043")</f>
        <v>http://vk.com/id481057043</v>
      </c>
      <c r="K3114">
        <v>0</v>
      </c>
      <c r="L3114" t="s">
        <v>6063</v>
      </c>
      <c r="M3114">
        <v>28</v>
      </c>
      <c r="N3114" t="s">
        <v>25</v>
      </c>
      <c r="O3114" t="s">
        <v>5330</v>
      </c>
      <c r="P3114" s="2" t="str">
        <f>HYPERLINK("http://vk.com/id481057043")</f>
        <v>http://vk.com/id481057043</v>
      </c>
      <c r="Q3114">
        <v>0</v>
      </c>
      <c r="R3114" t="s">
        <v>6067</v>
      </c>
    </row>
    <row r="3115" spans="1:19" ht="14.25" customHeight="1" x14ac:dyDescent="0.3">
      <c r="A3115" t="s">
        <v>5409</v>
      </c>
      <c r="B3115" t="s">
        <v>3597</v>
      </c>
      <c r="C3115" t="s">
        <v>3538</v>
      </c>
      <c r="D3115" t="s">
        <v>4</v>
      </c>
      <c r="E3115" t="s">
        <v>5455</v>
      </c>
      <c r="F3115" t="s">
        <v>6056</v>
      </c>
      <c r="G3115" s="2" t="str">
        <f>HYPERLINK("https://vk.com/wall481057043_2")</f>
        <v>https://vk.com/wall481057043_2</v>
      </c>
      <c r="H3115" t="s">
        <v>6062</v>
      </c>
      <c r="I3115" t="s">
        <v>5330</v>
      </c>
      <c r="J3115" s="2" t="str">
        <f>HYPERLINK("http://vk.com/id481057043")</f>
        <v>http://vk.com/id481057043</v>
      </c>
      <c r="K3115">
        <v>0</v>
      </c>
      <c r="L3115" t="s">
        <v>6063</v>
      </c>
      <c r="M3115">
        <v>28</v>
      </c>
      <c r="N3115" t="s">
        <v>25</v>
      </c>
      <c r="O3115" t="s">
        <v>5330</v>
      </c>
      <c r="P3115" s="2" t="str">
        <f>HYPERLINK("http://vk.com/id481057043")</f>
        <v>http://vk.com/id481057043</v>
      </c>
      <c r="Q3115">
        <v>0</v>
      </c>
      <c r="R3115" t="s">
        <v>6067</v>
      </c>
    </row>
    <row r="3116" spans="1:19" ht="14.25" customHeight="1" x14ac:dyDescent="0.3">
      <c r="A3116" t="s">
        <v>3527</v>
      </c>
      <c r="B3116" t="s">
        <v>4000</v>
      </c>
      <c r="C3116" t="s">
        <v>95</v>
      </c>
      <c r="D3116" t="s">
        <v>4</v>
      </c>
      <c r="E3116" t="s">
        <v>3625</v>
      </c>
      <c r="F3116" t="s">
        <v>6058</v>
      </c>
      <c r="G3116" s="2" t="str">
        <f>HYPERLINK("https://vk.com/wall479108319_154")</f>
        <v>https://vk.com/wall479108319_154</v>
      </c>
      <c r="H3116" t="s">
        <v>6062</v>
      </c>
      <c r="I3116" t="s">
        <v>4002</v>
      </c>
      <c r="J3116" s="2" t="str">
        <f>HYPERLINK("http://vk.com/id479108319")</f>
        <v>http://vk.com/id479108319</v>
      </c>
      <c r="L3116" t="s">
        <v>6063</v>
      </c>
      <c r="M3116">
        <v>18</v>
      </c>
      <c r="N3116" t="s">
        <v>25</v>
      </c>
      <c r="O3116" t="s">
        <v>4002</v>
      </c>
      <c r="P3116" s="2" t="str">
        <f>HYPERLINK("http://vk.com/id479108319")</f>
        <v>http://vk.com/id479108319</v>
      </c>
      <c r="R3116" t="s">
        <v>6067</v>
      </c>
    </row>
    <row r="3117" spans="1:19" ht="14.25" customHeight="1" x14ac:dyDescent="0.3">
      <c r="A3117" t="s">
        <v>2225</v>
      </c>
      <c r="B3117" t="s">
        <v>2400</v>
      </c>
      <c r="C3117" t="s">
        <v>95</v>
      </c>
      <c r="D3117" t="s">
        <v>4</v>
      </c>
      <c r="E3117" t="s">
        <v>2403</v>
      </c>
      <c r="F3117" t="s">
        <v>6056</v>
      </c>
      <c r="G3117" s="2" t="str">
        <f>HYPERLINK("https://vk.com/wall-136417779_349")</f>
        <v>https://vk.com/wall-136417779_349</v>
      </c>
      <c r="H3117" t="s">
        <v>6062</v>
      </c>
      <c r="I3117" t="s">
        <v>2404</v>
      </c>
      <c r="J3117" s="2" t="str">
        <f>HYPERLINK("http://vk.com/club136417779")</f>
        <v>http://vk.com/club136417779</v>
      </c>
      <c r="K3117">
        <v>1561</v>
      </c>
      <c r="L3117" t="s">
        <v>6065</v>
      </c>
      <c r="N3117" t="s">
        <v>25</v>
      </c>
      <c r="O3117" t="s">
        <v>2404</v>
      </c>
      <c r="P3117" s="2" t="str">
        <f>HYPERLINK("http://vk.com/club136417779")</f>
        <v>http://vk.com/club136417779</v>
      </c>
      <c r="Q3117">
        <v>1561</v>
      </c>
      <c r="R3117" t="s">
        <v>6067</v>
      </c>
      <c r="S3117" t="s">
        <v>6073</v>
      </c>
    </row>
    <row r="3118" spans="1:19" ht="14.25" customHeight="1" x14ac:dyDescent="0.3">
      <c r="A3118" t="s">
        <v>4439</v>
      </c>
      <c r="B3118" t="s">
        <v>271</v>
      </c>
      <c r="C3118" t="s">
        <v>3538</v>
      </c>
      <c r="D3118" t="s">
        <v>4</v>
      </c>
      <c r="E3118" t="s">
        <v>4767</v>
      </c>
      <c r="F3118" t="s">
        <v>6056</v>
      </c>
      <c r="G3118" s="2" t="str">
        <f>HYPERLINK("https://vk.com/wall138349856_5173")</f>
        <v>https://vk.com/wall138349856_5173</v>
      </c>
      <c r="H3118" t="s">
        <v>6062</v>
      </c>
      <c r="I3118" t="s">
        <v>4768</v>
      </c>
      <c r="J3118" s="2" t="str">
        <f>HYPERLINK("http://vk.com/id138349856")</f>
        <v>http://vk.com/id138349856</v>
      </c>
      <c r="K3118">
        <v>642</v>
      </c>
      <c r="L3118" t="s">
        <v>6063</v>
      </c>
      <c r="N3118" t="s">
        <v>25</v>
      </c>
      <c r="O3118" t="s">
        <v>4768</v>
      </c>
      <c r="P3118" s="2" t="str">
        <f>HYPERLINK("http://vk.com/id138349856")</f>
        <v>http://vk.com/id138349856</v>
      </c>
      <c r="Q3118">
        <v>642</v>
      </c>
      <c r="R3118" t="s">
        <v>6067</v>
      </c>
      <c r="S3118" t="s">
        <v>6073</v>
      </c>
    </row>
    <row r="3119" spans="1:19" ht="14.25" customHeight="1" x14ac:dyDescent="0.3">
      <c r="A3119" t="s">
        <v>3527</v>
      </c>
      <c r="B3119" t="s">
        <v>396</v>
      </c>
      <c r="C3119" t="s">
        <v>3538</v>
      </c>
      <c r="D3119" t="s">
        <v>4</v>
      </c>
      <c r="E3119" t="s">
        <v>4045</v>
      </c>
      <c r="F3119" t="s">
        <v>6058</v>
      </c>
      <c r="G3119" s="2" t="str">
        <f>HYPERLINK("https://vk.com/wall452795524_449")</f>
        <v>https://vk.com/wall452795524_449</v>
      </c>
      <c r="H3119" t="s">
        <v>6062</v>
      </c>
      <c r="I3119" t="s">
        <v>4308</v>
      </c>
      <c r="J3119" s="2" t="str">
        <f>HYPERLINK("http://vk.com/id452795524")</f>
        <v>http://vk.com/id452795524</v>
      </c>
      <c r="K3119">
        <v>7</v>
      </c>
      <c r="L3119" t="s">
        <v>6063</v>
      </c>
      <c r="N3119" t="s">
        <v>25</v>
      </c>
      <c r="O3119" t="s">
        <v>4308</v>
      </c>
      <c r="P3119" s="2" t="str">
        <f>HYPERLINK("http://vk.com/id452795524")</f>
        <v>http://vk.com/id452795524</v>
      </c>
      <c r="Q3119">
        <v>7</v>
      </c>
      <c r="R3119" t="s">
        <v>6067</v>
      </c>
      <c r="S3119" t="s">
        <v>6072</v>
      </c>
    </row>
    <row r="3120" spans="1:19" ht="14.25" customHeight="1" x14ac:dyDescent="0.3">
      <c r="A3120" t="s">
        <v>3527</v>
      </c>
      <c r="B3120" t="s">
        <v>4403</v>
      </c>
      <c r="C3120" t="s">
        <v>3538</v>
      </c>
      <c r="D3120" t="s">
        <v>4</v>
      </c>
      <c r="E3120" t="s">
        <v>4045</v>
      </c>
      <c r="F3120" t="s">
        <v>6058</v>
      </c>
      <c r="G3120" s="2" t="str">
        <f>HYPERLINK("https://vk.com/wall471356002_145")</f>
        <v>https://vk.com/wall471356002_145</v>
      </c>
      <c r="H3120" t="s">
        <v>6062</v>
      </c>
      <c r="I3120" t="s">
        <v>4404</v>
      </c>
      <c r="J3120" s="2" t="str">
        <f>HYPERLINK("http://vk.com/id471356002")</f>
        <v>http://vk.com/id471356002</v>
      </c>
      <c r="K3120">
        <v>39</v>
      </c>
      <c r="L3120" t="s">
        <v>6063</v>
      </c>
      <c r="N3120" t="s">
        <v>25</v>
      </c>
      <c r="O3120" t="s">
        <v>4404</v>
      </c>
      <c r="P3120" s="2" t="str">
        <f>HYPERLINK("http://vk.com/id471356002")</f>
        <v>http://vk.com/id471356002</v>
      </c>
      <c r="Q3120">
        <v>39</v>
      </c>
      <c r="R3120" t="s">
        <v>6067</v>
      </c>
      <c r="S3120" t="s">
        <v>6073</v>
      </c>
    </row>
    <row r="3121" spans="1:19" ht="14.25" customHeight="1" x14ac:dyDescent="0.3">
      <c r="A3121" t="s">
        <v>4995</v>
      </c>
      <c r="B3121" t="s">
        <v>2887</v>
      </c>
      <c r="C3121" t="s">
        <v>3538</v>
      </c>
      <c r="D3121" t="s">
        <v>4</v>
      </c>
      <c r="E3121" t="s">
        <v>5057</v>
      </c>
      <c r="F3121" t="s">
        <v>6056</v>
      </c>
      <c r="G3121" s="2" t="str">
        <f>HYPERLINK("https://vk.com/wall343668333_298")</f>
        <v>https://vk.com/wall343668333_298</v>
      </c>
      <c r="H3121" t="s">
        <v>6062</v>
      </c>
      <c r="I3121" t="s">
        <v>5058</v>
      </c>
      <c r="J3121" s="2" t="str">
        <f>HYPERLINK("http://vk.com/id343668333")</f>
        <v>http://vk.com/id343668333</v>
      </c>
      <c r="K3121">
        <v>335</v>
      </c>
      <c r="L3121" t="s">
        <v>6063</v>
      </c>
      <c r="M3121">
        <v>17</v>
      </c>
      <c r="N3121" t="s">
        <v>25</v>
      </c>
      <c r="O3121" t="s">
        <v>5058</v>
      </c>
      <c r="P3121" s="2" t="str">
        <f>HYPERLINK("http://vk.com/id343668333")</f>
        <v>http://vk.com/id343668333</v>
      </c>
      <c r="Q3121">
        <v>335</v>
      </c>
      <c r="R3121" t="s">
        <v>6067</v>
      </c>
      <c r="S3121" t="s">
        <v>6073</v>
      </c>
    </row>
    <row r="3122" spans="1:19" ht="14.25" customHeight="1" x14ac:dyDescent="0.3">
      <c r="A3122" t="s">
        <v>3527</v>
      </c>
      <c r="B3122" t="s">
        <v>767</v>
      </c>
      <c r="C3122" t="s">
        <v>3538</v>
      </c>
      <c r="D3122" t="s">
        <v>4</v>
      </c>
      <c r="E3122" t="s">
        <v>3625</v>
      </c>
      <c r="F3122" t="s">
        <v>6058</v>
      </c>
      <c r="G3122" s="2" t="str">
        <f>HYPERLINK("https://vk.com/wall159458190_172")</f>
        <v>https://vk.com/wall159458190_172</v>
      </c>
      <c r="H3122" t="s">
        <v>6062</v>
      </c>
      <c r="I3122" t="s">
        <v>3712</v>
      </c>
      <c r="J3122" s="2" t="str">
        <f>HYPERLINK("http://vk.com/id159458190")</f>
        <v>http://vk.com/id159458190</v>
      </c>
      <c r="L3122" t="s">
        <v>6063</v>
      </c>
      <c r="M3122">
        <v>28</v>
      </c>
      <c r="N3122" t="s">
        <v>25</v>
      </c>
      <c r="O3122" t="s">
        <v>3712</v>
      </c>
      <c r="P3122" s="2" t="str">
        <f>HYPERLINK("http://vk.com/id159458190")</f>
        <v>http://vk.com/id159458190</v>
      </c>
      <c r="R3122" t="s">
        <v>6067</v>
      </c>
      <c r="S3122" t="s">
        <v>6072</v>
      </c>
    </row>
    <row r="3123" spans="1:19" ht="14.25" customHeight="1" x14ac:dyDescent="0.3">
      <c r="A3123" t="s">
        <v>2225</v>
      </c>
      <c r="B3123" t="s">
        <v>3219</v>
      </c>
      <c r="C3123" t="s">
        <v>95</v>
      </c>
      <c r="D3123" t="s">
        <v>4</v>
      </c>
      <c r="E3123" t="s">
        <v>3220</v>
      </c>
      <c r="F3123" t="s">
        <v>6056</v>
      </c>
      <c r="G3123" s="2" t="str">
        <f>HYPERLINK("https://vk.com/wall-124305497_1711")</f>
        <v>https://vk.com/wall-124305497_1711</v>
      </c>
      <c r="H3123" t="s">
        <v>6062</v>
      </c>
      <c r="I3123" t="s">
        <v>3221</v>
      </c>
      <c r="J3123" s="2" t="str">
        <f>HYPERLINK("http://vk.com/club124305497")</f>
        <v>http://vk.com/club124305497</v>
      </c>
      <c r="K3123">
        <v>1375</v>
      </c>
      <c r="L3123" t="s">
        <v>6065</v>
      </c>
      <c r="N3123" t="s">
        <v>25</v>
      </c>
      <c r="O3123" t="s">
        <v>3221</v>
      </c>
      <c r="P3123" s="2" t="str">
        <f>HYPERLINK("http://vk.com/club124305497")</f>
        <v>http://vk.com/club124305497</v>
      </c>
      <c r="Q3123">
        <v>1375</v>
      </c>
      <c r="R3123" t="s">
        <v>6067</v>
      </c>
      <c r="S3123" t="s">
        <v>6073</v>
      </c>
    </row>
    <row r="3124" spans="1:19" ht="14.25" customHeight="1" x14ac:dyDescent="0.3">
      <c r="A3124" t="s">
        <v>3527</v>
      </c>
      <c r="B3124" t="s">
        <v>60</v>
      </c>
      <c r="C3124" t="s">
        <v>95</v>
      </c>
      <c r="D3124" t="s">
        <v>4</v>
      </c>
      <c r="E3124" t="s">
        <v>4045</v>
      </c>
      <c r="F3124" t="s">
        <v>6058</v>
      </c>
      <c r="G3124" s="2" t="str">
        <f>HYPERLINK("https://vk.com/wall480763928_32")</f>
        <v>https://vk.com/wall480763928_32</v>
      </c>
      <c r="H3124" t="s">
        <v>6062</v>
      </c>
      <c r="I3124" t="s">
        <v>4156</v>
      </c>
      <c r="J3124" s="2" t="str">
        <f>HYPERLINK("http://vk.com/id480763928")</f>
        <v>http://vk.com/id480763928</v>
      </c>
      <c r="K3124">
        <v>2</v>
      </c>
      <c r="L3124" t="s">
        <v>6064</v>
      </c>
      <c r="M3124">
        <v>108</v>
      </c>
      <c r="N3124" t="s">
        <v>25</v>
      </c>
      <c r="O3124" t="s">
        <v>4156</v>
      </c>
      <c r="P3124" s="2" t="str">
        <f>HYPERLINK("http://vk.com/id480763928")</f>
        <v>http://vk.com/id480763928</v>
      </c>
      <c r="Q3124">
        <v>2</v>
      </c>
      <c r="R3124" t="s">
        <v>6067</v>
      </c>
      <c r="S3124" t="s">
        <v>6080</v>
      </c>
    </row>
    <row r="3125" spans="1:19" ht="14.25" customHeight="1" x14ac:dyDescent="0.3">
      <c r="A3125" t="s">
        <v>5409</v>
      </c>
      <c r="B3125" t="s">
        <v>1005</v>
      </c>
      <c r="C3125" t="s">
        <v>3538</v>
      </c>
      <c r="D3125" t="s">
        <v>5626</v>
      </c>
      <c r="E3125" t="s">
        <v>5627</v>
      </c>
      <c r="F3125" t="s">
        <v>6059</v>
      </c>
      <c r="G3125" s="2" t="str">
        <f>HYPERLINK("https://vk.com/wall-77881498_139320")</f>
        <v>https://vk.com/wall-77881498_139320</v>
      </c>
      <c r="H3125" t="s">
        <v>6062</v>
      </c>
      <c r="I3125" t="s">
        <v>5628</v>
      </c>
      <c r="J3125" s="2" t="str">
        <f>HYPERLINK("http://vk.com/id133312451")</f>
        <v>http://vk.com/id133312451</v>
      </c>
      <c r="K3125">
        <v>11963</v>
      </c>
      <c r="L3125" t="s">
        <v>6063</v>
      </c>
      <c r="N3125" t="s">
        <v>25</v>
      </c>
      <c r="O3125" t="s">
        <v>5629</v>
      </c>
      <c r="P3125" s="2" t="str">
        <f>HYPERLINK("http://vk.com/club77881498")</f>
        <v>http://vk.com/club77881498</v>
      </c>
      <c r="Q3125">
        <v>27743</v>
      </c>
      <c r="R3125" t="s">
        <v>6067</v>
      </c>
      <c r="S3125" t="s">
        <v>6073</v>
      </c>
    </row>
    <row r="3126" spans="1:19" ht="14.25" customHeight="1" x14ac:dyDescent="0.3">
      <c r="A3126" t="s">
        <v>3527</v>
      </c>
      <c r="B3126" t="s">
        <v>1605</v>
      </c>
      <c r="C3126" t="s">
        <v>3538</v>
      </c>
      <c r="D3126" t="s">
        <v>4</v>
      </c>
      <c r="E3126" t="s">
        <v>3994</v>
      </c>
      <c r="F3126" t="s">
        <v>6058</v>
      </c>
      <c r="G3126" s="2" t="str">
        <f>HYPERLINK("https://vk.com/wall190521998_151")</f>
        <v>https://vk.com/wall190521998_151</v>
      </c>
      <c r="H3126" t="s">
        <v>6062</v>
      </c>
      <c r="I3126" t="s">
        <v>4296</v>
      </c>
      <c r="J3126" s="2" t="str">
        <f>HYPERLINK("http://vk.com/id190521998")</f>
        <v>http://vk.com/id190521998</v>
      </c>
      <c r="K3126">
        <v>46</v>
      </c>
      <c r="L3126" t="s">
        <v>6063</v>
      </c>
      <c r="N3126" t="s">
        <v>25</v>
      </c>
      <c r="O3126" t="s">
        <v>4296</v>
      </c>
      <c r="P3126" s="2" t="str">
        <f>HYPERLINK("http://vk.com/id190521998")</f>
        <v>http://vk.com/id190521998</v>
      </c>
      <c r="Q3126">
        <v>46</v>
      </c>
      <c r="R3126" t="s">
        <v>6067</v>
      </c>
      <c r="S3126" t="s">
        <v>6073</v>
      </c>
    </row>
    <row r="3127" spans="1:19" ht="14.25" customHeight="1" x14ac:dyDescent="0.3">
      <c r="A3127" t="s">
        <v>5409</v>
      </c>
      <c r="B3127" t="s">
        <v>3999</v>
      </c>
      <c r="C3127" t="s">
        <v>3538</v>
      </c>
      <c r="D3127" t="s">
        <v>4</v>
      </c>
      <c r="E3127" t="s">
        <v>3994</v>
      </c>
      <c r="F3127" t="s">
        <v>6056</v>
      </c>
      <c r="G3127" s="2" t="str">
        <f>HYPERLINK("https://vk.com/wall-26288379_3895")</f>
        <v>https://vk.com/wall-26288379_3895</v>
      </c>
      <c r="H3127" t="s">
        <v>6062</v>
      </c>
      <c r="I3127" t="s">
        <v>5594</v>
      </c>
      <c r="J3127" s="2" t="str">
        <f>HYPERLINK("http://vk.com/club26288379")</f>
        <v>http://vk.com/club26288379</v>
      </c>
      <c r="K3127">
        <v>6603</v>
      </c>
      <c r="L3127" t="s">
        <v>6065</v>
      </c>
      <c r="N3127" t="s">
        <v>25</v>
      </c>
      <c r="O3127" t="s">
        <v>5594</v>
      </c>
      <c r="P3127" s="2" t="str">
        <f>HYPERLINK("http://vk.com/club26288379")</f>
        <v>http://vk.com/club26288379</v>
      </c>
      <c r="Q3127">
        <v>6603</v>
      </c>
      <c r="R3127" t="s">
        <v>6067</v>
      </c>
      <c r="S3127" t="s">
        <v>6073</v>
      </c>
    </row>
    <row r="3128" spans="1:19" ht="14.25" customHeight="1" x14ac:dyDescent="0.3">
      <c r="A3128" t="s">
        <v>3527</v>
      </c>
      <c r="B3128" t="s">
        <v>3849</v>
      </c>
      <c r="C3128" t="s">
        <v>95</v>
      </c>
      <c r="D3128" t="s">
        <v>4</v>
      </c>
      <c r="E3128" t="s">
        <v>3706</v>
      </c>
      <c r="F3128" t="s">
        <v>6058</v>
      </c>
      <c r="G3128" s="2" t="str">
        <f>HYPERLINK("https://vk.com/wall455210863_803")</f>
        <v>https://vk.com/wall455210863_803</v>
      </c>
      <c r="H3128" t="s">
        <v>6062</v>
      </c>
      <c r="I3128" t="s">
        <v>3850</v>
      </c>
      <c r="J3128" s="2" t="str">
        <f>HYPERLINK("http://vk.com/id455210863")</f>
        <v>http://vk.com/id455210863</v>
      </c>
      <c r="K3128">
        <v>210</v>
      </c>
      <c r="L3128" t="s">
        <v>6064</v>
      </c>
      <c r="M3128">
        <v>14</v>
      </c>
      <c r="N3128" t="s">
        <v>25</v>
      </c>
      <c r="O3128" t="s">
        <v>3850</v>
      </c>
      <c r="P3128" s="2" t="str">
        <f>HYPERLINK("http://vk.com/id455210863")</f>
        <v>http://vk.com/id455210863</v>
      </c>
      <c r="Q3128">
        <v>210</v>
      </c>
      <c r="R3128" t="s">
        <v>6067</v>
      </c>
      <c r="S3128" t="s">
        <v>6073</v>
      </c>
    </row>
    <row r="3129" spans="1:19" ht="14.25" customHeight="1" x14ac:dyDescent="0.3">
      <c r="A3129" t="s">
        <v>3527</v>
      </c>
      <c r="B3129" t="s">
        <v>3893</v>
      </c>
      <c r="C3129" t="s">
        <v>95</v>
      </c>
      <c r="D3129" t="s">
        <v>4</v>
      </c>
      <c r="E3129" t="s">
        <v>3706</v>
      </c>
      <c r="F3129" t="s">
        <v>6058</v>
      </c>
      <c r="G3129" s="2" t="str">
        <f>HYPERLINK("https://vk.com/wall480669182_64")</f>
        <v>https://vk.com/wall480669182_64</v>
      </c>
      <c r="H3129" t="s">
        <v>6062</v>
      </c>
      <c r="I3129" t="s">
        <v>3894</v>
      </c>
      <c r="J3129" s="2" t="str">
        <f>HYPERLINK("http://vk.com/id480669182")</f>
        <v>http://vk.com/id480669182</v>
      </c>
      <c r="K3129">
        <v>0</v>
      </c>
      <c r="L3129" t="s">
        <v>6063</v>
      </c>
      <c r="M3129">
        <v>16</v>
      </c>
      <c r="N3129" t="s">
        <v>25</v>
      </c>
      <c r="O3129" t="s">
        <v>3894</v>
      </c>
      <c r="P3129" s="2" t="str">
        <f>HYPERLINK("http://vk.com/id480669182")</f>
        <v>http://vk.com/id480669182</v>
      </c>
      <c r="Q3129">
        <v>0</v>
      </c>
      <c r="R3129" t="s">
        <v>6067</v>
      </c>
    </row>
    <row r="3130" spans="1:19" ht="14.25" customHeight="1" x14ac:dyDescent="0.3">
      <c r="A3130" t="s">
        <v>3527</v>
      </c>
      <c r="B3130" t="s">
        <v>2284</v>
      </c>
      <c r="C3130" t="s">
        <v>95</v>
      </c>
      <c r="D3130" t="s">
        <v>4</v>
      </c>
      <c r="E3130" t="s">
        <v>3559</v>
      </c>
      <c r="F3130" t="s">
        <v>6058</v>
      </c>
      <c r="G3130" s="2" t="str">
        <f>HYPERLINK("https://vk.com/wall453433161_178")</f>
        <v>https://vk.com/wall453433161_178</v>
      </c>
      <c r="H3130" t="s">
        <v>6062</v>
      </c>
      <c r="I3130" t="s">
        <v>3584</v>
      </c>
      <c r="J3130" s="2" t="str">
        <f>HYPERLINK("http://vk.com/id453433161")</f>
        <v>http://vk.com/id453433161</v>
      </c>
      <c r="K3130">
        <v>184</v>
      </c>
      <c r="L3130" t="s">
        <v>6064</v>
      </c>
      <c r="M3130">
        <v>18</v>
      </c>
      <c r="N3130" t="s">
        <v>25</v>
      </c>
      <c r="O3130" t="s">
        <v>3584</v>
      </c>
      <c r="P3130" s="2" t="str">
        <f>HYPERLINK("http://vk.com/id453433161")</f>
        <v>http://vk.com/id453433161</v>
      </c>
      <c r="Q3130">
        <v>184</v>
      </c>
      <c r="R3130" t="s">
        <v>6067</v>
      </c>
      <c r="S3130" t="s">
        <v>6092</v>
      </c>
    </row>
    <row r="3131" spans="1:19" ht="14.25" customHeight="1" x14ac:dyDescent="0.3">
      <c r="A3131" t="s">
        <v>3527</v>
      </c>
      <c r="B3131" t="s">
        <v>2680</v>
      </c>
      <c r="C3131" t="s">
        <v>95</v>
      </c>
      <c r="D3131" t="s">
        <v>4</v>
      </c>
      <c r="E3131" t="s">
        <v>3517</v>
      </c>
      <c r="F3131" t="s">
        <v>6058</v>
      </c>
      <c r="G3131" s="2" t="str">
        <f>HYPERLINK("https://vk.com/wall444158439_1512")</f>
        <v>https://vk.com/wall444158439_1512</v>
      </c>
      <c r="H3131" t="s">
        <v>6062</v>
      </c>
      <c r="I3131" t="s">
        <v>3702</v>
      </c>
      <c r="J3131" s="2" t="str">
        <f>HYPERLINK("http://vk.com/id444158439")</f>
        <v>http://vk.com/id444158439</v>
      </c>
      <c r="K3131">
        <v>144</v>
      </c>
      <c r="L3131" t="s">
        <v>6063</v>
      </c>
      <c r="M3131">
        <v>33</v>
      </c>
      <c r="N3131" t="s">
        <v>25</v>
      </c>
      <c r="O3131" t="s">
        <v>3702</v>
      </c>
      <c r="P3131" s="2" t="str">
        <f>HYPERLINK("http://vk.com/id444158439")</f>
        <v>http://vk.com/id444158439</v>
      </c>
      <c r="Q3131">
        <v>144</v>
      </c>
      <c r="R3131" t="s">
        <v>6067</v>
      </c>
      <c r="S3131" t="s">
        <v>6072</v>
      </c>
    </row>
    <row r="3132" spans="1:19" ht="14.25" customHeight="1" x14ac:dyDescent="0.3">
      <c r="A3132" t="s">
        <v>4995</v>
      </c>
      <c r="B3132" t="s">
        <v>5247</v>
      </c>
      <c r="C3132" t="s">
        <v>3538</v>
      </c>
      <c r="D3132" t="s">
        <v>4</v>
      </c>
      <c r="E3132" t="s">
        <v>5248</v>
      </c>
      <c r="F3132" t="s">
        <v>6056</v>
      </c>
      <c r="G3132" s="2" t="str">
        <f>HYPERLINK("https://vk.com/wall58984451_1763")</f>
        <v>https://vk.com/wall58984451_1763</v>
      </c>
      <c r="H3132" t="s">
        <v>6062</v>
      </c>
      <c r="I3132" t="s">
        <v>5249</v>
      </c>
      <c r="J3132" s="2" t="str">
        <f>HYPERLINK("http://vk.com/id58984451")</f>
        <v>http://vk.com/id58984451</v>
      </c>
      <c r="K3132">
        <v>181</v>
      </c>
      <c r="L3132" t="s">
        <v>6063</v>
      </c>
      <c r="M3132">
        <v>27</v>
      </c>
      <c r="N3132" t="s">
        <v>25</v>
      </c>
      <c r="O3132" t="s">
        <v>5249</v>
      </c>
      <c r="P3132" s="2" t="str">
        <f>HYPERLINK("http://vk.com/id58984451")</f>
        <v>http://vk.com/id58984451</v>
      </c>
      <c r="Q3132">
        <v>181</v>
      </c>
      <c r="R3132" t="s">
        <v>6067</v>
      </c>
      <c r="S3132" t="s">
        <v>6073</v>
      </c>
    </row>
    <row r="3133" spans="1:19" ht="14.25" customHeight="1" x14ac:dyDescent="0.3">
      <c r="A3133" t="s">
        <v>3527</v>
      </c>
      <c r="B3133" t="s">
        <v>793</v>
      </c>
      <c r="C3133" t="s">
        <v>3538</v>
      </c>
      <c r="D3133" t="s">
        <v>4</v>
      </c>
      <c r="E3133" t="s">
        <v>3706</v>
      </c>
      <c r="F3133" t="s">
        <v>6058</v>
      </c>
      <c r="G3133" s="2" t="str">
        <f>HYPERLINK("https://vk.com/wall290122230_341")</f>
        <v>https://vk.com/wall290122230_341</v>
      </c>
      <c r="H3133" t="s">
        <v>6062</v>
      </c>
      <c r="I3133" t="s">
        <v>3745</v>
      </c>
      <c r="J3133" s="2" t="str">
        <f>HYPERLINK("http://vk.com/id290122230")</f>
        <v>http://vk.com/id290122230</v>
      </c>
      <c r="K3133">
        <v>237</v>
      </c>
      <c r="L3133" t="s">
        <v>6063</v>
      </c>
      <c r="M3133">
        <v>17</v>
      </c>
      <c r="N3133" t="s">
        <v>25</v>
      </c>
      <c r="O3133" t="s">
        <v>3745</v>
      </c>
      <c r="P3133" s="2" t="str">
        <f>HYPERLINK("http://vk.com/id290122230")</f>
        <v>http://vk.com/id290122230</v>
      </c>
      <c r="Q3133">
        <v>237</v>
      </c>
      <c r="R3133" t="s">
        <v>6067</v>
      </c>
      <c r="S3133" t="s">
        <v>6073</v>
      </c>
    </row>
    <row r="3134" spans="1:19" ht="14.25" customHeight="1" x14ac:dyDescent="0.3">
      <c r="A3134" t="s">
        <v>3527</v>
      </c>
      <c r="B3134" t="s">
        <v>461</v>
      </c>
      <c r="C3134" t="s">
        <v>3538</v>
      </c>
      <c r="D3134" t="s">
        <v>4</v>
      </c>
      <c r="E3134" t="s">
        <v>4045</v>
      </c>
      <c r="F3134" t="s">
        <v>6058</v>
      </c>
      <c r="G3134" s="2" t="str">
        <f>HYPERLINK("https://vk.com/wall242238448_1103")</f>
        <v>https://vk.com/wall242238448_1103</v>
      </c>
      <c r="H3134" t="s">
        <v>6062</v>
      </c>
      <c r="I3134" t="s">
        <v>3998</v>
      </c>
      <c r="J3134" s="2" t="str">
        <f>HYPERLINK("http://vk.com/id242238448")</f>
        <v>http://vk.com/id242238448</v>
      </c>
      <c r="K3134">
        <v>203</v>
      </c>
      <c r="L3134" t="s">
        <v>6063</v>
      </c>
      <c r="N3134" t="s">
        <v>25</v>
      </c>
      <c r="O3134" t="s">
        <v>3998</v>
      </c>
      <c r="P3134" s="2" t="str">
        <f>HYPERLINK("http://vk.com/id242238448")</f>
        <v>http://vk.com/id242238448</v>
      </c>
      <c r="Q3134">
        <v>203</v>
      </c>
      <c r="R3134" t="s">
        <v>6067</v>
      </c>
      <c r="S3134" t="s">
        <v>6072</v>
      </c>
    </row>
    <row r="3135" spans="1:19" ht="14.25" customHeight="1" x14ac:dyDescent="0.3">
      <c r="A3135" t="s">
        <v>3527</v>
      </c>
      <c r="B3135" t="s">
        <v>3997</v>
      </c>
      <c r="C3135" t="s">
        <v>95</v>
      </c>
      <c r="D3135" t="s">
        <v>4</v>
      </c>
      <c r="E3135" t="s">
        <v>3792</v>
      </c>
      <c r="F3135" t="s">
        <v>6058</v>
      </c>
      <c r="G3135" s="2" t="str">
        <f>HYPERLINK("https://vk.com/wall242238448_1114")</f>
        <v>https://vk.com/wall242238448_1114</v>
      </c>
      <c r="H3135" t="s">
        <v>6062</v>
      </c>
      <c r="I3135" t="s">
        <v>3998</v>
      </c>
      <c r="J3135" s="2" t="str">
        <f>HYPERLINK("http://vk.com/id242238448")</f>
        <v>http://vk.com/id242238448</v>
      </c>
      <c r="K3135">
        <v>203</v>
      </c>
      <c r="L3135" t="s">
        <v>6063</v>
      </c>
      <c r="N3135" t="s">
        <v>25</v>
      </c>
      <c r="O3135" t="s">
        <v>3998</v>
      </c>
      <c r="P3135" s="2" t="str">
        <f>HYPERLINK("http://vk.com/id242238448")</f>
        <v>http://vk.com/id242238448</v>
      </c>
      <c r="Q3135">
        <v>203</v>
      </c>
      <c r="R3135" t="s">
        <v>6067</v>
      </c>
      <c r="S3135" t="s">
        <v>6072</v>
      </c>
    </row>
    <row r="3136" spans="1:19" ht="14.25" customHeight="1" x14ac:dyDescent="0.3">
      <c r="A3136" t="s">
        <v>3527</v>
      </c>
      <c r="B3136" t="s">
        <v>2282</v>
      </c>
      <c r="C3136" t="s">
        <v>95</v>
      </c>
      <c r="D3136" t="s">
        <v>4</v>
      </c>
      <c r="E3136" t="s">
        <v>3559</v>
      </c>
      <c r="F3136" t="s">
        <v>6058</v>
      </c>
      <c r="G3136" s="2" t="str">
        <f>HYPERLINK("https://vk.com/wall471007354_508")</f>
        <v>https://vk.com/wall471007354_508</v>
      </c>
      <c r="H3136" t="s">
        <v>6062</v>
      </c>
      <c r="I3136" t="s">
        <v>3578</v>
      </c>
      <c r="J3136" s="2" t="str">
        <f>HYPERLINK("http://vk.com/id471007354")</f>
        <v>http://vk.com/id471007354</v>
      </c>
      <c r="K3136">
        <v>115</v>
      </c>
      <c r="L3136" t="s">
        <v>6063</v>
      </c>
      <c r="M3136">
        <v>22</v>
      </c>
      <c r="N3136" t="s">
        <v>25</v>
      </c>
      <c r="O3136" t="s">
        <v>3578</v>
      </c>
      <c r="P3136" s="2" t="str">
        <f>HYPERLINK("http://vk.com/id471007354")</f>
        <v>http://vk.com/id471007354</v>
      </c>
      <c r="Q3136">
        <v>115</v>
      </c>
      <c r="R3136" t="s">
        <v>6067</v>
      </c>
      <c r="S3136" t="s">
        <v>6092</v>
      </c>
    </row>
    <row r="3137" spans="1:19" ht="14.25" customHeight="1" x14ac:dyDescent="0.3">
      <c r="A3137" t="s">
        <v>3527</v>
      </c>
      <c r="B3137" t="s">
        <v>3778</v>
      </c>
      <c r="C3137" t="s">
        <v>95</v>
      </c>
      <c r="D3137" t="s">
        <v>4</v>
      </c>
      <c r="E3137" t="s">
        <v>3625</v>
      </c>
      <c r="F3137" t="s">
        <v>6058</v>
      </c>
      <c r="G3137" s="2" t="str">
        <f>HYPERLINK("https://vk.com/wall471007354_506")</f>
        <v>https://vk.com/wall471007354_506</v>
      </c>
      <c r="H3137" t="s">
        <v>6062</v>
      </c>
      <c r="I3137" t="s">
        <v>3578</v>
      </c>
      <c r="J3137" s="2" t="str">
        <f>HYPERLINK("http://vk.com/id471007354")</f>
        <v>http://vk.com/id471007354</v>
      </c>
      <c r="K3137">
        <v>115</v>
      </c>
      <c r="L3137" t="s">
        <v>6063</v>
      </c>
      <c r="M3137">
        <v>22</v>
      </c>
      <c r="N3137" t="s">
        <v>25</v>
      </c>
      <c r="O3137" t="s">
        <v>3578</v>
      </c>
      <c r="P3137" s="2" t="str">
        <f>HYPERLINK("http://vk.com/id471007354")</f>
        <v>http://vk.com/id471007354</v>
      </c>
      <c r="Q3137">
        <v>115</v>
      </c>
      <c r="R3137" t="s">
        <v>6067</v>
      </c>
      <c r="S3137" t="s">
        <v>6092</v>
      </c>
    </row>
    <row r="3138" spans="1:19" ht="14.25" customHeight="1" x14ac:dyDescent="0.3">
      <c r="A3138" t="s">
        <v>3527</v>
      </c>
      <c r="B3138" t="s">
        <v>720</v>
      </c>
      <c r="C3138" t="s">
        <v>95</v>
      </c>
      <c r="D3138" t="s">
        <v>4</v>
      </c>
      <c r="E3138" t="s">
        <v>3625</v>
      </c>
      <c r="F3138" t="s">
        <v>6058</v>
      </c>
      <c r="G3138" s="2" t="str">
        <f>HYPERLINK("https://vk.com/wall481276790_41")</f>
        <v>https://vk.com/wall481276790_41</v>
      </c>
      <c r="H3138" t="s">
        <v>6062</v>
      </c>
      <c r="I3138" t="s">
        <v>3660</v>
      </c>
      <c r="J3138" s="2" t="str">
        <f>HYPERLINK("http://vk.com/id481276790")</f>
        <v>http://vk.com/id481276790</v>
      </c>
      <c r="K3138">
        <v>2</v>
      </c>
      <c r="L3138" t="s">
        <v>6063</v>
      </c>
      <c r="M3138">
        <v>27</v>
      </c>
      <c r="N3138" t="s">
        <v>25</v>
      </c>
      <c r="O3138" t="s">
        <v>3660</v>
      </c>
      <c r="P3138" s="2" t="str">
        <f>HYPERLINK("http://vk.com/id481276790")</f>
        <v>http://vk.com/id481276790</v>
      </c>
      <c r="Q3138">
        <v>2</v>
      </c>
      <c r="R3138" t="s">
        <v>6067</v>
      </c>
    </row>
    <row r="3139" spans="1:19" ht="14.25" customHeight="1" x14ac:dyDescent="0.3">
      <c r="A3139" t="s">
        <v>3527</v>
      </c>
      <c r="B3139" t="s">
        <v>457</v>
      </c>
      <c r="C3139" t="s">
        <v>3538</v>
      </c>
      <c r="D3139" t="s">
        <v>4</v>
      </c>
      <c r="E3139" t="s">
        <v>4045</v>
      </c>
      <c r="F3139" t="s">
        <v>6058</v>
      </c>
      <c r="G3139" s="2" t="str">
        <f>HYPERLINK("https://vk.com/wall455421622_782")</f>
        <v>https://vk.com/wall455421622_782</v>
      </c>
      <c r="H3139" t="s">
        <v>6062</v>
      </c>
      <c r="I3139" t="s">
        <v>4334</v>
      </c>
      <c r="J3139" s="2" t="str">
        <f>HYPERLINK("http://vk.com/id455421622")</f>
        <v>http://vk.com/id455421622</v>
      </c>
      <c r="K3139">
        <v>54</v>
      </c>
      <c r="L3139" t="s">
        <v>6063</v>
      </c>
      <c r="M3139">
        <v>27</v>
      </c>
      <c r="N3139" t="s">
        <v>25</v>
      </c>
      <c r="O3139" t="s">
        <v>4334</v>
      </c>
      <c r="P3139" s="2" t="str">
        <f>HYPERLINK("http://vk.com/id455421622")</f>
        <v>http://vk.com/id455421622</v>
      </c>
      <c r="Q3139">
        <v>54</v>
      </c>
      <c r="R3139" t="s">
        <v>6067</v>
      </c>
    </row>
    <row r="3140" spans="1:19" ht="14.25" customHeight="1" x14ac:dyDescent="0.3">
      <c r="A3140" t="s">
        <v>3527</v>
      </c>
      <c r="B3140" t="s">
        <v>3787</v>
      </c>
      <c r="C3140" t="s">
        <v>95</v>
      </c>
      <c r="D3140" t="s">
        <v>4</v>
      </c>
      <c r="E3140" t="s">
        <v>3625</v>
      </c>
      <c r="F3140" t="s">
        <v>6058</v>
      </c>
      <c r="G3140" s="2" t="str">
        <f>HYPERLINK("https://vk.com/wall230647515_191")</f>
        <v>https://vk.com/wall230647515_191</v>
      </c>
      <c r="H3140" t="s">
        <v>6062</v>
      </c>
      <c r="I3140" t="s">
        <v>3788</v>
      </c>
      <c r="J3140" s="2" t="str">
        <f>HYPERLINK("http://vk.com/id230647515")</f>
        <v>http://vk.com/id230647515</v>
      </c>
      <c r="K3140">
        <v>57</v>
      </c>
      <c r="L3140" t="s">
        <v>6063</v>
      </c>
      <c r="M3140">
        <v>35</v>
      </c>
      <c r="N3140" t="s">
        <v>25</v>
      </c>
      <c r="O3140" t="s">
        <v>3788</v>
      </c>
      <c r="P3140" s="2" t="str">
        <f>HYPERLINK("http://vk.com/id230647515")</f>
        <v>http://vk.com/id230647515</v>
      </c>
      <c r="Q3140">
        <v>57</v>
      </c>
      <c r="R3140" t="s">
        <v>6067</v>
      </c>
      <c r="S3140" t="s">
        <v>6073</v>
      </c>
    </row>
    <row r="3141" spans="1:19" ht="14.25" customHeight="1" x14ac:dyDescent="0.3">
      <c r="A3141" t="s">
        <v>4995</v>
      </c>
      <c r="B3141" t="s">
        <v>4746</v>
      </c>
      <c r="C3141" t="s">
        <v>3538</v>
      </c>
      <c r="D3141" t="s">
        <v>4</v>
      </c>
      <c r="E3141" t="s">
        <v>5263</v>
      </c>
      <c r="F3141" t="s">
        <v>6056</v>
      </c>
      <c r="G3141" s="2" t="str">
        <f>HYPERLINK("https://vk.com/wall386687379_6")</f>
        <v>https://vk.com/wall386687379_6</v>
      </c>
      <c r="H3141" t="s">
        <v>6062</v>
      </c>
      <c r="I3141" t="s">
        <v>5264</v>
      </c>
      <c r="J3141" s="2" t="str">
        <f>HYPERLINK("http://vk.com/id386687379")</f>
        <v>http://vk.com/id386687379</v>
      </c>
      <c r="K3141">
        <v>4</v>
      </c>
      <c r="L3141" t="s">
        <v>6063</v>
      </c>
      <c r="M3141">
        <v>19</v>
      </c>
      <c r="N3141" t="s">
        <v>25</v>
      </c>
      <c r="O3141" t="s">
        <v>5264</v>
      </c>
      <c r="P3141" s="2" t="str">
        <f>HYPERLINK("http://vk.com/id386687379")</f>
        <v>http://vk.com/id386687379</v>
      </c>
      <c r="Q3141">
        <v>4</v>
      </c>
      <c r="R3141" t="s">
        <v>6067</v>
      </c>
      <c r="S3141" t="s">
        <v>6073</v>
      </c>
    </row>
    <row r="3142" spans="1:19" ht="14.25" customHeight="1" x14ac:dyDescent="0.3">
      <c r="A3142" t="s">
        <v>3527</v>
      </c>
      <c r="B3142" t="s">
        <v>2958</v>
      </c>
      <c r="C3142" t="s">
        <v>3538</v>
      </c>
      <c r="D3142" t="s">
        <v>4</v>
      </c>
      <c r="E3142" t="s">
        <v>3625</v>
      </c>
      <c r="F3142" t="s">
        <v>6058</v>
      </c>
      <c r="G3142" s="2" t="str">
        <f>HYPERLINK("https://vk.com/wall323611959_105")</f>
        <v>https://vk.com/wall323611959_105</v>
      </c>
      <c r="H3142" t="s">
        <v>6062</v>
      </c>
      <c r="I3142" t="s">
        <v>3803</v>
      </c>
      <c r="J3142" s="2" t="str">
        <f>HYPERLINK("http://vk.com/id323611959")</f>
        <v>http://vk.com/id323611959</v>
      </c>
      <c r="K3142">
        <v>32</v>
      </c>
      <c r="L3142" t="s">
        <v>6063</v>
      </c>
      <c r="M3142">
        <v>43</v>
      </c>
      <c r="N3142" t="s">
        <v>25</v>
      </c>
      <c r="O3142" t="s">
        <v>3803</v>
      </c>
      <c r="P3142" s="2" t="str">
        <f>HYPERLINK("http://vk.com/id323611959")</f>
        <v>http://vk.com/id323611959</v>
      </c>
      <c r="Q3142">
        <v>32</v>
      </c>
      <c r="R3142" t="s">
        <v>6067</v>
      </c>
      <c r="S3142" t="s">
        <v>6092</v>
      </c>
    </row>
    <row r="3143" spans="1:19" ht="14.25" customHeight="1" x14ac:dyDescent="0.3">
      <c r="A3143" t="s">
        <v>3527</v>
      </c>
      <c r="B3143" t="s">
        <v>2</v>
      </c>
      <c r="C3143" t="s">
        <v>3538</v>
      </c>
      <c r="D3143" t="s">
        <v>4</v>
      </c>
      <c r="E3143" t="s">
        <v>4045</v>
      </c>
      <c r="F3143" t="s">
        <v>6058</v>
      </c>
      <c r="G3143" s="2" t="str">
        <f>HYPERLINK("https://vk.com/wall143919843_663")</f>
        <v>https://vk.com/wall143919843_663</v>
      </c>
      <c r="H3143" t="s">
        <v>6062</v>
      </c>
      <c r="I3143" t="s">
        <v>3848</v>
      </c>
      <c r="J3143" s="2" t="str">
        <f>HYPERLINK("http://vk.com/id143919843")</f>
        <v>http://vk.com/id143919843</v>
      </c>
      <c r="K3143">
        <v>234</v>
      </c>
      <c r="L3143" t="s">
        <v>6063</v>
      </c>
      <c r="N3143" t="s">
        <v>25</v>
      </c>
      <c r="O3143" t="s">
        <v>3848</v>
      </c>
      <c r="P3143" s="2" t="str">
        <f>HYPERLINK("http://vk.com/id143919843")</f>
        <v>http://vk.com/id143919843</v>
      </c>
      <c r="Q3143">
        <v>234</v>
      </c>
      <c r="R3143" t="s">
        <v>6067</v>
      </c>
      <c r="S3143" t="s">
        <v>6073</v>
      </c>
    </row>
    <row r="3144" spans="1:19" ht="14.25" customHeight="1" x14ac:dyDescent="0.3">
      <c r="A3144" t="s">
        <v>3527</v>
      </c>
      <c r="B3144" t="s">
        <v>848</v>
      </c>
      <c r="C3144" t="s">
        <v>3538</v>
      </c>
      <c r="D3144" t="s">
        <v>4</v>
      </c>
      <c r="E3144" t="s">
        <v>3625</v>
      </c>
      <c r="F3144" t="s">
        <v>6058</v>
      </c>
      <c r="G3144" s="2" t="str">
        <f>HYPERLINK("https://vk.com/wall143919843_669")</f>
        <v>https://vk.com/wall143919843_669</v>
      </c>
      <c r="H3144" t="s">
        <v>6062</v>
      </c>
      <c r="I3144" t="s">
        <v>3848</v>
      </c>
      <c r="J3144" s="2" t="str">
        <f>HYPERLINK("http://vk.com/id143919843")</f>
        <v>http://vk.com/id143919843</v>
      </c>
      <c r="K3144">
        <v>234</v>
      </c>
      <c r="L3144" t="s">
        <v>6063</v>
      </c>
      <c r="N3144" t="s">
        <v>25</v>
      </c>
      <c r="O3144" t="s">
        <v>3848</v>
      </c>
      <c r="P3144" s="2" t="str">
        <f>HYPERLINK("http://vk.com/id143919843")</f>
        <v>http://vk.com/id143919843</v>
      </c>
      <c r="Q3144">
        <v>234</v>
      </c>
      <c r="R3144" t="s">
        <v>6067</v>
      </c>
      <c r="S3144" t="s">
        <v>6073</v>
      </c>
    </row>
    <row r="3145" spans="1:19" ht="14.25" customHeight="1" x14ac:dyDescent="0.3">
      <c r="A3145" t="s">
        <v>3527</v>
      </c>
      <c r="B3145" t="s">
        <v>1963</v>
      </c>
      <c r="C3145" t="s">
        <v>3538</v>
      </c>
      <c r="D3145" t="s">
        <v>4</v>
      </c>
      <c r="E3145" t="s">
        <v>4045</v>
      </c>
      <c r="F3145" t="s">
        <v>6058</v>
      </c>
      <c r="G3145" s="2" t="str">
        <f>HYPERLINK("https://vk.com/wall415928466_127")</f>
        <v>https://vk.com/wall415928466_127</v>
      </c>
      <c r="H3145" t="s">
        <v>6062</v>
      </c>
      <c r="I3145" t="s">
        <v>4337</v>
      </c>
      <c r="J3145" s="2" t="str">
        <f>HYPERLINK("http://vk.com/id415928466")</f>
        <v>http://vk.com/id415928466</v>
      </c>
      <c r="K3145">
        <v>76</v>
      </c>
      <c r="L3145" t="s">
        <v>6064</v>
      </c>
      <c r="N3145" t="s">
        <v>25</v>
      </c>
      <c r="O3145" t="s">
        <v>4337</v>
      </c>
      <c r="P3145" s="2" t="str">
        <f>HYPERLINK("http://vk.com/id415928466")</f>
        <v>http://vk.com/id415928466</v>
      </c>
      <c r="Q3145">
        <v>76</v>
      </c>
      <c r="R3145" t="s">
        <v>6067</v>
      </c>
      <c r="S3145" t="s">
        <v>6072</v>
      </c>
    </row>
    <row r="3146" spans="1:19" ht="14.25" customHeight="1" x14ac:dyDescent="0.3">
      <c r="A3146" t="s">
        <v>3527</v>
      </c>
      <c r="B3146" t="s">
        <v>828</v>
      </c>
      <c r="C3146" t="s">
        <v>95</v>
      </c>
      <c r="D3146" t="s">
        <v>4</v>
      </c>
      <c r="E3146" t="s">
        <v>3792</v>
      </c>
      <c r="F3146" t="s">
        <v>6058</v>
      </c>
      <c r="G3146" s="2" t="str">
        <f>HYPERLINK("https://vk.com/wall182980628_1457")</f>
        <v>https://vk.com/wall182980628_1457</v>
      </c>
      <c r="H3146" t="s">
        <v>6062</v>
      </c>
      <c r="I3146" t="s">
        <v>3793</v>
      </c>
      <c r="J3146" s="2" t="str">
        <f>HYPERLINK("http://vk.com/id182980628")</f>
        <v>http://vk.com/id182980628</v>
      </c>
      <c r="K3146">
        <v>414</v>
      </c>
      <c r="L3146" t="s">
        <v>6064</v>
      </c>
      <c r="M3146">
        <v>26</v>
      </c>
      <c r="N3146" t="s">
        <v>25</v>
      </c>
      <c r="O3146" t="s">
        <v>3793</v>
      </c>
      <c r="P3146" s="2" t="str">
        <f>HYPERLINK("http://vk.com/id182980628")</f>
        <v>http://vk.com/id182980628</v>
      </c>
      <c r="Q3146">
        <v>414</v>
      </c>
      <c r="R3146" t="s">
        <v>6067</v>
      </c>
      <c r="S3146" t="s">
        <v>6072</v>
      </c>
    </row>
    <row r="3147" spans="1:19" ht="14.25" customHeight="1" x14ac:dyDescent="0.3">
      <c r="A3147" t="s">
        <v>3527</v>
      </c>
      <c r="B3147" t="s">
        <v>2488</v>
      </c>
      <c r="C3147" t="s">
        <v>95</v>
      </c>
      <c r="D3147" t="s">
        <v>4</v>
      </c>
      <c r="E3147" t="s">
        <v>3625</v>
      </c>
      <c r="F3147" t="s">
        <v>6058</v>
      </c>
      <c r="G3147" s="2" t="str">
        <f>HYPERLINK("https://vk.com/wall232911311_1520")</f>
        <v>https://vk.com/wall232911311_1520</v>
      </c>
      <c r="H3147" t="s">
        <v>6062</v>
      </c>
      <c r="I3147" t="s">
        <v>3665</v>
      </c>
      <c r="J3147" s="2" t="str">
        <f>HYPERLINK("http://vk.com/id232911311")</f>
        <v>http://vk.com/id232911311</v>
      </c>
      <c r="K3147">
        <v>111</v>
      </c>
      <c r="L3147" t="s">
        <v>6064</v>
      </c>
      <c r="N3147" t="s">
        <v>25</v>
      </c>
      <c r="O3147" t="s">
        <v>3665</v>
      </c>
      <c r="P3147" s="2" t="str">
        <f>HYPERLINK("http://vk.com/id232911311")</f>
        <v>http://vk.com/id232911311</v>
      </c>
      <c r="Q3147">
        <v>111</v>
      </c>
      <c r="R3147" t="s">
        <v>6067</v>
      </c>
      <c r="S3147" t="s">
        <v>6073</v>
      </c>
    </row>
    <row r="3148" spans="1:19" ht="14.25" customHeight="1" x14ac:dyDescent="0.3">
      <c r="A3148" t="s">
        <v>3527</v>
      </c>
      <c r="B3148" t="s">
        <v>3816</v>
      </c>
      <c r="C3148" t="s">
        <v>95</v>
      </c>
      <c r="D3148" t="s">
        <v>4</v>
      </c>
      <c r="E3148" t="s">
        <v>3706</v>
      </c>
      <c r="F3148" t="s">
        <v>6058</v>
      </c>
      <c r="G3148" s="2" t="str">
        <f>HYPERLINK("https://vk.com/wall170562379_190")</f>
        <v>https://vk.com/wall170562379_190</v>
      </c>
      <c r="H3148" t="s">
        <v>6062</v>
      </c>
      <c r="I3148" t="s">
        <v>3705</v>
      </c>
      <c r="J3148" s="2" t="str">
        <f>HYPERLINK("http://vk.com/id170562379")</f>
        <v>http://vk.com/id170562379</v>
      </c>
      <c r="K3148">
        <v>33</v>
      </c>
      <c r="L3148" t="s">
        <v>6063</v>
      </c>
      <c r="N3148" t="s">
        <v>25</v>
      </c>
      <c r="O3148" t="s">
        <v>3705</v>
      </c>
      <c r="P3148" s="2" t="str">
        <f>HYPERLINK("http://vk.com/id170562379")</f>
        <v>http://vk.com/id170562379</v>
      </c>
      <c r="Q3148">
        <v>33</v>
      </c>
      <c r="R3148" t="s">
        <v>6067</v>
      </c>
    </row>
    <row r="3149" spans="1:19" ht="14.25" customHeight="1" x14ac:dyDescent="0.3">
      <c r="A3149" t="s">
        <v>3527</v>
      </c>
      <c r="B3149" t="s">
        <v>2723</v>
      </c>
      <c r="C3149" t="s">
        <v>95</v>
      </c>
      <c r="D3149" t="s">
        <v>4</v>
      </c>
      <c r="E3149" t="s">
        <v>3625</v>
      </c>
      <c r="F3149" t="s">
        <v>6058</v>
      </c>
      <c r="G3149" s="2" t="str">
        <f>HYPERLINK("https://vk.com/wall170562379_193")</f>
        <v>https://vk.com/wall170562379_193</v>
      </c>
      <c r="H3149" t="s">
        <v>6062</v>
      </c>
      <c r="I3149" t="s">
        <v>3705</v>
      </c>
      <c r="J3149" s="2" t="str">
        <f>HYPERLINK("http://vk.com/id170562379")</f>
        <v>http://vk.com/id170562379</v>
      </c>
      <c r="K3149">
        <v>33</v>
      </c>
      <c r="L3149" t="s">
        <v>6063</v>
      </c>
      <c r="N3149" t="s">
        <v>25</v>
      </c>
      <c r="O3149" t="s">
        <v>3705</v>
      </c>
      <c r="P3149" s="2" t="str">
        <f>HYPERLINK("http://vk.com/id170562379")</f>
        <v>http://vk.com/id170562379</v>
      </c>
      <c r="Q3149">
        <v>33</v>
      </c>
      <c r="R3149" t="s">
        <v>6067</v>
      </c>
    </row>
    <row r="3150" spans="1:19" ht="14.25" customHeight="1" x14ac:dyDescent="0.3">
      <c r="A3150" t="s">
        <v>629</v>
      </c>
      <c r="B3150" t="s">
        <v>1253</v>
      </c>
      <c r="C3150" t="s">
        <v>95</v>
      </c>
      <c r="D3150" t="s">
        <v>4</v>
      </c>
      <c r="E3150" t="s">
        <v>1254</v>
      </c>
      <c r="F3150" t="s">
        <v>6056</v>
      </c>
      <c r="G3150" s="2" t="str">
        <f>HYPERLINK("https://vk.com/wall405408902_26")</f>
        <v>https://vk.com/wall405408902_26</v>
      </c>
      <c r="H3150" t="s">
        <v>6062</v>
      </c>
      <c r="I3150" t="s">
        <v>1255</v>
      </c>
      <c r="J3150" s="2" t="str">
        <f>HYPERLINK("http://vk.com/id405408902")</f>
        <v>http://vk.com/id405408902</v>
      </c>
      <c r="K3150">
        <v>262</v>
      </c>
      <c r="L3150" t="s">
        <v>6063</v>
      </c>
      <c r="M3150">
        <v>19</v>
      </c>
      <c r="N3150" t="s">
        <v>25</v>
      </c>
      <c r="O3150" t="s">
        <v>1255</v>
      </c>
      <c r="P3150" s="2" t="str">
        <f>HYPERLINK("http://vk.com/id405408902")</f>
        <v>http://vk.com/id405408902</v>
      </c>
      <c r="Q3150">
        <v>262</v>
      </c>
      <c r="R3150" t="s">
        <v>6067</v>
      </c>
      <c r="S3150" t="s">
        <v>6073</v>
      </c>
    </row>
    <row r="3151" spans="1:19" ht="14.25" customHeight="1" x14ac:dyDescent="0.3">
      <c r="A3151" t="s">
        <v>5409</v>
      </c>
      <c r="B3151" t="s">
        <v>343</v>
      </c>
      <c r="C3151" t="s">
        <v>3538</v>
      </c>
      <c r="D3151" t="s">
        <v>4</v>
      </c>
      <c r="E3151" t="s">
        <v>5845</v>
      </c>
      <c r="F3151" t="s">
        <v>6056</v>
      </c>
      <c r="G3151" s="2" t="str">
        <f>HYPERLINK("https://vk.com/wall4021665_3420")</f>
        <v>https://vk.com/wall4021665_3420</v>
      </c>
      <c r="H3151" t="s">
        <v>6062</v>
      </c>
      <c r="I3151" t="s">
        <v>5846</v>
      </c>
      <c r="J3151" s="2" t="str">
        <f>HYPERLINK("http://vk.com/id4021665")</f>
        <v>http://vk.com/id4021665</v>
      </c>
      <c r="K3151">
        <v>1252</v>
      </c>
      <c r="L3151" t="s">
        <v>6063</v>
      </c>
      <c r="M3151">
        <v>29</v>
      </c>
      <c r="N3151" t="s">
        <v>25</v>
      </c>
      <c r="O3151" t="s">
        <v>5846</v>
      </c>
      <c r="P3151" s="2" t="str">
        <f>HYPERLINK("http://vk.com/id4021665")</f>
        <v>http://vk.com/id4021665</v>
      </c>
      <c r="Q3151">
        <v>1252</v>
      </c>
      <c r="R3151" t="s">
        <v>6067</v>
      </c>
      <c r="S3151" t="s">
        <v>6073</v>
      </c>
    </row>
    <row r="3152" spans="1:19" ht="14.25" customHeight="1" x14ac:dyDescent="0.3">
      <c r="A3152" t="s">
        <v>3527</v>
      </c>
      <c r="B3152" t="s">
        <v>4095</v>
      </c>
      <c r="C3152" t="s">
        <v>95</v>
      </c>
      <c r="D3152" t="s">
        <v>4</v>
      </c>
      <c r="E3152" t="s">
        <v>4045</v>
      </c>
      <c r="F3152" t="s">
        <v>6058</v>
      </c>
      <c r="G3152" s="2" t="str">
        <f>HYPERLINK("https://vk.com/wall481303349_7")</f>
        <v>https://vk.com/wall481303349_7</v>
      </c>
      <c r="H3152" t="s">
        <v>6062</v>
      </c>
      <c r="I3152" t="s">
        <v>4014</v>
      </c>
      <c r="J3152" s="2" t="str">
        <f>HYPERLINK("http://vk.com/id481303349")</f>
        <v>http://vk.com/id481303349</v>
      </c>
      <c r="K3152">
        <v>2</v>
      </c>
      <c r="L3152" t="s">
        <v>6063</v>
      </c>
      <c r="M3152">
        <v>28</v>
      </c>
      <c r="N3152" t="s">
        <v>25</v>
      </c>
      <c r="O3152" t="s">
        <v>4014</v>
      </c>
      <c r="P3152" s="2" t="str">
        <f>HYPERLINK("http://vk.com/id481303349")</f>
        <v>http://vk.com/id481303349</v>
      </c>
      <c r="Q3152">
        <v>2</v>
      </c>
      <c r="R3152" t="s">
        <v>6067</v>
      </c>
    </row>
    <row r="3153" spans="1:19" ht="14.25" customHeight="1" x14ac:dyDescent="0.3">
      <c r="A3153" t="s">
        <v>3527</v>
      </c>
      <c r="B3153" t="s">
        <v>4013</v>
      </c>
      <c r="C3153" t="s">
        <v>95</v>
      </c>
      <c r="D3153" t="s">
        <v>4</v>
      </c>
      <c r="E3153" t="s">
        <v>3820</v>
      </c>
      <c r="F3153" t="s">
        <v>6058</v>
      </c>
      <c r="G3153" s="2" t="str">
        <f>HYPERLINK("https://vk.com/wall481303349_13")</f>
        <v>https://vk.com/wall481303349_13</v>
      </c>
      <c r="H3153" t="s">
        <v>6062</v>
      </c>
      <c r="I3153" t="s">
        <v>4014</v>
      </c>
      <c r="J3153" s="2" t="str">
        <f>HYPERLINK("http://vk.com/id481303349")</f>
        <v>http://vk.com/id481303349</v>
      </c>
      <c r="K3153">
        <v>2</v>
      </c>
      <c r="L3153" t="s">
        <v>6063</v>
      </c>
      <c r="M3153">
        <v>28</v>
      </c>
      <c r="N3153" t="s">
        <v>25</v>
      </c>
      <c r="O3153" t="s">
        <v>4014</v>
      </c>
      <c r="P3153" s="2" t="str">
        <f>HYPERLINK("http://vk.com/id481303349")</f>
        <v>http://vk.com/id481303349</v>
      </c>
      <c r="Q3153">
        <v>2</v>
      </c>
      <c r="R3153" t="s">
        <v>6067</v>
      </c>
    </row>
    <row r="3154" spans="1:19" ht="14.25" customHeight="1" x14ac:dyDescent="0.3">
      <c r="A3154" t="s">
        <v>3527</v>
      </c>
      <c r="B3154" t="s">
        <v>388</v>
      </c>
      <c r="C3154" t="s">
        <v>3538</v>
      </c>
      <c r="D3154" t="s">
        <v>4</v>
      </c>
      <c r="E3154" t="s">
        <v>4045</v>
      </c>
      <c r="F3154" t="s">
        <v>6058</v>
      </c>
      <c r="G3154" s="2" t="str">
        <f>HYPERLINK("https://vk.com/wall178114923_1672")</f>
        <v>https://vk.com/wall178114923_1672</v>
      </c>
      <c r="H3154" t="s">
        <v>6062</v>
      </c>
      <c r="I3154" t="s">
        <v>3879</v>
      </c>
      <c r="J3154" s="2" t="str">
        <f>HYPERLINK("http://vk.com/id178114923")</f>
        <v>http://vk.com/id178114923</v>
      </c>
      <c r="K3154">
        <v>522</v>
      </c>
      <c r="L3154" t="s">
        <v>6064</v>
      </c>
      <c r="N3154" t="s">
        <v>25</v>
      </c>
      <c r="O3154" t="s">
        <v>3879</v>
      </c>
      <c r="P3154" s="2" t="str">
        <f>HYPERLINK("http://vk.com/id178114923")</f>
        <v>http://vk.com/id178114923</v>
      </c>
      <c r="Q3154">
        <v>522</v>
      </c>
      <c r="R3154" t="s">
        <v>6067</v>
      </c>
      <c r="S3154" t="s">
        <v>6073</v>
      </c>
    </row>
    <row r="3155" spans="1:19" ht="14.25" customHeight="1" x14ac:dyDescent="0.3">
      <c r="A3155" t="s">
        <v>3527</v>
      </c>
      <c r="B3155" t="s">
        <v>3878</v>
      </c>
      <c r="C3155" t="s">
        <v>3538</v>
      </c>
      <c r="D3155" t="s">
        <v>4</v>
      </c>
      <c r="E3155" t="s">
        <v>3706</v>
      </c>
      <c r="F3155" t="s">
        <v>6058</v>
      </c>
      <c r="G3155" s="2" t="str">
        <f>HYPERLINK("https://vk.com/wall178114923_1678")</f>
        <v>https://vk.com/wall178114923_1678</v>
      </c>
      <c r="H3155" t="s">
        <v>6062</v>
      </c>
      <c r="I3155" t="s">
        <v>3879</v>
      </c>
      <c r="J3155" s="2" t="str">
        <f>HYPERLINK("http://vk.com/id178114923")</f>
        <v>http://vk.com/id178114923</v>
      </c>
      <c r="K3155">
        <v>522</v>
      </c>
      <c r="L3155" t="s">
        <v>6064</v>
      </c>
      <c r="N3155" t="s">
        <v>25</v>
      </c>
      <c r="O3155" t="s">
        <v>3879</v>
      </c>
      <c r="P3155" s="2" t="str">
        <f>HYPERLINK("http://vk.com/id178114923")</f>
        <v>http://vk.com/id178114923</v>
      </c>
      <c r="Q3155">
        <v>522</v>
      </c>
      <c r="R3155" t="s">
        <v>6067</v>
      </c>
      <c r="S3155" t="s">
        <v>6073</v>
      </c>
    </row>
    <row r="3156" spans="1:19" ht="14.25" customHeight="1" x14ac:dyDescent="0.3">
      <c r="A3156" t="s">
        <v>3527</v>
      </c>
      <c r="B3156" t="s">
        <v>888</v>
      </c>
      <c r="C3156" t="s">
        <v>95</v>
      </c>
      <c r="D3156" t="s">
        <v>4</v>
      </c>
      <c r="E3156" t="s">
        <v>3625</v>
      </c>
      <c r="F3156" t="s">
        <v>6058</v>
      </c>
      <c r="G3156" s="2" t="str">
        <f>HYPERLINK("https://vk.com/wall464685516_62")</f>
        <v>https://vk.com/wall464685516_62</v>
      </c>
      <c r="H3156" t="s">
        <v>6062</v>
      </c>
      <c r="I3156" t="s">
        <v>3863</v>
      </c>
      <c r="J3156" s="2" t="str">
        <f>HYPERLINK("http://vk.com/id464685516")</f>
        <v>http://vk.com/id464685516</v>
      </c>
      <c r="K3156">
        <v>64</v>
      </c>
      <c r="L3156" t="s">
        <v>6063</v>
      </c>
      <c r="M3156">
        <v>20</v>
      </c>
      <c r="N3156" t="s">
        <v>25</v>
      </c>
      <c r="O3156" t="s">
        <v>3863</v>
      </c>
      <c r="P3156" s="2" t="str">
        <f>HYPERLINK("http://vk.com/id464685516")</f>
        <v>http://vk.com/id464685516</v>
      </c>
      <c r="Q3156">
        <v>64</v>
      </c>
      <c r="R3156" t="s">
        <v>6067</v>
      </c>
      <c r="S3156" t="s">
        <v>6072</v>
      </c>
    </row>
    <row r="3157" spans="1:19" ht="14.25" customHeight="1" x14ac:dyDescent="0.3">
      <c r="A3157" t="s">
        <v>3527</v>
      </c>
      <c r="B3157" t="s">
        <v>910</v>
      </c>
      <c r="C3157" t="s">
        <v>95</v>
      </c>
      <c r="D3157" t="s">
        <v>4</v>
      </c>
      <c r="E3157" t="s">
        <v>3625</v>
      </c>
      <c r="F3157" t="s">
        <v>6058</v>
      </c>
      <c r="G3157" s="2" t="str">
        <f>HYPERLINK("https://vk.com/wall480982581_74")</f>
        <v>https://vk.com/wall480982581_74</v>
      </c>
      <c r="H3157" t="s">
        <v>6062</v>
      </c>
      <c r="I3157" t="s">
        <v>3924</v>
      </c>
      <c r="J3157" s="2" t="str">
        <f>HYPERLINK("http://vk.com/id480982581")</f>
        <v>http://vk.com/id480982581</v>
      </c>
      <c r="K3157">
        <v>4</v>
      </c>
      <c r="L3157" t="s">
        <v>6064</v>
      </c>
      <c r="M3157">
        <v>28</v>
      </c>
      <c r="N3157" t="s">
        <v>25</v>
      </c>
      <c r="O3157" t="s">
        <v>3924</v>
      </c>
      <c r="P3157" s="2" t="str">
        <f>HYPERLINK("http://vk.com/id480982581")</f>
        <v>http://vk.com/id480982581</v>
      </c>
      <c r="Q3157">
        <v>4</v>
      </c>
      <c r="R3157" t="s">
        <v>6067</v>
      </c>
    </row>
    <row r="3158" spans="1:19" ht="14.25" customHeight="1" x14ac:dyDescent="0.3">
      <c r="A3158" t="s">
        <v>3527</v>
      </c>
      <c r="B3158" t="s">
        <v>3024</v>
      </c>
      <c r="C3158" t="s">
        <v>95</v>
      </c>
      <c r="D3158" t="s">
        <v>4</v>
      </c>
      <c r="E3158" t="s">
        <v>3706</v>
      </c>
      <c r="F3158" t="s">
        <v>6058</v>
      </c>
      <c r="G3158" s="2" t="str">
        <f>HYPERLINK("https://vk.com/wall480732831_108")</f>
        <v>https://vk.com/wall480732831_108</v>
      </c>
      <c r="H3158" t="s">
        <v>6062</v>
      </c>
      <c r="I3158" t="s">
        <v>3899</v>
      </c>
      <c r="J3158" s="2" t="str">
        <f>HYPERLINK("http://vk.com/id480732831")</f>
        <v>http://vk.com/id480732831</v>
      </c>
      <c r="K3158">
        <v>20</v>
      </c>
      <c r="L3158" t="s">
        <v>6064</v>
      </c>
      <c r="M3158">
        <v>21</v>
      </c>
      <c r="N3158" t="s">
        <v>25</v>
      </c>
      <c r="O3158" t="s">
        <v>3899</v>
      </c>
      <c r="P3158" s="2" t="str">
        <f>HYPERLINK("http://vk.com/id480732831")</f>
        <v>http://vk.com/id480732831</v>
      </c>
      <c r="Q3158">
        <v>20</v>
      </c>
      <c r="R3158" t="s">
        <v>6067</v>
      </c>
    </row>
    <row r="3159" spans="1:19" ht="14.25" customHeight="1" x14ac:dyDescent="0.3">
      <c r="A3159" t="s">
        <v>3527</v>
      </c>
      <c r="B3159" t="s">
        <v>4290</v>
      </c>
      <c r="C3159" t="s">
        <v>3538</v>
      </c>
      <c r="D3159" t="s">
        <v>4</v>
      </c>
      <c r="E3159" t="s">
        <v>4291</v>
      </c>
      <c r="F3159" t="s">
        <v>6056</v>
      </c>
      <c r="G3159" s="2" t="str">
        <f>HYPERLINK("https://vk.com/wall87679816_3084")</f>
        <v>https://vk.com/wall87679816_3084</v>
      </c>
      <c r="H3159" t="s">
        <v>6062</v>
      </c>
      <c r="I3159" t="s">
        <v>4292</v>
      </c>
      <c r="J3159" s="2" t="str">
        <f>HYPERLINK("http://vk.com/id87679816")</f>
        <v>http://vk.com/id87679816</v>
      </c>
      <c r="K3159">
        <v>774</v>
      </c>
      <c r="L3159" t="s">
        <v>6064</v>
      </c>
      <c r="M3159">
        <v>27</v>
      </c>
      <c r="N3159" t="s">
        <v>25</v>
      </c>
      <c r="O3159" t="s">
        <v>4292</v>
      </c>
      <c r="P3159" s="2" t="str">
        <f>HYPERLINK("http://vk.com/id87679816")</f>
        <v>http://vk.com/id87679816</v>
      </c>
      <c r="Q3159">
        <v>774</v>
      </c>
      <c r="R3159" t="s">
        <v>6067</v>
      </c>
      <c r="S3159" t="s">
        <v>6073</v>
      </c>
    </row>
    <row r="3160" spans="1:19" ht="14.25" customHeight="1" x14ac:dyDescent="0.3">
      <c r="A3160" t="s">
        <v>3527</v>
      </c>
      <c r="B3160" t="s">
        <v>4391</v>
      </c>
      <c r="C3160" t="s">
        <v>3538</v>
      </c>
      <c r="D3160" t="s">
        <v>4</v>
      </c>
      <c r="E3160" t="s">
        <v>4045</v>
      </c>
      <c r="F3160" t="s">
        <v>6058</v>
      </c>
      <c r="G3160" s="2" t="str">
        <f>HYPERLINK("https://vk.com/wall271650940_29")</f>
        <v>https://vk.com/wall271650940_29</v>
      </c>
      <c r="H3160" t="s">
        <v>6062</v>
      </c>
      <c r="I3160" t="s">
        <v>4392</v>
      </c>
      <c r="J3160" s="2" t="str">
        <f>HYPERLINK("http://vk.com/id271650940")</f>
        <v>http://vk.com/id271650940</v>
      </c>
      <c r="K3160">
        <v>1</v>
      </c>
      <c r="L3160" t="s">
        <v>6064</v>
      </c>
      <c r="N3160" t="s">
        <v>25</v>
      </c>
      <c r="O3160" t="s">
        <v>4392</v>
      </c>
      <c r="P3160" s="2" t="str">
        <f>HYPERLINK("http://vk.com/id271650940")</f>
        <v>http://vk.com/id271650940</v>
      </c>
      <c r="Q3160">
        <v>1</v>
      </c>
      <c r="R3160" t="s">
        <v>6067</v>
      </c>
      <c r="S3160" t="s">
        <v>6072</v>
      </c>
    </row>
    <row r="3161" spans="1:19" ht="14.25" customHeight="1" x14ac:dyDescent="0.3">
      <c r="A3161" t="s">
        <v>3527</v>
      </c>
      <c r="B3161" t="s">
        <v>4144</v>
      </c>
      <c r="C3161" t="s">
        <v>3538</v>
      </c>
      <c r="D3161" t="s">
        <v>4</v>
      </c>
      <c r="E3161" t="s">
        <v>4045</v>
      </c>
      <c r="F3161" t="s">
        <v>6058</v>
      </c>
      <c r="G3161" s="2" t="str">
        <f>HYPERLINK("https://vk.com/wall302586299_885")</f>
        <v>https://vk.com/wall302586299_885</v>
      </c>
      <c r="H3161" t="s">
        <v>6062</v>
      </c>
      <c r="I3161" t="s">
        <v>3709</v>
      </c>
      <c r="J3161" s="2" t="str">
        <f>HYPERLINK("http://vk.com/id302586299")</f>
        <v>http://vk.com/id302586299</v>
      </c>
      <c r="K3161">
        <v>110</v>
      </c>
      <c r="L3161" t="s">
        <v>6064</v>
      </c>
      <c r="N3161" t="s">
        <v>25</v>
      </c>
      <c r="O3161" t="s">
        <v>3709</v>
      </c>
      <c r="P3161" s="2" t="str">
        <f>HYPERLINK("http://vk.com/id302586299")</f>
        <v>http://vk.com/id302586299</v>
      </c>
      <c r="Q3161">
        <v>110</v>
      </c>
      <c r="R3161" t="s">
        <v>6067</v>
      </c>
      <c r="S3161" t="s">
        <v>6092</v>
      </c>
    </row>
    <row r="3162" spans="1:19" ht="14.25" customHeight="1" x14ac:dyDescent="0.3">
      <c r="A3162" t="s">
        <v>3527</v>
      </c>
      <c r="B3162" t="s">
        <v>2759</v>
      </c>
      <c r="C3162" t="s">
        <v>3538</v>
      </c>
      <c r="D3162" t="s">
        <v>4</v>
      </c>
      <c r="E3162" t="s">
        <v>3625</v>
      </c>
      <c r="F3162" t="s">
        <v>6058</v>
      </c>
      <c r="G3162" s="2" t="str">
        <f>HYPERLINK("https://vk.com/wall302586299_892")</f>
        <v>https://vk.com/wall302586299_892</v>
      </c>
      <c r="H3162" t="s">
        <v>6062</v>
      </c>
      <c r="I3162" t="s">
        <v>3709</v>
      </c>
      <c r="J3162" s="2" t="str">
        <f>HYPERLINK("http://vk.com/id302586299")</f>
        <v>http://vk.com/id302586299</v>
      </c>
      <c r="K3162">
        <v>110</v>
      </c>
      <c r="L3162" t="s">
        <v>6064</v>
      </c>
      <c r="N3162" t="s">
        <v>25</v>
      </c>
      <c r="O3162" t="s">
        <v>3709</v>
      </c>
      <c r="P3162" s="2" t="str">
        <f>HYPERLINK("http://vk.com/id302586299")</f>
        <v>http://vk.com/id302586299</v>
      </c>
      <c r="Q3162">
        <v>110</v>
      </c>
      <c r="R3162" t="s">
        <v>6067</v>
      </c>
      <c r="S3162" t="s">
        <v>6092</v>
      </c>
    </row>
    <row r="3163" spans="1:19" ht="14.25" customHeight="1" x14ac:dyDescent="0.3">
      <c r="A3163" t="s">
        <v>3527</v>
      </c>
      <c r="B3163" t="s">
        <v>2605</v>
      </c>
      <c r="C3163" t="s">
        <v>95</v>
      </c>
      <c r="D3163" t="s">
        <v>4</v>
      </c>
      <c r="E3163" t="s">
        <v>3517</v>
      </c>
      <c r="F3163" t="s">
        <v>6058</v>
      </c>
      <c r="G3163" s="2" t="str">
        <f>HYPERLINK("https://vk.com/wall477906973_165")</f>
        <v>https://vk.com/wall477906973_165</v>
      </c>
      <c r="H3163" t="s">
        <v>6062</v>
      </c>
      <c r="I3163" t="s">
        <v>3680</v>
      </c>
      <c r="J3163" s="2" t="str">
        <f>HYPERLINK("http://vk.com/id477906973")</f>
        <v>http://vk.com/id477906973</v>
      </c>
      <c r="K3163">
        <v>3</v>
      </c>
      <c r="L3163" t="s">
        <v>6063</v>
      </c>
      <c r="M3163">
        <v>19</v>
      </c>
      <c r="N3163" t="s">
        <v>25</v>
      </c>
      <c r="O3163" t="s">
        <v>3680</v>
      </c>
      <c r="P3163" s="2" t="str">
        <f>HYPERLINK("http://vk.com/id477906973")</f>
        <v>http://vk.com/id477906973</v>
      </c>
      <c r="Q3163">
        <v>3</v>
      </c>
      <c r="R3163" t="s">
        <v>6067</v>
      </c>
    </row>
    <row r="3164" spans="1:19" ht="14.25" customHeight="1" x14ac:dyDescent="0.3">
      <c r="A3164" t="s">
        <v>4439</v>
      </c>
      <c r="B3164" t="s">
        <v>2422</v>
      </c>
      <c r="C3164" t="s">
        <v>3538</v>
      </c>
      <c r="D3164" t="s">
        <v>4</v>
      </c>
      <c r="E3164" t="s">
        <v>509</v>
      </c>
      <c r="F3164" t="s">
        <v>6058</v>
      </c>
      <c r="G3164" s="2" t="str">
        <f>HYPERLINK("https://vk.com/wall185533197_342")</f>
        <v>https://vk.com/wall185533197_342</v>
      </c>
      <c r="H3164" t="s">
        <v>6062</v>
      </c>
      <c r="I3164" t="s">
        <v>4484</v>
      </c>
      <c r="J3164" s="2" t="str">
        <f>HYPERLINK("http://vk.com/id185533197")</f>
        <v>http://vk.com/id185533197</v>
      </c>
      <c r="K3164">
        <v>102</v>
      </c>
      <c r="L3164" t="s">
        <v>6064</v>
      </c>
      <c r="N3164" t="s">
        <v>25</v>
      </c>
      <c r="O3164" t="s">
        <v>4484</v>
      </c>
      <c r="P3164" s="2" t="str">
        <f>HYPERLINK("http://vk.com/id185533197")</f>
        <v>http://vk.com/id185533197</v>
      </c>
      <c r="Q3164">
        <v>102</v>
      </c>
      <c r="R3164" t="s">
        <v>6067</v>
      </c>
      <c r="S3164" t="s">
        <v>6073</v>
      </c>
    </row>
    <row r="3165" spans="1:19" ht="14.25" customHeight="1" x14ac:dyDescent="0.3">
      <c r="A3165" t="s">
        <v>629</v>
      </c>
      <c r="B3165" t="s">
        <v>1401</v>
      </c>
      <c r="C3165" t="s">
        <v>95</v>
      </c>
      <c r="D3165" t="s">
        <v>4</v>
      </c>
      <c r="E3165" t="s">
        <v>1385</v>
      </c>
      <c r="F3165" t="s">
        <v>6056</v>
      </c>
      <c r="G3165" s="2" t="str">
        <f>HYPERLINK("https://vk.com/wall471837275_21")</f>
        <v>https://vk.com/wall471837275_21</v>
      </c>
      <c r="H3165" t="s">
        <v>6062</v>
      </c>
      <c r="I3165" t="s">
        <v>1402</v>
      </c>
      <c r="J3165" s="2" t="str">
        <f>HYPERLINK("http://vk.com/id471837275")</f>
        <v>http://vk.com/id471837275</v>
      </c>
      <c r="K3165">
        <v>24</v>
      </c>
      <c r="L3165" t="s">
        <v>6064</v>
      </c>
      <c r="N3165" t="s">
        <v>25</v>
      </c>
      <c r="O3165" t="s">
        <v>1402</v>
      </c>
      <c r="P3165" s="2" t="str">
        <f>HYPERLINK("http://vk.com/id471837275")</f>
        <v>http://vk.com/id471837275</v>
      </c>
      <c r="Q3165">
        <v>24</v>
      </c>
      <c r="R3165" t="s">
        <v>6067</v>
      </c>
      <c r="S3165" t="s">
        <v>6072</v>
      </c>
    </row>
    <row r="3166" spans="1:19" ht="14.25" customHeight="1" x14ac:dyDescent="0.3">
      <c r="A3166" t="s">
        <v>3527</v>
      </c>
      <c r="B3166" t="s">
        <v>1620</v>
      </c>
      <c r="C3166" t="s">
        <v>3538</v>
      </c>
      <c r="D3166" t="s">
        <v>4</v>
      </c>
      <c r="E3166" t="s">
        <v>4045</v>
      </c>
      <c r="F3166" t="s">
        <v>6058</v>
      </c>
      <c r="G3166" s="2" t="str">
        <f>HYPERLINK("https://vk.com/wall451599829_1871")</f>
        <v>https://vk.com/wall451599829_1871</v>
      </c>
      <c r="H3166" t="s">
        <v>6062</v>
      </c>
      <c r="I3166" t="s">
        <v>4299</v>
      </c>
      <c r="J3166" s="2" t="str">
        <f>HYPERLINK("http://vk.com/id451599829")</f>
        <v>http://vk.com/id451599829</v>
      </c>
      <c r="K3166">
        <v>81</v>
      </c>
      <c r="L3166" t="s">
        <v>6064</v>
      </c>
      <c r="M3166">
        <v>29</v>
      </c>
      <c r="N3166" t="s">
        <v>25</v>
      </c>
      <c r="O3166" t="s">
        <v>4299</v>
      </c>
      <c r="P3166" s="2" t="str">
        <f>HYPERLINK("http://vk.com/id451599829")</f>
        <v>http://vk.com/id451599829</v>
      </c>
      <c r="Q3166">
        <v>81</v>
      </c>
      <c r="R3166" t="s">
        <v>6067</v>
      </c>
    </row>
    <row r="3167" spans="1:19" ht="14.25" customHeight="1" x14ac:dyDescent="0.3">
      <c r="A3167" t="s">
        <v>5409</v>
      </c>
      <c r="B3167" t="s">
        <v>3343</v>
      </c>
      <c r="C3167" t="s">
        <v>3538</v>
      </c>
      <c r="D3167" t="s">
        <v>4</v>
      </c>
      <c r="E3167" t="s">
        <v>5809</v>
      </c>
      <c r="F3167" t="s">
        <v>6056</v>
      </c>
      <c r="G3167" s="2" t="str">
        <f>HYPERLINK("https://vk.com/wall85947094_7943")</f>
        <v>https://vk.com/wall85947094_7943</v>
      </c>
      <c r="H3167" t="s">
        <v>6062</v>
      </c>
      <c r="I3167" t="s">
        <v>5810</v>
      </c>
      <c r="J3167" s="2" t="str">
        <f>HYPERLINK("http://vk.com/id85947094")</f>
        <v>http://vk.com/id85947094</v>
      </c>
      <c r="K3167">
        <v>5928</v>
      </c>
      <c r="L3167" t="s">
        <v>6064</v>
      </c>
      <c r="N3167" t="s">
        <v>25</v>
      </c>
      <c r="O3167" t="s">
        <v>5810</v>
      </c>
      <c r="P3167" s="2" t="str">
        <f>HYPERLINK("http://vk.com/id85947094")</f>
        <v>http://vk.com/id85947094</v>
      </c>
      <c r="Q3167">
        <v>5928</v>
      </c>
      <c r="R3167" t="s">
        <v>6067</v>
      </c>
      <c r="S3167" t="s">
        <v>6073</v>
      </c>
    </row>
    <row r="3168" spans="1:19" ht="14.25" customHeight="1" x14ac:dyDescent="0.3">
      <c r="A3168" t="s">
        <v>3527</v>
      </c>
      <c r="B3168" t="s">
        <v>4364</v>
      </c>
      <c r="C3168" t="s">
        <v>3538</v>
      </c>
      <c r="D3168" t="s">
        <v>4365</v>
      </c>
      <c r="E3168" t="s">
        <v>4366</v>
      </c>
      <c r="F3168" t="s">
        <v>6059</v>
      </c>
      <c r="G3168" s="2" t="str">
        <f>HYPERLINK("https://vk.com/wall-129010024_287")</f>
        <v>https://vk.com/wall-129010024_287</v>
      </c>
      <c r="H3168" t="s">
        <v>6062</v>
      </c>
      <c r="I3168" t="s">
        <v>4367</v>
      </c>
      <c r="J3168" s="2" t="str">
        <f>HYPERLINK("http://vk.com/id16961452")</f>
        <v>http://vk.com/id16961452</v>
      </c>
      <c r="K3168">
        <v>4</v>
      </c>
      <c r="L3168" t="s">
        <v>6063</v>
      </c>
      <c r="M3168">
        <v>65</v>
      </c>
      <c r="N3168" t="s">
        <v>25</v>
      </c>
      <c r="O3168" t="s">
        <v>4368</v>
      </c>
      <c r="P3168" s="2" t="str">
        <f>HYPERLINK("http://vk.com/club129010024")</f>
        <v>http://vk.com/club129010024</v>
      </c>
      <c r="Q3168">
        <v>21</v>
      </c>
      <c r="R3168" t="s">
        <v>6067</v>
      </c>
      <c r="S3168" t="s">
        <v>6073</v>
      </c>
    </row>
    <row r="3169" spans="1:19" ht="14.25" customHeight="1" x14ac:dyDescent="0.3">
      <c r="A3169" t="s">
        <v>3527</v>
      </c>
      <c r="B3169" t="s">
        <v>3320</v>
      </c>
      <c r="C3169" t="s">
        <v>3538</v>
      </c>
      <c r="D3169" t="s">
        <v>4</v>
      </c>
      <c r="E3169" t="s">
        <v>4045</v>
      </c>
      <c r="F3169" t="s">
        <v>6058</v>
      </c>
      <c r="G3169" s="2" t="str">
        <f>HYPERLINK("https://vk.com/wall428170908_40")</f>
        <v>https://vk.com/wall428170908_40</v>
      </c>
      <c r="H3169" t="s">
        <v>6062</v>
      </c>
      <c r="I3169" t="s">
        <v>4248</v>
      </c>
      <c r="J3169" s="2" t="str">
        <f>HYPERLINK("http://vk.com/id428170908")</f>
        <v>http://vk.com/id428170908</v>
      </c>
      <c r="K3169">
        <v>13</v>
      </c>
      <c r="L3169" t="s">
        <v>6063</v>
      </c>
      <c r="N3169" t="s">
        <v>25</v>
      </c>
      <c r="O3169" t="s">
        <v>4248</v>
      </c>
      <c r="P3169" s="2" t="str">
        <f>HYPERLINK("http://vk.com/id428170908")</f>
        <v>http://vk.com/id428170908</v>
      </c>
      <c r="Q3169">
        <v>13</v>
      </c>
      <c r="R3169" t="s">
        <v>6067</v>
      </c>
    </row>
    <row r="3170" spans="1:19" ht="14.25" customHeight="1" x14ac:dyDescent="0.3">
      <c r="A3170" t="s">
        <v>4995</v>
      </c>
      <c r="B3170" t="s">
        <v>4992</v>
      </c>
      <c r="C3170" t="s">
        <v>3538</v>
      </c>
      <c r="D3170" t="s">
        <v>4</v>
      </c>
      <c r="E3170" t="s">
        <v>5405</v>
      </c>
      <c r="F3170" t="s">
        <v>6056</v>
      </c>
      <c r="G3170" s="2" t="str">
        <f>HYPERLINK("https://vk.com/wall179795489_315")</f>
        <v>https://vk.com/wall179795489_315</v>
      </c>
      <c r="H3170" t="s">
        <v>6062</v>
      </c>
      <c r="I3170" t="s">
        <v>5406</v>
      </c>
      <c r="J3170" s="2" t="str">
        <f>HYPERLINK("http://vk.com/id179795489")</f>
        <v>http://vk.com/id179795489</v>
      </c>
      <c r="K3170">
        <v>72</v>
      </c>
      <c r="L3170" t="s">
        <v>6063</v>
      </c>
      <c r="M3170">
        <v>33</v>
      </c>
      <c r="N3170" t="s">
        <v>25</v>
      </c>
      <c r="O3170" t="s">
        <v>5406</v>
      </c>
      <c r="P3170" s="2" t="str">
        <f>HYPERLINK("http://vk.com/id179795489")</f>
        <v>http://vk.com/id179795489</v>
      </c>
      <c r="Q3170">
        <v>72</v>
      </c>
      <c r="R3170" t="s">
        <v>6067</v>
      </c>
      <c r="S3170" t="s">
        <v>6073</v>
      </c>
    </row>
    <row r="3171" spans="1:19" ht="14.25" customHeight="1" x14ac:dyDescent="0.3">
      <c r="A3171" t="s">
        <v>629</v>
      </c>
      <c r="B3171" t="s">
        <v>2173</v>
      </c>
      <c r="C3171" t="s">
        <v>95</v>
      </c>
      <c r="D3171" t="s">
        <v>2174</v>
      </c>
      <c r="E3171" t="s">
        <v>2175</v>
      </c>
      <c r="F3171" t="s">
        <v>6059</v>
      </c>
      <c r="G3171" s="2" t="str">
        <f>HYPERLINK("https://vk.com/wall-108593567_27789")</f>
        <v>https://vk.com/wall-108593567_27789</v>
      </c>
      <c r="H3171" t="s">
        <v>6062</v>
      </c>
      <c r="I3171" t="s">
        <v>2176</v>
      </c>
      <c r="J3171" s="2" t="str">
        <f>HYPERLINK("http://vk.com/id395612145")</f>
        <v>http://vk.com/id395612145</v>
      </c>
      <c r="K3171">
        <v>610</v>
      </c>
      <c r="L3171" t="s">
        <v>6063</v>
      </c>
      <c r="N3171" t="s">
        <v>25</v>
      </c>
      <c r="O3171" t="s">
        <v>2177</v>
      </c>
      <c r="P3171" s="2" t="str">
        <f>HYPERLINK("http://vk.com/club108593567")</f>
        <v>http://vk.com/club108593567</v>
      </c>
      <c r="Q3171">
        <v>2306</v>
      </c>
      <c r="R3171" t="s">
        <v>6067</v>
      </c>
      <c r="S3171" t="s">
        <v>6073</v>
      </c>
    </row>
    <row r="3172" spans="1:19" ht="14.25" customHeight="1" x14ac:dyDescent="0.3">
      <c r="A3172" t="s">
        <v>3527</v>
      </c>
      <c r="B3172" t="s">
        <v>71</v>
      </c>
      <c r="C3172" t="s">
        <v>3538</v>
      </c>
      <c r="D3172" t="s">
        <v>4</v>
      </c>
      <c r="E3172" t="s">
        <v>4045</v>
      </c>
      <c r="F3172" t="s">
        <v>6058</v>
      </c>
      <c r="G3172" s="2" t="str">
        <f>HYPERLINK("https://vk.com/wall268153268_104")</f>
        <v>https://vk.com/wall268153268_104</v>
      </c>
      <c r="H3172" t="s">
        <v>6062</v>
      </c>
      <c r="I3172" t="s">
        <v>3888</v>
      </c>
      <c r="J3172" s="2" t="str">
        <f>HYPERLINK("http://vk.com/id268153268")</f>
        <v>http://vk.com/id268153268</v>
      </c>
      <c r="K3172">
        <v>7</v>
      </c>
      <c r="L3172" t="s">
        <v>6063</v>
      </c>
      <c r="M3172">
        <v>53</v>
      </c>
      <c r="N3172" t="s">
        <v>25</v>
      </c>
      <c r="O3172" t="s">
        <v>3888</v>
      </c>
      <c r="P3172" s="2" t="str">
        <f>HYPERLINK("http://vk.com/id268153268")</f>
        <v>http://vk.com/id268153268</v>
      </c>
      <c r="Q3172">
        <v>7</v>
      </c>
      <c r="R3172" t="s">
        <v>6067</v>
      </c>
      <c r="S3172" t="s">
        <v>6072</v>
      </c>
    </row>
    <row r="3173" spans="1:19" ht="14.25" customHeight="1" x14ac:dyDescent="0.3">
      <c r="A3173" t="s">
        <v>3527</v>
      </c>
      <c r="B3173" t="s">
        <v>3885</v>
      </c>
      <c r="C3173" t="s">
        <v>3538</v>
      </c>
      <c r="D3173" t="s">
        <v>4</v>
      </c>
      <c r="E3173" t="s">
        <v>3820</v>
      </c>
      <c r="F3173" t="s">
        <v>6058</v>
      </c>
      <c r="G3173" s="2" t="str">
        <f>HYPERLINK("https://vk.com/wall268153268_116")</f>
        <v>https://vk.com/wall268153268_116</v>
      </c>
      <c r="H3173" t="s">
        <v>6062</v>
      </c>
      <c r="I3173" t="s">
        <v>3888</v>
      </c>
      <c r="J3173" s="2" t="str">
        <f>HYPERLINK("http://vk.com/id268153268")</f>
        <v>http://vk.com/id268153268</v>
      </c>
      <c r="K3173">
        <v>7</v>
      </c>
      <c r="L3173" t="s">
        <v>6063</v>
      </c>
      <c r="M3173">
        <v>53</v>
      </c>
      <c r="N3173" t="s">
        <v>25</v>
      </c>
      <c r="O3173" t="s">
        <v>3888</v>
      </c>
      <c r="P3173" s="2" t="str">
        <f>HYPERLINK("http://vk.com/id268153268")</f>
        <v>http://vk.com/id268153268</v>
      </c>
      <c r="Q3173">
        <v>7</v>
      </c>
      <c r="R3173" t="s">
        <v>6067</v>
      </c>
      <c r="S3173" t="s">
        <v>6072</v>
      </c>
    </row>
    <row r="3174" spans="1:19" ht="14.25" customHeight="1" x14ac:dyDescent="0.3">
      <c r="A3174" t="s">
        <v>3527</v>
      </c>
      <c r="B3174" t="s">
        <v>4141</v>
      </c>
      <c r="C3174" t="s">
        <v>95</v>
      </c>
      <c r="D3174" t="s">
        <v>4</v>
      </c>
      <c r="E3174" t="s">
        <v>4045</v>
      </c>
      <c r="F3174" t="s">
        <v>6058</v>
      </c>
      <c r="G3174" s="2" t="str">
        <f>HYPERLINK("https://vk.com/wall480078614_142")</f>
        <v>https://vk.com/wall480078614_142</v>
      </c>
      <c r="H3174" t="s">
        <v>6062</v>
      </c>
      <c r="I3174" t="s">
        <v>4142</v>
      </c>
      <c r="J3174" s="2" t="str">
        <f>HYPERLINK("http://vk.com/id480078614")</f>
        <v>http://vk.com/id480078614</v>
      </c>
      <c r="K3174">
        <v>0</v>
      </c>
      <c r="L3174" t="s">
        <v>6063</v>
      </c>
      <c r="M3174">
        <v>27</v>
      </c>
      <c r="N3174" t="s">
        <v>25</v>
      </c>
      <c r="O3174" t="s">
        <v>4142</v>
      </c>
      <c r="P3174" s="2" t="str">
        <f>HYPERLINK("http://vk.com/id480078614")</f>
        <v>http://vk.com/id480078614</v>
      </c>
      <c r="Q3174">
        <v>0</v>
      </c>
      <c r="R3174" t="s">
        <v>6067</v>
      </c>
    </row>
    <row r="3175" spans="1:19" ht="14.25" customHeight="1" x14ac:dyDescent="0.3">
      <c r="A3175" t="s">
        <v>3527</v>
      </c>
      <c r="B3175" t="s">
        <v>171</v>
      </c>
      <c r="C3175" t="s">
        <v>3538</v>
      </c>
      <c r="D3175" t="s">
        <v>4</v>
      </c>
      <c r="E3175" t="s">
        <v>4045</v>
      </c>
      <c r="F3175" t="s">
        <v>6058</v>
      </c>
      <c r="G3175" s="2" t="str">
        <f>HYPERLINK("https://vk.com/wall470161381_502")</f>
        <v>https://vk.com/wall470161381_502</v>
      </c>
      <c r="H3175" t="s">
        <v>6062</v>
      </c>
      <c r="I3175" t="s">
        <v>4247</v>
      </c>
      <c r="J3175" s="2" t="str">
        <f>HYPERLINK("http://vk.com/id470161381")</f>
        <v>http://vk.com/id470161381</v>
      </c>
      <c r="K3175">
        <v>68</v>
      </c>
      <c r="L3175" t="s">
        <v>6063</v>
      </c>
      <c r="M3175">
        <v>19</v>
      </c>
      <c r="N3175" t="s">
        <v>25</v>
      </c>
      <c r="O3175" t="s">
        <v>4247</v>
      </c>
      <c r="P3175" s="2" t="str">
        <f>HYPERLINK("http://vk.com/id470161381")</f>
        <v>http://vk.com/id470161381</v>
      </c>
      <c r="Q3175">
        <v>68</v>
      </c>
      <c r="R3175" t="s">
        <v>6067</v>
      </c>
    </row>
    <row r="3176" spans="1:19" ht="14.25" customHeight="1" x14ac:dyDescent="0.3">
      <c r="A3176" t="s">
        <v>3527</v>
      </c>
      <c r="B3176" t="s">
        <v>4405</v>
      </c>
      <c r="C3176" t="s">
        <v>3538</v>
      </c>
      <c r="D3176" t="s">
        <v>4</v>
      </c>
      <c r="E3176" t="s">
        <v>4045</v>
      </c>
      <c r="F3176" t="s">
        <v>6058</v>
      </c>
      <c r="G3176" s="2" t="str">
        <f>HYPERLINK("https://vk.com/wall478187707_45")</f>
        <v>https://vk.com/wall478187707_45</v>
      </c>
      <c r="H3176" t="s">
        <v>6062</v>
      </c>
      <c r="I3176" t="s">
        <v>4406</v>
      </c>
      <c r="J3176" s="2" t="str">
        <f>HYPERLINK("http://vk.com/id478187707")</f>
        <v>http://vk.com/id478187707</v>
      </c>
      <c r="K3176">
        <v>1</v>
      </c>
      <c r="L3176" t="s">
        <v>6063</v>
      </c>
      <c r="N3176" t="s">
        <v>25</v>
      </c>
      <c r="O3176" t="s">
        <v>4406</v>
      </c>
      <c r="P3176" s="2" t="str">
        <f>HYPERLINK("http://vk.com/id478187707")</f>
        <v>http://vk.com/id478187707</v>
      </c>
      <c r="Q3176">
        <v>1</v>
      </c>
      <c r="R3176" t="s">
        <v>6067</v>
      </c>
      <c r="S3176" t="s">
        <v>6072</v>
      </c>
    </row>
    <row r="3177" spans="1:19" ht="14.25" customHeight="1" x14ac:dyDescent="0.3">
      <c r="A3177" t="s">
        <v>4439</v>
      </c>
      <c r="B3177" t="s">
        <v>140</v>
      </c>
      <c r="C3177" t="s">
        <v>3538</v>
      </c>
      <c r="D3177" t="s">
        <v>4</v>
      </c>
      <c r="E3177" t="s">
        <v>4704</v>
      </c>
      <c r="F3177" t="s">
        <v>6056</v>
      </c>
      <c r="G3177" s="2" t="str">
        <f>HYPERLINK("https://vk.com/wall173524826_3672")</f>
        <v>https://vk.com/wall173524826_3672</v>
      </c>
      <c r="H3177" t="s">
        <v>6062</v>
      </c>
      <c r="I3177" t="s">
        <v>4705</v>
      </c>
      <c r="J3177" s="2" t="str">
        <f>HYPERLINK("http://vk.com/id173524826")</f>
        <v>http://vk.com/id173524826</v>
      </c>
      <c r="K3177">
        <v>271</v>
      </c>
      <c r="L3177" t="s">
        <v>6063</v>
      </c>
      <c r="N3177" t="s">
        <v>25</v>
      </c>
      <c r="O3177" t="s">
        <v>4705</v>
      </c>
      <c r="P3177" s="2" t="str">
        <f>HYPERLINK("http://vk.com/id173524826")</f>
        <v>http://vk.com/id173524826</v>
      </c>
      <c r="Q3177">
        <v>271</v>
      </c>
      <c r="R3177" t="s">
        <v>6067</v>
      </c>
      <c r="S3177" t="s">
        <v>6073</v>
      </c>
    </row>
    <row r="3178" spans="1:19" ht="14.25" customHeight="1" x14ac:dyDescent="0.3">
      <c r="A3178" t="s">
        <v>3527</v>
      </c>
      <c r="B3178" t="s">
        <v>3999</v>
      </c>
      <c r="C3178" t="s">
        <v>95</v>
      </c>
      <c r="D3178" t="s">
        <v>4</v>
      </c>
      <c r="E3178" t="s">
        <v>3706</v>
      </c>
      <c r="F3178" t="s">
        <v>6058</v>
      </c>
      <c r="G3178" s="2" t="str">
        <f>HYPERLINK("https://vk.com/wall193723237_300")</f>
        <v>https://vk.com/wall193723237_300</v>
      </c>
      <c r="H3178" t="s">
        <v>6062</v>
      </c>
      <c r="I3178" t="s">
        <v>3528</v>
      </c>
      <c r="J3178" s="2" t="str">
        <f>HYPERLINK("http://vk.com/id193723237")</f>
        <v>http://vk.com/id193723237</v>
      </c>
      <c r="K3178">
        <v>133</v>
      </c>
      <c r="L3178" t="s">
        <v>6063</v>
      </c>
      <c r="M3178">
        <v>27</v>
      </c>
      <c r="N3178" t="s">
        <v>25</v>
      </c>
      <c r="O3178" t="s">
        <v>3528</v>
      </c>
      <c r="P3178" s="2" t="str">
        <f>HYPERLINK("http://vk.com/id193723237")</f>
        <v>http://vk.com/id193723237</v>
      </c>
      <c r="Q3178">
        <v>133</v>
      </c>
      <c r="R3178" t="s">
        <v>6067</v>
      </c>
      <c r="S3178" t="s">
        <v>6073</v>
      </c>
    </row>
    <row r="3179" spans="1:19" ht="14.25" customHeight="1" x14ac:dyDescent="0.3">
      <c r="A3179" t="s">
        <v>3527</v>
      </c>
      <c r="B3179" t="s">
        <v>2226</v>
      </c>
      <c r="C3179" t="s">
        <v>95</v>
      </c>
      <c r="D3179" t="s">
        <v>4</v>
      </c>
      <c r="E3179" t="s">
        <v>3511</v>
      </c>
      <c r="F3179" t="s">
        <v>6058</v>
      </c>
      <c r="G3179" s="2" t="str">
        <f>HYPERLINK("https://vk.com/wall193723237_316")</f>
        <v>https://vk.com/wall193723237_316</v>
      </c>
      <c r="H3179" t="s">
        <v>6062</v>
      </c>
      <c r="I3179" t="s">
        <v>3528</v>
      </c>
      <c r="J3179" s="2" t="str">
        <f>HYPERLINK("http://vk.com/id193723237")</f>
        <v>http://vk.com/id193723237</v>
      </c>
      <c r="K3179">
        <v>133</v>
      </c>
      <c r="L3179" t="s">
        <v>6063</v>
      </c>
      <c r="M3179">
        <v>27</v>
      </c>
      <c r="N3179" t="s">
        <v>25</v>
      </c>
      <c r="O3179" t="s">
        <v>3528</v>
      </c>
      <c r="P3179" s="2" t="str">
        <f>HYPERLINK("http://vk.com/id193723237")</f>
        <v>http://vk.com/id193723237</v>
      </c>
      <c r="Q3179">
        <v>133</v>
      </c>
      <c r="R3179" t="s">
        <v>6067</v>
      </c>
      <c r="S3179" t="s">
        <v>6073</v>
      </c>
    </row>
    <row r="3180" spans="1:19" ht="14.25" customHeight="1" x14ac:dyDescent="0.3">
      <c r="A3180" t="s">
        <v>3527</v>
      </c>
      <c r="B3180" t="s">
        <v>2346</v>
      </c>
      <c r="C3180" t="s">
        <v>95</v>
      </c>
      <c r="D3180" t="s">
        <v>4</v>
      </c>
      <c r="E3180" t="s">
        <v>3517</v>
      </c>
      <c r="F3180" t="s">
        <v>6058</v>
      </c>
      <c r="G3180" s="2" t="str">
        <f>HYPERLINK("https://vk.com/wall433122523_326")</f>
        <v>https://vk.com/wall433122523_326</v>
      </c>
      <c r="H3180" t="s">
        <v>6062</v>
      </c>
      <c r="I3180" t="s">
        <v>3619</v>
      </c>
      <c r="J3180" s="2" t="str">
        <f>HYPERLINK("http://vk.com/id433122523")</f>
        <v>http://vk.com/id433122523</v>
      </c>
      <c r="K3180">
        <v>38</v>
      </c>
      <c r="L3180" t="s">
        <v>6064</v>
      </c>
      <c r="M3180">
        <v>14</v>
      </c>
      <c r="N3180" t="s">
        <v>25</v>
      </c>
      <c r="O3180" t="s">
        <v>3619</v>
      </c>
      <c r="P3180" s="2" t="str">
        <f>HYPERLINK("http://vk.com/id433122523")</f>
        <v>http://vk.com/id433122523</v>
      </c>
      <c r="Q3180">
        <v>38</v>
      </c>
      <c r="R3180" t="s">
        <v>6067</v>
      </c>
      <c r="S3180" t="s">
        <v>6072</v>
      </c>
    </row>
    <row r="3181" spans="1:19" ht="14.25" customHeight="1" x14ac:dyDescent="0.3">
      <c r="A3181" t="s">
        <v>3527</v>
      </c>
      <c r="B3181" t="s">
        <v>3589</v>
      </c>
      <c r="C3181" t="s">
        <v>95</v>
      </c>
      <c r="D3181" t="s">
        <v>4</v>
      </c>
      <c r="E3181" t="s">
        <v>3517</v>
      </c>
      <c r="F3181" t="s">
        <v>6058</v>
      </c>
      <c r="G3181" s="2" t="str">
        <f>HYPERLINK("https://vk.com/wall481071985_69")</f>
        <v>https://vk.com/wall481071985_69</v>
      </c>
      <c r="H3181" t="s">
        <v>6062</v>
      </c>
      <c r="I3181" t="s">
        <v>3596</v>
      </c>
      <c r="J3181" s="2" t="str">
        <f>HYPERLINK("http://vk.com/id481071985")</f>
        <v>http://vk.com/id481071985</v>
      </c>
      <c r="K3181">
        <v>7</v>
      </c>
      <c r="L3181" t="s">
        <v>6064</v>
      </c>
      <c r="M3181">
        <v>21</v>
      </c>
      <c r="N3181" t="s">
        <v>25</v>
      </c>
      <c r="O3181" t="s">
        <v>3596</v>
      </c>
      <c r="P3181" s="2" t="str">
        <f>HYPERLINK("http://vk.com/id481071985")</f>
        <v>http://vk.com/id481071985</v>
      </c>
      <c r="Q3181">
        <v>7</v>
      </c>
      <c r="R3181" t="s">
        <v>6067</v>
      </c>
      <c r="S3181" t="s">
        <v>6072</v>
      </c>
    </row>
    <row r="3182" spans="1:19" ht="14.25" customHeight="1" x14ac:dyDescent="0.3">
      <c r="A3182" t="s">
        <v>3527</v>
      </c>
      <c r="B3182" t="s">
        <v>472</v>
      </c>
      <c r="C3182" t="s">
        <v>3538</v>
      </c>
      <c r="D3182" t="s">
        <v>4</v>
      </c>
      <c r="E3182" t="s">
        <v>4045</v>
      </c>
      <c r="F3182" t="s">
        <v>6058</v>
      </c>
      <c r="G3182" s="2" t="str">
        <f>HYPERLINK("https://vk.com/wall203760749_250")</f>
        <v>https://vk.com/wall203760749_250</v>
      </c>
      <c r="H3182" t="s">
        <v>6062</v>
      </c>
      <c r="I3182" t="s">
        <v>4342</v>
      </c>
      <c r="J3182" s="2" t="str">
        <f>HYPERLINK("http://vk.com/id203760749")</f>
        <v>http://vk.com/id203760749</v>
      </c>
      <c r="K3182">
        <v>31</v>
      </c>
      <c r="L3182" t="s">
        <v>6064</v>
      </c>
      <c r="N3182" t="s">
        <v>25</v>
      </c>
      <c r="O3182" t="s">
        <v>4342</v>
      </c>
      <c r="P3182" s="2" t="str">
        <f>HYPERLINK("http://vk.com/id203760749")</f>
        <v>http://vk.com/id203760749</v>
      </c>
      <c r="Q3182">
        <v>31</v>
      </c>
      <c r="R3182" t="s">
        <v>6067</v>
      </c>
      <c r="S3182" t="s">
        <v>6072</v>
      </c>
    </row>
    <row r="3183" spans="1:19" ht="14.25" customHeight="1" x14ac:dyDescent="0.3">
      <c r="A3183" t="s">
        <v>3527</v>
      </c>
      <c r="B3183" t="s">
        <v>1375</v>
      </c>
      <c r="C3183" t="s">
        <v>95</v>
      </c>
      <c r="D3183" t="s">
        <v>4</v>
      </c>
      <c r="E3183" t="s">
        <v>4045</v>
      </c>
      <c r="F3183" t="s">
        <v>6058</v>
      </c>
      <c r="G3183" s="2" t="str">
        <f>HYPERLINK("https://vk.com/wall401837978_148")</f>
        <v>https://vk.com/wall401837978_148</v>
      </c>
      <c r="H3183" t="s">
        <v>6062</v>
      </c>
      <c r="I3183" t="s">
        <v>4219</v>
      </c>
      <c r="J3183" s="2" t="str">
        <f>HYPERLINK("http://vk.com/id401837978")</f>
        <v>http://vk.com/id401837978</v>
      </c>
      <c r="K3183">
        <v>16</v>
      </c>
      <c r="L3183" t="s">
        <v>6063</v>
      </c>
      <c r="M3183">
        <v>22</v>
      </c>
      <c r="N3183" t="s">
        <v>25</v>
      </c>
      <c r="O3183" t="s">
        <v>4219</v>
      </c>
      <c r="P3183" s="2" t="str">
        <f>HYPERLINK("http://vk.com/id401837978")</f>
        <v>http://vk.com/id401837978</v>
      </c>
      <c r="Q3183">
        <v>16</v>
      </c>
      <c r="R3183" t="s">
        <v>6067</v>
      </c>
    </row>
    <row r="3184" spans="1:19" ht="14.25" customHeight="1" x14ac:dyDescent="0.3">
      <c r="A3184" t="s">
        <v>3527</v>
      </c>
      <c r="B3184" t="s">
        <v>1059</v>
      </c>
      <c r="C3184" t="s">
        <v>95</v>
      </c>
      <c r="D3184" t="s">
        <v>4</v>
      </c>
      <c r="E3184" t="s">
        <v>4056</v>
      </c>
      <c r="F3184" t="s">
        <v>6056</v>
      </c>
      <c r="G3184" s="2" t="str">
        <f>HYPERLINK("https://vk.com/wall14754814_188")</f>
        <v>https://vk.com/wall14754814_188</v>
      </c>
      <c r="H3184" t="s">
        <v>6062</v>
      </c>
      <c r="I3184" t="s">
        <v>4057</v>
      </c>
      <c r="J3184" s="2" t="str">
        <f>HYPERLINK("http://vk.com/id14754814")</f>
        <v>http://vk.com/id14754814</v>
      </c>
      <c r="K3184">
        <v>202</v>
      </c>
      <c r="L3184" t="s">
        <v>6064</v>
      </c>
      <c r="M3184">
        <v>39</v>
      </c>
      <c r="N3184" t="s">
        <v>25</v>
      </c>
      <c r="O3184" t="s">
        <v>4057</v>
      </c>
      <c r="P3184" s="2" t="str">
        <f>HYPERLINK("http://vk.com/id14754814")</f>
        <v>http://vk.com/id14754814</v>
      </c>
      <c r="Q3184">
        <v>202</v>
      </c>
      <c r="R3184" t="s">
        <v>6067</v>
      </c>
      <c r="S3184" t="s">
        <v>6073</v>
      </c>
    </row>
    <row r="3185" spans="1:19" ht="14.25" customHeight="1" x14ac:dyDescent="0.3">
      <c r="A3185" t="s">
        <v>5409</v>
      </c>
      <c r="B3185" t="s">
        <v>5982</v>
      </c>
      <c r="C3185" t="s">
        <v>3538</v>
      </c>
      <c r="D3185" t="s">
        <v>4</v>
      </c>
      <c r="E3185" t="s">
        <v>5978</v>
      </c>
      <c r="F3185" t="s">
        <v>6056</v>
      </c>
      <c r="G3185" s="2" t="str">
        <f>HYPERLINK("https://vk.com/wall114372737_4909")</f>
        <v>https://vk.com/wall114372737_4909</v>
      </c>
      <c r="H3185" t="s">
        <v>6062</v>
      </c>
      <c r="I3185" t="s">
        <v>5979</v>
      </c>
      <c r="J3185" s="2" t="str">
        <f>HYPERLINK("http://vk.com/id114372737")</f>
        <v>http://vk.com/id114372737</v>
      </c>
      <c r="K3185">
        <v>501</v>
      </c>
      <c r="L3185" t="s">
        <v>6063</v>
      </c>
      <c r="N3185" t="s">
        <v>25</v>
      </c>
      <c r="O3185" t="s">
        <v>5979</v>
      </c>
      <c r="P3185" s="2" t="str">
        <f>HYPERLINK("http://vk.com/id114372737")</f>
        <v>http://vk.com/id114372737</v>
      </c>
      <c r="Q3185">
        <v>501</v>
      </c>
      <c r="R3185" t="s">
        <v>6067</v>
      </c>
    </row>
    <row r="3186" spans="1:19" ht="14.25" customHeight="1" x14ac:dyDescent="0.3">
      <c r="A3186" t="s">
        <v>3527</v>
      </c>
      <c r="B3186" t="s">
        <v>3861</v>
      </c>
      <c r="C3186" t="s">
        <v>95</v>
      </c>
      <c r="D3186" t="s">
        <v>4</v>
      </c>
      <c r="E3186" t="s">
        <v>3792</v>
      </c>
      <c r="F3186" t="s">
        <v>6058</v>
      </c>
      <c r="G3186" s="2" t="str">
        <f>HYPERLINK("https://vk.com/wall359200274_77")</f>
        <v>https://vk.com/wall359200274_77</v>
      </c>
      <c r="H3186" t="s">
        <v>6062</v>
      </c>
      <c r="I3186" t="s">
        <v>3530</v>
      </c>
      <c r="J3186" s="2" t="str">
        <f>HYPERLINK("http://vk.com/id359200274")</f>
        <v>http://vk.com/id359200274</v>
      </c>
      <c r="K3186">
        <v>9</v>
      </c>
      <c r="L3186" t="s">
        <v>6064</v>
      </c>
      <c r="M3186">
        <v>20</v>
      </c>
      <c r="N3186" t="s">
        <v>25</v>
      </c>
      <c r="O3186" t="s">
        <v>3530</v>
      </c>
      <c r="P3186" s="2" t="str">
        <f>HYPERLINK("http://vk.com/id359200274")</f>
        <v>http://vk.com/id359200274</v>
      </c>
      <c r="Q3186">
        <v>9</v>
      </c>
      <c r="R3186" t="s">
        <v>6067</v>
      </c>
      <c r="S3186" t="s">
        <v>6072</v>
      </c>
    </row>
    <row r="3187" spans="1:19" ht="14.25" customHeight="1" x14ac:dyDescent="0.3">
      <c r="A3187" t="s">
        <v>3527</v>
      </c>
      <c r="B3187" t="s">
        <v>636</v>
      </c>
      <c r="C3187" t="s">
        <v>95</v>
      </c>
      <c r="D3187" t="s">
        <v>4</v>
      </c>
      <c r="E3187" t="s">
        <v>3511</v>
      </c>
      <c r="F3187" t="s">
        <v>6058</v>
      </c>
      <c r="G3187" s="2" t="str">
        <f>HYPERLINK("https://vk.com/wall359200274_81")</f>
        <v>https://vk.com/wall359200274_81</v>
      </c>
      <c r="H3187" t="s">
        <v>6062</v>
      </c>
      <c r="I3187" t="s">
        <v>3530</v>
      </c>
      <c r="J3187" s="2" t="str">
        <f>HYPERLINK("http://vk.com/id359200274")</f>
        <v>http://vk.com/id359200274</v>
      </c>
      <c r="K3187">
        <v>9</v>
      </c>
      <c r="L3187" t="s">
        <v>6064</v>
      </c>
      <c r="M3187">
        <v>20</v>
      </c>
      <c r="N3187" t="s">
        <v>25</v>
      </c>
      <c r="O3187" t="s">
        <v>3530</v>
      </c>
      <c r="P3187" s="2" t="str">
        <f>HYPERLINK("http://vk.com/id359200274")</f>
        <v>http://vk.com/id359200274</v>
      </c>
      <c r="Q3187">
        <v>9</v>
      </c>
      <c r="R3187" t="s">
        <v>6067</v>
      </c>
      <c r="S3187" t="s">
        <v>6072</v>
      </c>
    </row>
    <row r="3188" spans="1:19" ht="14.25" customHeight="1" x14ac:dyDescent="0.3">
      <c r="A3188" t="s">
        <v>3527</v>
      </c>
      <c r="B3188" t="s">
        <v>3988</v>
      </c>
      <c r="C3188" t="s">
        <v>95</v>
      </c>
      <c r="D3188" t="s">
        <v>4</v>
      </c>
      <c r="E3188" t="s">
        <v>3706</v>
      </c>
      <c r="F3188" t="s">
        <v>6058</v>
      </c>
      <c r="G3188" s="2" t="str">
        <f>HYPERLINK("https://vk.com/wall470592744_657")</f>
        <v>https://vk.com/wall470592744_657</v>
      </c>
      <c r="H3188" t="s">
        <v>6062</v>
      </c>
      <c r="I3188" t="s">
        <v>3989</v>
      </c>
      <c r="J3188" s="2" t="str">
        <f>HYPERLINK("http://vk.com/id470592744")</f>
        <v>http://vk.com/id470592744</v>
      </c>
      <c r="K3188">
        <v>9</v>
      </c>
      <c r="L3188" t="s">
        <v>6063</v>
      </c>
      <c r="M3188">
        <v>22</v>
      </c>
      <c r="N3188" t="s">
        <v>25</v>
      </c>
      <c r="O3188" t="s">
        <v>3989</v>
      </c>
      <c r="P3188" s="2" t="str">
        <f>HYPERLINK("http://vk.com/id470592744")</f>
        <v>http://vk.com/id470592744</v>
      </c>
      <c r="Q3188">
        <v>9</v>
      </c>
      <c r="R3188" t="s">
        <v>6067</v>
      </c>
      <c r="S3188" t="s">
        <v>6072</v>
      </c>
    </row>
    <row r="3189" spans="1:19" ht="14.25" customHeight="1" x14ac:dyDescent="0.3">
      <c r="A3189" t="s">
        <v>3527</v>
      </c>
      <c r="B3189" t="s">
        <v>4393</v>
      </c>
      <c r="C3189" t="s">
        <v>3538</v>
      </c>
      <c r="D3189" t="s">
        <v>4</v>
      </c>
      <c r="E3189" t="s">
        <v>4045</v>
      </c>
      <c r="F3189" t="s">
        <v>6058</v>
      </c>
      <c r="G3189" s="2" t="str">
        <f>HYPERLINK("https://vk.com/wall480394852_121")</f>
        <v>https://vk.com/wall480394852_121</v>
      </c>
      <c r="H3189" t="s">
        <v>6062</v>
      </c>
      <c r="I3189" t="s">
        <v>4394</v>
      </c>
      <c r="J3189" s="2" t="str">
        <f>HYPERLINK("http://vk.com/id480394852")</f>
        <v>http://vk.com/id480394852</v>
      </c>
      <c r="K3189">
        <v>0</v>
      </c>
      <c r="L3189" t="s">
        <v>6063</v>
      </c>
      <c r="M3189">
        <v>26</v>
      </c>
      <c r="N3189" t="s">
        <v>25</v>
      </c>
      <c r="O3189" t="s">
        <v>4394</v>
      </c>
      <c r="P3189" s="2" t="str">
        <f>HYPERLINK("http://vk.com/id480394852")</f>
        <v>http://vk.com/id480394852</v>
      </c>
      <c r="Q3189">
        <v>0</v>
      </c>
      <c r="R3189" t="s">
        <v>6067</v>
      </c>
    </row>
    <row r="3190" spans="1:19" ht="14.25" customHeight="1" x14ac:dyDescent="0.3">
      <c r="A3190" t="s">
        <v>3527</v>
      </c>
      <c r="B3190" t="s">
        <v>182</v>
      </c>
      <c r="C3190" t="s">
        <v>3538</v>
      </c>
      <c r="D3190" t="s">
        <v>4</v>
      </c>
      <c r="E3190" t="s">
        <v>4251</v>
      </c>
      <c r="F3190" t="s">
        <v>6056</v>
      </c>
      <c r="G3190" s="2" t="str">
        <f>HYPERLINK("https://vk.com/wall6960490_34615")</f>
        <v>https://vk.com/wall6960490_34615</v>
      </c>
      <c r="H3190" t="s">
        <v>6062</v>
      </c>
      <c r="I3190" t="s">
        <v>4252</v>
      </c>
      <c r="J3190" s="2" t="str">
        <f>HYPERLINK("http://vk.com/id6960490")</f>
        <v>http://vk.com/id6960490</v>
      </c>
      <c r="K3190">
        <v>90517</v>
      </c>
      <c r="L3190" t="s">
        <v>6063</v>
      </c>
      <c r="M3190">
        <v>29</v>
      </c>
      <c r="N3190" t="s">
        <v>25</v>
      </c>
      <c r="O3190" t="s">
        <v>4252</v>
      </c>
      <c r="P3190" s="2" t="str">
        <f>HYPERLINK("http://vk.com/id6960490")</f>
        <v>http://vk.com/id6960490</v>
      </c>
      <c r="Q3190">
        <v>90517</v>
      </c>
      <c r="R3190" t="s">
        <v>6067</v>
      </c>
      <c r="S3190" t="s">
        <v>6073</v>
      </c>
    </row>
    <row r="3191" spans="1:19" ht="14.25" customHeight="1" x14ac:dyDescent="0.3">
      <c r="A3191" t="s">
        <v>3527</v>
      </c>
      <c r="B3191" t="s">
        <v>4411</v>
      </c>
      <c r="C3191" t="s">
        <v>3538</v>
      </c>
      <c r="D3191" t="s">
        <v>4</v>
      </c>
      <c r="E3191" t="s">
        <v>4045</v>
      </c>
      <c r="F3191" t="s">
        <v>6056</v>
      </c>
      <c r="G3191" s="2" t="str">
        <f>HYPERLINK("https://vk.com/wall96667251_3869")</f>
        <v>https://vk.com/wall96667251_3869</v>
      </c>
      <c r="H3191" t="s">
        <v>6062</v>
      </c>
      <c r="I3191" t="s">
        <v>4412</v>
      </c>
      <c r="J3191" s="2" t="str">
        <f>HYPERLINK("http://vk.com/id96667251")</f>
        <v>http://vk.com/id96667251</v>
      </c>
      <c r="K3191">
        <v>292</v>
      </c>
      <c r="L3191" t="s">
        <v>6063</v>
      </c>
      <c r="N3191" t="s">
        <v>25</v>
      </c>
      <c r="O3191" t="s">
        <v>4412</v>
      </c>
      <c r="P3191" s="2" t="str">
        <f>HYPERLINK("http://vk.com/id96667251")</f>
        <v>http://vk.com/id96667251</v>
      </c>
      <c r="Q3191">
        <v>292</v>
      </c>
      <c r="R3191" t="s">
        <v>6067</v>
      </c>
      <c r="S3191" t="s">
        <v>6073</v>
      </c>
    </row>
    <row r="3192" spans="1:19" ht="14.25" customHeight="1" x14ac:dyDescent="0.3">
      <c r="A3192" t="s">
        <v>2225</v>
      </c>
      <c r="B3192" t="s">
        <v>3024</v>
      </c>
      <c r="C3192" t="s">
        <v>95</v>
      </c>
      <c r="D3192" t="s">
        <v>4</v>
      </c>
      <c r="E3192" t="s">
        <v>3025</v>
      </c>
      <c r="F3192" t="s">
        <v>6056</v>
      </c>
      <c r="G3192" s="2" t="str">
        <f>HYPERLINK("https://vk.com/wall97170014_2420")</f>
        <v>https://vk.com/wall97170014_2420</v>
      </c>
      <c r="H3192" t="s">
        <v>6062</v>
      </c>
      <c r="I3192" t="s">
        <v>3026</v>
      </c>
      <c r="J3192" s="2" t="str">
        <f>HYPERLINK("http://vk.com/id97170014")</f>
        <v>http://vk.com/id97170014</v>
      </c>
      <c r="K3192">
        <v>999</v>
      </c>
      <c r="L3192" t="s">
        <v>6063</v>
      </c>
      <c r="N3192" t="s">
        <v>25</v>
      </c>
      <c r="O3192" t="s">
        <v>3026</v>
      </c>
      <c r="P3192" s="2" t="str">
        <f>HYPERLINK("http://vk.com/id97170014")</f>
        <v>http://vk.com/id97170014</v>
      </c>
      <c r="Q3192">
        <v>999</v>
      </c>
      <c r="R3192" t="s">
        <v>6067</v>
      </c>
      <c r="S3192" t="s">
        <v>6073</v>
      </c>
    </row>
    <row r="3193" spans="1:19" ht="14.25" customHeight="1" x14ac:dyDescent="0.3">
      <c r="A3193" t="s">
        <v>3527</v>
      </c>
      <c r="B3193" t="s">
        <v>3542</v>
      </c>
      <c r="C3193" t="s">
        <v>95</v>
      </c>
      <c r="D3193" t="s">
        <v>4</v>
      </c>
      <c r="E3193" t="s">
        <v>3543</v>
      </c>
      <c r="F3193" t="s">
        <v>6056</v>
      </c>
      <c r="G3193" s="2" t="str">
        <f>HYPERLINK("https://vk.com/wall121867098_2254")</f>
        <v>https://vk.com/wall121867098_2254</v>
      </c>
      <c r="H3193" t="s">
        <v>6062</v>
      </c>
      <c r="I3193" t="s">
        <v>3544</v>
      </c>
      <c r="J3193" s="2" t="str">
        <f>HYPERLINK("http://vk.com/id121867098")</f>
        <v>http://vk.com/id121867098</v>
      </c>
      <c r="K3193">
        <v>1361</v>
      </c>
      <c r="L3193" t="s">
        <v>6063</v>
      </c>
      <c r="M3193">
        <v>18</v>
      </c>
      <c r="N3193" t="s">
        <v>25</v>
      </c>
      <c r="O3193" t="s">
        <v>3544</v>
      </c>
      <c r="P3193" s="2" t="str">
        <f>HYPERLINK("http://vk.com/id121867098")</f>
        <v>http://vk.com/id121867098</v>
      </c>
      <c r="Q3193">
        <v>1361</v>
      </c>
      <c r="R3193" t="s">
        <v>6067</v>
      </c>
      <c r="S3193" t="s">
        <v>6073</v>
      </c>
    </row>
    <row r="3194" spans="1:19" ht="14.25" customHeight="1" x14ac:dyDescent="0.3">
      <c r="A3194" t="s">
        <v>3527</v>
      </c>
      <c r="B3194" t="s">
        <v>1791</v>
      </c>
      <c r="C3194" t="s">
        <v>3538</v>
      </c>
      <c r="D3194" t="s">
        <v>4</v>
      </c>
      <c r="E3194" t="s">
        <v>4045</v>
      </c>
      <c r="F3194" t="s">
        <v>6058</v>
      </c>
      <c r="G3194" s="2" t="str">
        <f>HYPERLINK("https://vk.com/wall445479131_83")</f>
        <v>https://vk.com/wall445479131_83</v>
      </c>
      <c r="H3194" t="s">
        <v>6062</v>
      </c>
      <c r="I3194" t="s">
        <v>4317</v>
      </c>
      <c r="J3194" s="2" t="str">
        <f>HYPERLINK("http://vk.com/id445479131")</f>
        <v>http://vk.com/id445479131</v>
      </c>
      <c r="K3194">
        <v>0</v>
      </c>
      <c r="L3194" t="s">
        <v>6063</v>
      </c>
      <c r="M3194">
        <v>14</v>
      </c>
      <c r="N3194" t="s">
        <v>25</v>
      </c>
      <c r="O3194" t="s">
        <v>4317</v>
      </c>
      <c r="P3194" s="2" t="str">
        <f>HYPERLINK("http://vk.com/id445479131")</f>
        <v>http://vk.com/id445479131</v>
      </c>
      <c r="Q3194">
        <v>0</v>
      </c>
      <c r="R3194" t="s">
        <v>6067</v>
      </c>
    </row>
    <row r="3195" spans="1:19" ht="14.25" customHeight="1" x14ac:dyDescent="0.3">
      <c r="A3195" t="s">
        <v>3527</v>
      </c>
      <c r="B3195" t="s">
        <v>2298</v>
      </c>
      <c r="C3195" t="s">
        <v>95</v>
      </c>
      <c r="D3195" t="s">
        <v>4</v>
      </c>
      <c r="E3195" t="s">
        <v>3511</v>
      </c>
      <c r="F3195" t="s">
        <v>6058</v>
      </c>
      <c r="G3195" s="2" t="str">
        <f>HYPERLINK("https://vk.com/wall456736648_1594")</f>
        <v>https://vk.com/wall456736648_1594</v>
      </c>
      <c r="H3195" t="s">
        <v>6062</v>
      </c>
      <c r="I3195" t="s">
        <v>3600</v>
      </c>
      <c r="J3195" s="2" t="str">
        <f>HYPERLINK("http://vk.com/id456736648")</f>
        <v>http://vk.com/id456736648</v>
      </c>
      <c r="K3195">
        <v>217</v>
      </c>
      <c r="L3195" t="s">
        <v>6063</v>
      </c>
      <c r="M3195">
        <v>29</v>
      </c>
      <c r="N3195" t="s">
        <v>25</v>
      </c>
      <c r="O3195" t="s">
        <v>3600</v>
      </c>
      <c r="P3195" s="2" t="str">
        <f>HYPERLINK("http://vk.com/id456736648")</f>
        <v>http://vk.com/id456736648</v>
      </c>
      <c r="Q3195">
        <v>217</v>
      </c>
      <c r="R3195" t="s">
        <v>6067</v>
      </c>
    </row>
    <row r="3196" spans="1:19" ht="14.25" customHeight="1" x14ac:dyDescent="0.3">
      <c r="A3196" t="s">
        <v>3527</v>
      </c>
      <c r="B3196" t="s">
        <v>4395</v>
      </c>
      <c r="C3196" t="s">
        <v>3538</v>
      </c>
      <c r="D3196" t="s">
        <v>4</v>
      </c>
      <c r="E3196" t="s">
        <v>4045</v>
      </c>
      <c r="F3196" t="s">
        <v>6058</v>
      </c>
      <c r="G3196" s="2" t="str">
        <f>HYPERLINK("https://vk.com/wall297250117_602")</f>
        <v>https://vk.com/wall297250117_602</v>
      </c>
      <c r="H3196" t="s">
        <v>6062</v>
      </c>
      <c r="I3196" t="s">
        <v>4396</v>
      </c>
      <c r="J3196" s="2" t="str">
        <f>HYPERLINK("http://vk.com/id297250117")</f>
        <v>http://vk.com/id297250117</v>
      </c>
      <c r="K3196">
        <v>38</v>
      </c>
      <c r="L3196" t="s">
        <v>6063</v>
      </c>
      <c r="N3196" t="s">
        <v>25</v>
      </c>
      <c r="O3196" t="s">
        <v>4396</v>
      </c>
      <c r="P3196" s="2" t="str">
        <f>HYPERLINK("http://vk.com/id297250117")</f>
        <v>http://vk.com/id297250117</v>
      </c>
      <c r="Q3196">
        <v>38</v>
      </c>
      <c r="R3196" t="s">
        <v>6067</v>
      </c>
      <c r="S3196" t="s">
        <v>6073</v>
      </c>
    </row>
    <row r="3197" spans="1:19" ht="14.25" customHeight="1" x14ac:dyDescent="0.3">
      <c r="A3197" t="s">
        <v>3527</v>
      </c>
      <c r="B3197" t="s">
        <v>3839</v>
      </c>
      <c r="C3197" t="s">
        <v>3538</v>
      </c>
      <c r="D3197" t="s">
        <v>4</v>
      </c>
      <c r="E3197" t="s">
        <v>3706</v>
      </c>
      <c r="F3197" t="s">
        <v>6058</v>
      </c>
      <c r="G3197" s="2" t="str">
        <f>HYPERLINK("https://vk.com/wall460802003_199")</f>
        <v>https://vk.com/wall460802003_199</v>
      </c>
      <c r="H3197" t="s">
        <v>6062</v>
      </c>
      <c r="I3197" t="s">
        <v>3841</v>
      </c>
      <c r="J3197" s="2" t="str">
        <f>HYPERLINK("http://vk.com/id460802003")</f>
        <v>http://vk.com/id460802003</v>
      </c>
      <c r="K3197">
        <v>50</v>
      </c>
      <c r="L3197" t="s">
        <v>6063</v>
      </c>
      <c r="M3197">
        <v>14</v>
      </c>
      <c r="N3197" t="s">
        <v>25</v>
      </c>
      <c r="O3197" t="s">
        <v>3841</v>
      </c>
      <c r="P3197" s="2" t="str">
        <f>HYPERLINK("http://vk.com/id460802003")</f>
        <v>http://vk.com/id460802003</v>
      </c>
      <c r="Q3197">
        <v>50</v>
      </c>
      <c r="R3197" t="s">
        <v>6067</v>
      </c>
      <c r="S3197" t="s">
        <v>6092</v>
      </c>
    </row>
    <row r="3198" spans="1:19" ht="14.25" customHeight="1" x14ac:dyDescent="0.3">
      <c r="A3198" t="s">
        <v>3527</v>
      </c>
      <c r="B3198" t="s">
        <v>4381</v>
      </c>
      <c r="C3198" t="s">
        <v>3538</v>
      </c>
      <c r="D3198" t="s">
        <v>4</v>
      </c>
      <c r="E3198" t="s">
        <v>4045</v>
      </c>
      <c r="F3198" t="s">
        <v>6058</v>
      </c>
      <c r="G3198" s="2" t="str">
        <f>HYPERLINK("https://vk.com/wall238890360_335")</f>
        <v>https://vk.com/wall238890360_335</v>
      </c>
      <c r="H3198" t="s">
        <v>6062</v>
      </c>
      <c r="I3198" t="s">
        <v>4382</v>
      </c>
      <c r="J3198" s="2" t="str">
        <f>HYPERLINK("http://vk.com/id238890360")</f>
        <v>http://vk.com/id238890360</v>
      </c>
      <c r="K3198">
        <v>357</v>
      </c>
      <c r="L3198" t="s">
        <v>6064</v>
      </c>
      <c r="N3198" t="s">
        <v>25</v>
      </c>
      <c r="O3198" t="s">
        <v>4382</v>
      </c>
      <c r="P3198" s="2" t="str">
        <f>HYPERLINK("http://vk.com/id238890360")</f>
        <v>http://vk.com/id238890360</v>
      </c>
      <c r="Q3198">
        <v>357</v>
      </c>
      <c r="R3198" t="s">
        <v>6067</v>
      </c>
      <c r="S3198" t="s">
        <v>6092</v>
      </c>
    </row>
    <row r="3199" spans="1:19" ht="14.25" customHeight="1" x14ac:dyDescent="0.3">
      <c r="A3199" t="s">
        <v>3527</v>
      </c>
      <c r="B3199" t="s">
        <v>2887</v>
      </c>
      <c r="C3199" t="s">
        <v>95</v>
      </c>
      <c r="D3199" t="s">
        <v>4</v>
      </c>
      <c r="E3199" t="s">
        <v>3706</v>
      </c>
      <c r="F3199" t="s">
        <v>6058</v>
      </c>
      <c r="G3199" s="2" t="str">
        <f>HYPERLINK("https://vk.com/wall286590186_2071")</f>
        <v>https://vk.com/wall286590186_2071</v>
      </c>
      <c r="H3199" t="s">
        <v>6062</v>
      </c>
      <c r="I3199" t="s">
        <v>3715</v>
      </c>
      <c r="J3199" s="2" t="str">
        <f>HYPERLINK("http://vk.com/id286590186")</f>
        <v>http://vk.com/id286590186</v>
      </c>
      <c r="K3199">
        <v>814</v>
      </c>
      <c r="L3199" t="s">
        <v>6064</v>
      </c>
      <c r="M3199">
        <v>24</v>
      </c>
      <c r="N3199" t="s">
        <v>25</v>
      </c>
      <c r="O3199" t="s">
        <v>3715</v>
      </c>
      <c r="P3199" s="2" t="str">
        <f>HYPERLINK("http://vk.com/id286590186")</f>
        <v>http://vk.com/id286590186</v>
      </c>
      <c r="Q3199">
        <v>814</v>
      </c>
      <c r="R3199" t="s">
        <v>6067</v>
      </c>
      <c r="S3199" t="s">
        <v>6077</v>
      </c>
    </row>
    <row r="3200" spans="1:19" ht="14.25" customHeight="1" x14ac:dyDescent="0.3">
      <c r="A3200" t="s">
        <v>3527</v>
      </c>
      <c r="B3200" t="s">
        <v>3978</v>
      </c>
      <c r="C3200" t="s">
        <v>95</v>
      </c>
      <c r="D3200" t="s">
        <v>4</v>
      </c>
      <c r="E3200" t="s">
        <v>3706</v>
      </c>
      <c r="F3200" t="s">
        <v>6058</v>
      </c>
      <c r="G3200" s="2" t="str">
        <f>HYPERLINK("https://vk.com/wall479352315_122")</f>
        <v>https://vk.com/wall479352315_122</v>
      </c>
      <c r="H3200" t="s">
        <v>6062</v>
      </c>
      <c r="I3200" t="s">
        <v>3979</v>
      </c>
      <c r="J3200" s="2" t="str">
        <f>HYPERLINK("http://vk.com/id479352315")</f>
        <v>http://vk.com/id479352315</v>
      </c>
      <c r="K3200">
        <v>0</v>
      </c>
      <c r="L3200" t="s">
        <v>6064</v>
      </c>
      <c r="M3200">
        <v>14</v>
      </c>
      <c r="N3200" t="s">
        <v>25</v>
      </c>
      <c r="O3200" t="s">
        <v>3979</v>
      </c>
      <c r="P3200" s="2" t="str">
        <f>HYPERLINK("http://vk.com/id479352315")</f>
        <v>http://vk.com/id479352315</v>
      </c>
      <c r="Q3200">
        <v>0</v>
      </c>
      <c r="R3200" t="s">
        <v>6067</v>
      </c>
    </row>
    <row r="3201" spans="1:19" ht="14.25" customHeight="1" x14ac:dyDescent="0.3">
      <c r="A3201" t="s">
        <v>3527</v>
      </c>
      <c r="B3201" t="s">
        <v>869</v>
      </c>
      <c r="C3201" t="s">
        <v>95</v>
      </c>
      <c r="D3201" t="s">
        <v>4</v>
      </c>
      <c r="E3201" t="s">
        <v>3625</v>
      </c>
      <c r="F3201" t="s">
        <v>6058</v>
      </c>
      <c r="G3201" s="2" t="str">
        <f>HYPERLINK("https://vk.com/wall227126822_649")</f>
        <v>https://vk.com/wall227126822_649</v>
      </c>
      <c r="H3201" t="s">
        <v>6062</v>
      </c>
      <c r="I3201" t="s">
        <v>3854</v>
      </c>
      <c r="J3201" s="2" t="str">
        <f>HYPERLINK("http://vk.com/id227126822")</f>
        <v>http://vk.com/id227126822</v>
      </c>
      <c r="K3201">
        <v>256</v>
      </c>
      <c r="L3201" t="s">
        <v>6064</v>
      </c>
      <c r="N3201" t="s">
        <v>25</v>
      </c>
      <c r="O3201" t="s">
        <v>3854</v>
      </c>
      <c r="P3201" s="2" t="str">
        <f>HYPERLINK("http://vk.com/id227126822")</f>
        <v>http://vk.com/id227126822</v>
      </c>
      <c r="Q3201">
        <v>256</v>
      </c>
      <c r="R3201" t="s">
        <v>6067</v>
      </c>
    </row>
    <row r="3202" spans="1:19" ht="14.25" customHeight="1" x14ac:dyDescent="0.3">
      <c r="A3202" t="s">
        <v>3527</v>
      </c>
      <c r="B3202" t="s">
        <v>1170</v>
      </c>
      <c r="C3202" t="s">
        <v>95</v>
      </c>
      <c r="D3202" t="s">
        <v>4</v>
      </c>
      <c r="E3202" t="s">
        <v>4117</v>
      </c>
      <c r="F3202" t="s">
        <v>6056</v>
      </c>
      <c r="G3202" s="2" t="str">
        <f>HYPERLINK("https://vk.com/wall-117664157_8643")</f>
        <v>https://vk.com/wall-117664157_8643</v>
      </c>
      <c r="H3202" t="s">
        <v>6062</v>
      </c>
      <c r="I3202" t="s">
        <v>4118</v>
      </c>
      <c r="J3202" s="2" t="str">
        <f>HYPERLINK("http://vk.com/club117664157")</f>
        <v>http://vk.com/club117664157</v>
      </c>
      <c r="K3202">
        <v>1996</v>
      </c>
      <c r="L3202" t="s">
        <v>6065</v>
      </c>
      <c r="N3202" t="s">
        <v>25</v>
      </c>
      <c r="O3202" t="s">
        <v>4118</v>
      </c>
      <c r="P3202" s="2" t="str">
        <f>HYPERLINK("http://vk.com/club117664157")</f>
        <v>http://vk.com/club117664157</v>
      </c>
      <c r="Q3202">
        <v>1996</v>
      </c>
      <c r="R3202" t="s">
        <v>6067</v>
      </c>
    </row>
    <row r="3203" spans="1:19" ht="14.25" customHeight="1" x14ac:dyDescent="0.3">
      <c r="A3203" t="s">
        <v>3527</v>
      </c>
      <c r="B3203" t="s">
        <v>1998</v>
      </c>
      <c r="C3203" t="s">
        <v>3538</v>
      </c>
      <c r="D3203" t="s">
        <v>4</v>
      </c>
      <c r="E3203" t="s">
        <v>4045</v>
      </c>
      <c r="F3203" t="s">
        <v>6058</v>
      </c>
      <c r="G3203" s="2" t="str">
        <f>HYPERLINK("https://vk.com/wall394908346_48")</f>
        <v>https://vk.com/wall394908346_48</v>
      </c>
      <c r="H3203" t="s">
        <v>6062</v>
      </c>
      <c r="I3203" t="s">
        <v>4343</v>
      </c>
      <c r="J3203" s="2" t="str">
        <f>HYPERLINK("http://vk.com/id394908346")</f>
        <v>http://vk.com/id394908346</v>
      </c>
      <c r="K3203">
        <v>3</v>
      </c>
      <c r="L3203" t="s">
        <v>6063</v>
      </c>
      <c r="N3203" t="s">
        <v>25</v>
      </c>
      <c r="O3203" t="s">
        <v>4343</v>
      </c>
      <c r="P3203" s="2" t="str">
        <f>HYPERLINK("http://vk.com/id394908346")</f>
        <v>http://vk.com/id394908346</v>
      </c>
      <c r="Q3203">
        <v>3</v>
      </c>
      <c r="R3203" t="s">
        <v>6067</v>
      </c>
    </row>
    <row r="3204" spans="1:19" ht="14.25" customHeight="1" x14ac:dyDescent="0.3">
      <c r="A3204" t="s">
        <v>3527</v>
      </c>
      <c r="B3204" t="s">
        <v>4399</v>
      </c>
      <c r="C3204" t="s">
        <v>3538</v>
      </c>
      <c r="D3204" t="s">
        <v>4</v>
      </c>
      <c r="E3204" t="s">
        <v>4045</v>
      </c>
      <c r="F3204" t="s">
        <v>6058</v>
      </c>
      <c r="G3204" s="2" t="str">
        <f>HYPERLINK("https://vk.com/wall220551906_5110")</f>
        <v>https://vk.com/wall220551906_5110</v>
      </c>
      <c r="H3204" t="s">
        <v>6062</v>
      </c>
      <c r="I3204" t="s">
        <v>4400</v>
      </c>
      <c r="J3204" s="2" t="str">
        <f>HYPERLINK("http://vk.com/id220551906")</f>
        <v>http://vk.com/id220551906</v>
      </c>
      <c r="K3204">
        <v>2963</v>
      </c>
      <c r="L3204" t="s">
        <v>6063</v>
      </c>
      <c r="N3204" t="s">
        <v>25</v>
      </c>
      <c r="O3204" t="s">
        <v>4400</v>
      </c>
      <c r="P3204" s="2" t="str">
        <f>HYPERLINK("http://vk.com/id220551906")</f>
        <v>http://vk.com/id220551906</v>
      </c>
      <c r="Q3204">
        <v>2963</v>
      </c>
      <c r="R3204" t="s">
        <v>6067</v>
      </c>
      <c r="S3204" t="s">
        <v>6092</v>
      </c>
    </row>
    <row r="3205" spans="1:19" ht="14.25" customHeight="1" x14ac:dyDescent="0.3">
      <c r="A3205" t="s">
        <v>3527</v>
      </c>
      <c r="B3205" t="s">
        <v>4383</v>
      </c>
      <c r="C3205" t="s">
        <v>3538</v>
      </c>
      <c r="D3205" t="s">
        <v>4</v>
      </c>
      <c r="E3205" t="s">
        <v>4045</v>
      </c>
      <c r="F3205" t="s">
        <v>6058</v>
      </c>
      <c r="G3205" s="2" t="str">
        <f>HYPERLINK("https://vk.com/wall449178332_667")</f>
        <v>https://vk.com/wall449178332_667</v>
      </c>
      <c r="H3205" t="s">
        <v>6062</v>
      </c>
      <c r="I3205" t="s">
        <v>4384</v>
      </c>
      <c r="J3205" s="2" t="str">
        <f>HYPERLINK("http://vk.com/id449178332")</f>
        <v>http://vk.com/id449178332</v>
      </c>
      <c r="K3205">
        <v>241</v>
      </c>
      <c r="L3205" t="s">
        <v>6063</v>
      </c>
      <c r="N3205" t="s">
        <v>25</v>
      </c>
      <c r="O3205" t="s">
        <v>4384</v>
      </c>
      <c r="P3205" s="2" t="str">
        <f>HYPERLINK("http://vk.com/id449178332")</f>
        <v>http://vk.com/id449178332</v>
      </c>
      <c r="Q3205">
        <v>241</v>
      </c>
      <c r="R3205" t="s">
        <v>6067</v>
      </c>
      <c r="S3205" t="s">
        <v>6092</v>
      </c>
    </row>
    <row r="3206" spans="1:19" ht="14.25" customHeight="1" x14ac:dyDescent="0.3">
      <c r="A3206" t="s">
        <v>1</v>
      </c>
      <c r="B3206" t="s">
        <v>84</v>
      </c>
      <c r="C3206" t="s">
        <v>85</v>
      </c>
      <c r="D3206" t="s">
        <v>4</v>
      </c>
      <c r="E3206" t="s">
        <v>86</v>
      </c>
      <c r="F3206" t="s">
        <v>6056</v>
      </c>
      <c r="G3206" s="2" t="str">
        <f>HYPERLINK("https://vk.com/wall-134255693_324")</f>
        <v>https://vk.com/wall-134255693_324</v>
      </c>
      <c r="H3206" t="s">
        <v>6062</v>
      </c>
      <c r="I3206" t="s">
        <v>87</v>
      </c>
      <c r="J3206" s="2" t="str">
        <f>HYPERLINK("http://vk.com/club134255693")</f>
        <v>http://vk.com/club134255693</v>
      </c>
      <c r="K3206">
        <v>1308</v>
      </c>
      <c r="L3206" t="s">
        <v>6065</v>
      </c>
      <c r="N3206" t="s">
        <v>25</v>
      </c>
      <c r="O3206" t="s">
        <v>87</v>
      </c>
      <c r="P3206" s="2" t="str">
        <f>HYPERLINK("http://vk.com/club134255693")</f>
        <v>http://vk.com/club134255693</v>
      </c>
      <c r="Q3206">
        <v>1308</v>
      </c>
      <c r="R3206" t="s">
        <v>6067</v>
      </c>
    </row>
    <row r="3207" spans="1:19" ht="14.25" customHeight="1" x14ac:dyDescent="0.3">
      <c r="A3207" t="s">
        <v>629</v>
      </c>
      <c r="B3207" t="s">
        <v>890</v>
      </c>
      <c r="C3207" t="s">
        <v>95</v>
      </c>
      <c r="D3207" t="s">
        <v>4</v>
      </c>
      <c r="E3207" t="s">
        <v>893</v>
      </c>
      <c r="F3207" t="s">
        <v>6056</v>
      </c>
      <c r="G3207" s="2" t="str">
        <f>HYPERLINK("https://vk.com/wall213023686_2571")</f>
        <v>https://vk.com/wall213023686_2571</v>
      </c>
      <c r="H3207" t="s">
        <v>6062</v>
      </c>
      <c r="I3207" t="s">
        <v>894</v>
      </c>
      <c r="J3207" s="2" t="str">
        <f>HYPERLINK("http://vk.com/id213023686")</f>
        <v>http://vk.com/id213023686</v>
      </c>
      <c r="K3207">
        <v>251</v>
      </c>
      <c r="L3207" t="s">
        <v>6063</v>
      </c>
      <c r="M3207">
        <v>17</v>
      </c>
      <c r="N3207" t="s">
        <v>25</v>
      </c>
      <c r="O3207" t="s">
        <v>894</v>
      </c>
      <c r="P3207" s="2" t="str">
        <f>HYPERLINK("http://vk.com/id213023686")</f>
        <v>http://vk.com/id213023686</v>
      </c>
      <c r="Q3207">
        <v>251</v>
      </c>
      <c r="R3207" t="s">
        <v>6067</v>
      </c>
      <c r="S3207" t="s">
        <v>6073</v>
      </c>
    </row>
    <row r="3208" spans="1:19" ht="14.25" customHeight="1" x14ac:dyDescent="0.3">
      <c r="A3208" t="s">
        <v>3527</v>
      </c>
      <c r="B3208" t="s">
        <v>3627</v>
      </c>
      <c r="C3208" t="s">
        <v>95</v>
      </c>
      <c r="D3208" t="s">
        <v>4</v>
      </c>
      <c r="E3208" t="s">
        <v>3559</v>
      </c>
      <c r="F3208" t="s">
        <v>6058</v>
      </c>
      <c r="G3208" s="2" t="str">
        <f>HYPERLINK("https://vk.com/wall476121030_677")</f>
        <v>https://vk.com/wall476121030_677</v>
      </c>
      <c r="H3208" t="s">
        <v>6062</v>
      </c>
      <c r="I3208" t="s">
        <v>3628</v>
      </c>
      <c r="J3208" s="2" t="str">
        <f>HYPERLINK("http://vk.com/id476121030")</f>
        <v>http://vk.com/id476121030</v>
      </c>
      <c r="K3208">
        <v>1</v>
      </c>
      <c r="L3208" t="s">
        <v>6063</v>
      </c>
      <c r="M3208">
        <v>37</v>
      </c>
      <c r="N3208" t="s">
        <v>25</v>
      </c>
      <c r="O3208" t="s">
        <v>3628</v>
      </c>
      <c r="P3208" s="2" t="str">
        <f>HYPERLINK("http://vk.com/id476121030")</f>
        <v>http://vk.com/id476121030</v>
      </c>
      <c r="Q3208">
        <v>1</v>
      </c>
      <c r="R3208" t="s">
        <v>6067</v>
      </c>
    </row>
    <row r="3209" spans="1:19" ht="14.25" customHeight="1" x14ac:dyDescent="0.3">
      <c r="A3209" t="s">
        <v>5409</v>
      </c>
      <c r="B3209" t="s">
        <v>3229</v>
      </c>
      <c r="C3209" t="s">
        <v>3538</v>
      </c>
      <c r="D3209" t="s">
        <v>4</v>
      </c>
      <c r="E3209" t="s">
        <v>5713</v>
      </c>
      <c r="F3209" t="s">
        <v>6056</v>
      </c>
      <c r="G3209" s="2" t="str">
        <f>HYPERLINK("https://vk.com/wall193154018_2312")</f>
        <v>https://vk.com/wall193154018_2312</v>
      </c>
      <c r="H3209" t="s">
        <v>6062</v>
      </c>
      <c r="I3209" t="s">
        <v>5714</v>
      </c>
      <c r="J3209" s="2" t="str">
        <f>HYPERLINK("http://vk.com/id193154018")</f>
        <v>http://vk.com/id193154018</v>
      </c>
      <c r="K3209">
        <v>215</v>
      </c>
      <c r="L3209" t="s">
        <v>6063</v>
      </c>
      <c r="N3209" t="s">
        <v>25</v>
      </c>
      <c r="O3209" t="s">
        <v>5714</v>
      </c>
      <c r="P3209" s="2" t="str">
        <f>HYPERLINK("http://vk.com/id193154018")</f>
        <v>http://vk.com/id193154018</v>
      </c>
      <c r="Q3209">
        <v>215</v>
      </c>
      <c r="R3209" t="s">
        <v>6067</v>
      </c>
      <c r="S3209" t="s">
        <v>6073</v>
      </c>
    </row>
    <row r="3210" spans="1:19" ht="14.25" customHeight="1" x14ac:dyDescent="0.3">
      <c r="A3210" t="s">
        <v>3527</v>
      </c>
      <c r="B3210" t="s">
        <v>4401</v>
      </c>
      <c r="C3210" t="s">
        <v>3538</v>
      </c>
      <c r="D3210" t="s">
        <v>4</v>
      </c>
      <c r="E3210" t="s">
        <v>4045</v>
      </c>
      <c r="F3210" t="s">
        <v>6058</v>
      </c>
      <c r="G3210" s="2" t="str">
        <f>HYPERLINK("https://vk.com/wall175206115_817")</f>
        <v>https://vk.com/wall175206115_817</v>
      </c>
      <c r="H3210" t="s">
        <v>6062</v>
      </c>
      <c r="I3210" t="s">
        <v>4402</v>
      </c>
      <c r="J3210" s="2" t="str">
        <f>HYPERLINK("http://vk.com/id175206115")</f>
        <v>http://vk.com/id175206115</v>
      </c>
      <c r="K3210">
        <v>77</v>
      </c>
      <c r="L3210" t="s">
        <v>6063</v>
      </c>
      <c r="M3210">
        <v>29</v>
      </c>
      <c r="N3210" t="s">
        <v>25</v>
      </c>
      <c r="O3210" t="s">
        <v>4402</v>
      </c>
      <c r="P3210" s="2" t="str">
        <f>HYPERLINK("http://vk.com/id175206115")</f>
        <v>http://vk.com/id175206115</v>
      </c>
      <c r="Q3210">
        <v>77</v>
      </c>
      <c r="R3210" t="s">
        <v>6067</v>
      </c>
      <c r="S3210" t="s">
        <v>6073</v>
      </c>
    </row>
    <row r="3211" spans="1:19" ht="14.25" customHeight="1" x14ac:dyDescent="0.3">
      <c r="A3211" t="s">
        <v>3527</v>
      </c>
      <c r="B3211" t="s">
        <v>4350</v>
      </c>
      <c r="C3211" t="s">
        <v>3538</v>
      </c>
      <c r="D3211" t="s">
        <v>4</v>
      </c>
      <c r="E3211" t="s">
        <v>4045</v>
      </c>
      <c r="F3211" t="s">
        <v>6058</v>
      </c>
      <c r="G3211" s="2" t="str">
        <f>HYPERLINK("https://vk.com/wall393973735_107")</f>
        <v>https://vk.com/wall393973735_107</v>
      </c>
      <c r="H3211" t="s">
        <v>6062</v>
      </c>
      <c r="I3211" t="s">
        <v>3598</v>
      </c>
      <c r="J3211" s="2" t="str">
        <f>HYPERLINK("http://vk.com/id393973735")</f>
        <v>http://vk.com/id393973735</v>
      </c>
      <c r="K3211">
        <v>1</v>
      </c>
      <c r="L3211" t="s">
        <v>6063</v>
      </c>
      <c r="M3211">
        <v>58</v>
      </c>
      <c r="N3211" t="s">
        <v>25</v>
      </c>
      <c r="O3211" t="s">
        <v>3598</v>
      </c>
      <c r="P3211" s="2" t="str">
        <f>HYPERLINK("http://vk.com/id393973735")</f>
        <v>http://vk.com/id393973735</v>
      </c>
      <c r="Q3211">
        <v>1</v>
      </c>
      <c r="R3211" t="s">
        <v>6067</v>
      </c>
      <c r="S3211" t="s">
        <v>6072</v>
      </c>
    </row>
    <row r="3212" spans="1:19" ht="14.25" customHeight="1" x14ac:dyDescent="0.3">
      <c r="A3212" t="s">
        <v>3527</v>
      </c>
      <c r="B3212" t="s">
        <v>3597</v>
      </c>
      <c r="C3212" t="s">
        <v>95</v>
      </c>
      <c r="D3212" t="s">
        <v>4</v>
      </c>
      <c r="E3212" t="s">
        <v>3511</v>
      </c>
      <c r="F3212" t="s">
        <v>6058</v>
      </c>
      <c r="G3212" s="2" t="str">
        <f>HYPERLINK("https://vk.com/wall393973735_121")</f>
        <v>https://vk.com/wall393973735_121</v>
      </c>
      <c r="H3212" t="s">
        <v>6062</v>
      </c>
      <c r="I3212" t="s">
        <v>3598</v>
      </c>
      <c r="J3212" s="2" t="str">
        <f>HYPERLINK("http://vk.com/id393973735")</f>
        <v>http://vk.com/id393973735</v>
      </c>
      <c r="K3212">
        <v>1</v>
      </c>
      <c r="L3212" t="s">
        <v>6063</v>
      </c>
      <c r="M3212">
        <v>58</v>
      </c>
      <c r="N3212" t="s">
        <v>25</v>
      </c>
      <c r="O3212" t="s">
        <v>3598</v>
      </c>
      <c r="P3212" s="2" t="str">
        <f>HYPERLINK("http://vk.com/id393973735")</f>
        <v>http://vk.com/id393973735</v>
      </c>
      <c r="Q3212">
        <v>1</v>
      </c>
      <c r="R3212" t="s">
        <v>6067</v>
      </c>
      <c r="S3212" t="s">
        <v>6072</v>
      </c>
    </row>
    <row r="3213" spans="1:19" ht="14.25" customHeight="1" x14ac:dyDescent="0.3">
      <c r="A3213" t="s">
        <v>3527</v>
      </c>
      <c r="B3213" t="s">
        <v>675</v>
      </c>
      <c r="C3213" t="s">
        <v>95</v>
      </c>
      <c r="D3213" t="s">
        <v>4</v>
      </c>
      <c r="E3213" t="s">
        <v>3559</v>
      </c>
      <c r="F3213" t="s">
        <v>6058</v>
      </c>
      <c r="G3213" s="2" t="str">
        <f>HYPERLINK("https://vk.com/wall168248617_1609")</f>
        <v>https://vk.com/wall168248617_1609</v>
      </c>
      <c r="H3213" t="s">
        <v>6062</v>
      </c>
      <c r="I3213" t="s">
        <v>3576</v>
      </c>
      <c r="J3213" s="2" t="str">
        <f>HYPERLINK("http://vk.com/id168248617")</f>
        <v>http://vk.com/id168248617</v>
      </c>
      <c r="K3213">
        <v>359</v>
      </c>
      <c r="L3213" t="s">
        <v>6064</v>
      </c>
      <c r="N3213" t="s">
        <v>25</v>
      </c>
      <c r="O3213" t="s">
        <v>3576</v>
      </c>
      <c r="P3213" s="2" t="str">
        <f>HYPERLINK("http://vk.com/id168248617")</f>
        <v>http://vk.com/id168248617</v>
      </c>
      <c r="Q3213">
        <v>359</v>
      </c>
      <c r="R3213" t="s">
        <v>6067</v>
      </c>
      <c r="S3213" t="s">
        <v>6072</v>
      </c>
    </row>
    <row r="3214" spans="1:19" ht="14.25" customHeight="1" x14ac:dyDescent="0.3">
      <c r="A3214" t="s">
        <v>3527</v>
      </c>
      <c r="B3214" t="s">
        <v>3732</v>
      </c>
      <c r="C3214" t="s">
        <v>95</v>
      </c>
      <c r="D3214" t="s">
        <v>4</v>
      </c>
      <c r="E3214" t="s">
        <v>3706</v>
      </c>
      <c r="F3214" t="s">
        <v>6058</v>
      </c>
      <c r="G3214" s="2" t="str">
        <f>HYPERLINK("https://vk.com/wall474594243_84")</f>
        <v>https://vk.com/wall474594243_84</v>
      </c>
      <c r="H3214" t="s">
        <v>6062</v>
      </c>
      <c r="I3214" t="s">
        <v>3733</v>
      </c>
      <c r="J3214" s="2" t="str">
        <f>HYPERLINK("http://vk.com/id474594243")</f>
        <v>http://vk.com/id474594243</v>
      </c>
      <c r="K3214">
        <v>0</v>
      </c>
      <c r="L3214" t="s">
        <v>6064</v>
      </c>
      <c r="M3214">
        <v>34</v>
      </c>
      <c r="N3214" t="s">
        <v>25</v>
      </c>
      <c r="O3214" t="s">
        <v>3733</v>
      </c>
      <c r="P3214" s="2" t="str">
        <f>HYPERLINK("http://vk.com/id474594243")</f>
        <v>http://vk.com/id474594243</v>
      </c>
      <c r="Q3214">
        <v>0</v>
      </c>
      <c r="R3214" t="s">
        <v>6067</v>
      </c>
      <c r="S3214" t="s">
        <v>6073</v>
      </c>
    </row>
    <row r="3215" spans="1:19" ht="14.25" customHeight="1" x14ac:dyDescent="0.3">
      <c r="A3215" t="s">
        <v>3527</v>
      </c>
      <c r="B3215" t="s">
        <v>2967</v>
      </c>
      <c r="C3215" t="s">
        <v>3538</v>
      </c>
      <c r="D3215" t="s">
        <v>4</v>
      </c>
      <c r="E3215" t="s">
        <v>3792</v>
      </c>
      <c r="F3215" t="s">
        <v>6058</v>
      </c>
      <c r="G3215" s="2" t="str">
        <f>HYPERLINK("https://vk.com/wall401311328_282")</f>
        <v>https://vk.com/wall401311328_282</v>
      </c>
      <c r="H3215" t="s">
        <v>6062</v>
      </c>
      <c r="I3215" t="s">
        <v>3823</v>
      </c>
      <c r="J3215" s="2" t="str">
        <f>HYPERLINK("http://vk.com/id401311328")</f>
        <v>http://vk.com/id401311328</v>
      </c>
      <c r="K3215">
        <v>27</v>
      </c>
      <c r="L3215" t="s">
        <v>6063</v>
      </c>
      <c r="N3215" t="s">
        <v>25</v>
      </c>
      <c r="O3215" t="s">
        <v>3823</v>
      </c>
      <c r="P3215" s="2" t="str">
        <f>HYPERLINK("http://vk.com/id401311328")</f>
        <v>http://vk.com/id401311328</v>
      </c>
      <c r="Q3215">
        <v>27</v>
      </c>
      <c r="R3215" t="s">
        <v>6067</v>
      </c>
      <c r="S3215" t="s">
        <v>6073</v>
      </c>
    </row>
    <row r="3216" spans="1:19" ht="14.25" customHeight="1" x14ac:dyDescent="0.3">
      <c r="A3216" t="s">
        <v>3527</v>
      </c>
      <c r="B3216" t="s">
        <v>4352</v>
      </c>
      <c r="C3216" t="s">
        <v>3538</v>
      </c>
      <c r="D3216" t="s">
        <v>4</v>
      </c>
      <c r="E3216" t="s">
        <v>4045</v>
      </c>
      <c r="F3216" t="s">
        <v>6058</v>
      </c>
      <c r="G3216" s="2" t="str">
        <f>HYPERLINK("https://vk.com/wall459956132_218")</f>
        <v>https://vk.com/wall459956132_218</v>
      </c>
      <c r="H3216" t="s">
        <v>6062</v>
      </c>
      <c r="I3216" t="s">
        <v>4353</v>
      </c>
      <c r="J3216" s="2" t="str">
        <f>HYPERLINK("http://vk.com/id459956132")</f>
        <v>http://vk.com/id459956132</v>
      </c>
      <c r="K3216">
        <v>60</v>
      </c>
      <c r="L3216" t="s">
        <v>6063</v>
      </c>
      <c r="M3216">
        <v>26</v>
      </c>
      <c r="N3216" t="s">
        <v>25</v>
      </c>
      <c r="O3216" t="s">
        <v>4353</v>
      </c>
      <c r="P3216" s="2" t="str">
        <f>HYPERLINK("http://vk.com/id459956132")</f>
        <v>http://vk.com/id459956132</v>
      </c>
      <c r="Q3216">
        <v>60</v>
      </c>
      <c r="R3216" t="s">
        <v>6067</v>
      </c>
    </row>
    <row r="3217" spans="1:19" ht="14.25" customHeight="1" x14ac:dyDescent="0.3">
      <c r="A3217" t="s">
        <v>3527</v>
      </c>
      <c r="B3217" t="s">
        <v>3893</v>
      </c>
      <c r="C3217" t="s">
        <v>95</v>
      </c>
      <c r="D3217" t="s">
        <v>4</v>
      </c>
      <c r="E3217" t="s">
        <v>3820</v>
      </c>
      <c r="F3217" t="s">
        <v>6058</v>
      </c>
      <c r="G3217" s="2" t="str">
        <f>HYPERLINK("https://vk.com/wall204672601_2026")</f>
        <v>https://vk.com/wall204672601_2026</v>
      </c>
      <c r="H3217" t="s">
        <v>6062</v>
      </c>
      <c r="I3217" t="s">
        <v>3895</v>
      </c>
      <c r="J3217" s="2" t="str">
        <f>HYPERLINK("http://vk.com/id204672601")</f>
        <v>http://vk.com/id204672601</v>
      </c>
      <c r="K3217">
        <v>894</v>
      </c>
      <c r="L3217" t="s">
        <v>6063</v>
      </c>
      <c r="M3217">
        <v>31</v>
      </c>
      <c r="N3217" t="s">
        <v>25</v>
      </c>
      <c r="O3217" t="s">
        <v>3895</v>
      </c>
      <c r="P3217" s="2" t="str">
        <f>HYPERLINK("http://vk.com/id204672601")</f>
        <v>http://vk.com/id204672601</v>
      </c>
      <c r="Q3217">
        <v>894</v>
      </c>
      <c r="R3217" t="s">
        <v>6067</v>
      </c>
      <c r="S3217" t="s">
        <v>6072</v>
      </c>
    </row>
    <row r="3218" spans="1:19" ht="14.25" customHeight="1" x14ac:dyDescent="0.3">
      <c r="A3218" t="s">
        <v>3527</v>
      </c>
      <c r="B3218" t="s">
        <v>3835</v>
      </c>
      <c r="C3218" t="s">
        <v>3538</v>
      </c>
      <c r="D3218" t="s">
        <v>4</v>
      </c>
      <c r="E3218" t="s">
        <v>3706</v>
      </c>
      <c r="F3218" t="s">
        <v>6058</v>
      </c>
      <c r="G3218" s="2" t="str">
        <f>HYPERLINK("https://vk.com/wall480182689_194")</f>
        <v>https://vk.com/wall480182689_194</v>
      </c>
      <c r="H3218" t="s">
        <v>6062</v>
      </c>
      <c r="I3218" t="s">
        <v>3838</v>
      </c>
      <c r="J3218" s="2" t="str">
        <f>HYPERLINK("http://vk.com/id480182689")</f>
        <v>http://vk.com/id480182689</v>
      </c>
      <c r="K3218">
        <v>6</v>
      </c>
      <c r="L3218" t="s">
        <v>6064</v>
      </c>
      <c r="M3218">
        <v>31</v>
      </c>
      <c r="N3218" t="s">
        <v>25</v>
      </c>
      <c r="O3218" t="s">
        <v>3838</v>
      </c>
      <c r="P3218" s="2" t="str">
        <f>HYPERLINK("http://vk.com/id480182689")</f>
        <v>http://vk.com/id480182689</v>
      </c>
      <c r="Q3218">
        <v>6</v>
      </c>
      <c r="R3218" t="s">
        <v>6067</v>
      </c>
      <c r="S3218" t="s">
        <v>6072</v>
      </c>
    </row>
    <row r="3219" spans="1:19" ht="14.25" customHeight="1" x14ac:dyDescent="0.3">
      <c r="A3219" t="s">
        <v>3527</v>
      </c>
      <c r="B3219" t="s">
        <v>3824</v>
      </c>
      <c r="C3219" t="s">
        <v>95</v>
      </c>
      <c r="D3219" t="s">
        <v>4</v>
      </c>
      <c r="E3219" t="s">
        <v>3625</v>
      </c>
      <c r="F3219" t="s">
        <v>6058</v>
      </c>
      <c r="G3219" s="2" t="str">
        <f>HYPERLINK("https://vk.com/wall247433592_300")</f>
        <v>https://vk.com/wall247433592_300</v>
      </c>
      <c r="H3219" t="s">
        <v>6062</v>
      </c>
      <c r="I3219" t="s">
        <v>3825</v>
      </c>
      <c r="J3219" s="2" t="str">
        <f>HYPERLINK("http://vk.com/id247433592")</f>
        <v>http://vk.com/id247433592</v>
      </c>
      <c r="K3219">
        <v>23</v>
      </c>
      <c r="L3219" t="s">
        <v>6063</v>
      </c>
      <c r="M3219">
        <v>47</v>
      </c>
      <c r="N3219" t="s">
        <v>25</v>
      </c>
      <c r="O3219" t="s">
        <v>3825</v>
      </c>
      <c r="P3219" s="2" t="str">
        <f>HYPERLINK("http://vk.com/id247433592")</f>
        <v>http://vk.com/id247433592</v>
      </c>
      <c r="Q3219">
        <v>23</v>
      </c>
      <c r="R3219" t="s">
        <v>6067</v>
      </c>
      <c r="S3219" t="s">
        <v>6073</v>
      </c>
    </row>
    <row r="3220" spans="1:19" ht="14.25" customHeight="1" x14ac:dyDescent="0.3">
      <c r="A3220" t="s">
        <v>3527</v>
      </c>
      <c r="B3220" t="s">
        <v>959</v>
      </c>
      <c r="C3220" t="s">
        <v>3538</v>
      </c>
      <c r="D3220" t="s">
        <v>4</v>
      </c>
      <c r="E3220" t="s">
        <v>3820</v>
      </c>
      <c r="F3220" t="s">
        <v>6058</v>
      </c>
      <c r="G3220" s="2" t="str">
        <f>HYPERLINK("https://vk.com/wall372006303_58")</f>
        <v>https://vk.com/wall372006303_58</v>
      </c>
      <c r="H3220" t="s">
        <v>6062</v>
      </c>
      <c r="I3220" t="s">
        <v>3986</v>
      </c>
      <c r="J3220" s="2" t="str">
        <f>HYPERLINK("http://vk.com/id372006303")</f>
        <v>http://vk.com/id372006303</v>
      </c>
      <c r="K3220">
        <v>178</v>
      </c>
      <c r="L3220" t="s">
        <v>6064</v>
      </c>
      <c r="N3220" t="s">
        <v>25</v>
      </c>
      <c r="O3220" t="s">
        <v>3986</v>
      </c>
      <c r="P3220" s="2" t="str">
        <f>HYPERLINK("http://vk.com/id372006303")</f>
        <v>http://vk.com/id372006303</v>
      </c>
      <c r="Q3220">
        <v>178</v>
      </c>
      <c r="R3220" t="s">
        <v>6067</v>
      </c>
      <c r="S3220" t="s">
        <v>6072</v>
      </c>
    </row>
    <row r="3221" spans="1:19" ht="14.25" customHeight="1" x14ac:dyDescent="0.3">
      <c r="A3221" t="s">
        <v>3527</v>
      </c>
      <c r="B3221" t="s">
        <v>3830</v>
      </c>
      <c r="C3221" t="s">
        <v>95</v>
      </c>
      <c r="D3221" t="s">
        <v>4</v>
      </c>
      <c r="E3221" t="s">
        <v>3792</v>
      </c>
      <c r="F3221" t="s">
        <v>6058</v>
      </c>
      <c r="G3221" s="2" t="str">
        <f>HYPERLINK("https://vk.com/wall156299708_1463")</f>
        <v>https://vk.com/wall156299708_1463</v>
      </c>
      <c r="H3221" t="s">
        <v>6062</v>
      </c>
      <c r="I3221" t="s">
        <v>3831</v>
      </c>
      <c r="J3221" s="2" t="str">
        <f>HYPERLINK("http://vk.com/id156299708")</f>
        <v>http://vk.com/id156299708</v>
      </c>
      <c r="K3221">
        <v>124</v>
      </c>
      <c r="L3221" t="s">
        <v>6064</v>
      </c>
      <c r="M3221">
        <v>30</v>
      </c>
      <c r="N3221" t="s">
        <v>25</v>
      </c>
      <c r="O3221" t="s">
        <v>3831</v>
      </c>
      <c r="P3221" s="2" t="str">
        <f>HYPERLINK("http://vk.com/id156299708")</f>
        <v>http://vk.com/id156299708</v>
      </c>
      <c r="Q3221">
        <v>124</v>
      </c>
      <c r="R3221" t="s">
        <v>6067</v>
      </c>
      <c r="S3221" t="s">
        <v>6072</v>
      </c>
    </row>
    <row r="3222" spans="1:19" ht="14.25" customHeight="1" x14ac:dyDescent="0.3">
      <c r="A3222" t="s">
        <v>3527</v>
      </c>
      <c r="B3222" t="s">
        <v>742</v>
      </c>
      <c r="C3222" t="s">
        <v>95</v>
      </c>
      <c r="D3222" t="s">
        <v>4</v>
      </c>
      <c r="E3222" t="s">
        <v>3511</v>
      </c>
      <c r="F3222" t="s">
        <v>6058</v>
      </c>
      <c r="G3222" s="2" t="str">
        <f>HYPERLINK("https://vk.com/wall480768578_68")</f>
        <v>https://vk.com/wall480768578_68</v>
      </c>
      <c r="H3222" t="s">
        <v>6062</v>
      </c>
      <c r="I3222" t="s">
        <v>3701</v>
      </c>
      <c r="J3222" s="2" t="str">
        <f>HYPERLINK("http://vk.com/id480768578")</f>
        <v>http://vk.com/id480768578</v>
      </c>
      <c r="K3222">
        <v>3</v>
      </c>
      <c r="L3222" t="s">
        <v>6063</v>
      </c>
      <c r="M3222">
        <v>106</v>
      </c>
      <c r="N3222" t="s">
        <v>25</v>
      </c>
      <c r="O3222" t="s">
        <v>3701</v>
      </c>
      <c r="P3222" s="2" t="str">
        <f>HYPERLINK("http://vk.com/id480768578")</f>
        <v>http://vk.com/id480768578</v>
      </c>
      <c r="Q3222">
        <v>3</v>
      </c>
      <c r="R3222" t="s">
        <v>6067</v>
      </c>
    </row>
    <row r="3223" spans="1:19" ht="14.25" customHeight="1" x14ac:dyDescent="0.3">
      <c r="A3223" t="s">
        <v>3527</v>
      </c>
      <c r="B3223" t="s">
        <v>4127</v>
      </c>
      <c r="C3223" t="s">
        <v>3538</v>
      </c>
      <c r="D3223" t="s">
        <v>4</v>
      </c>
      <c r="E3223" t="s">
        <v>4045</v>
      </c>
      <c r="F3223" t="s">
        <v>6058</v>
      </c>
      <c r="G3223" s="2" t="str">
        <f>HYPERLINK("https://vk.com/wall377326887_266")</f>
        <v>https://vk.com/wall377326887_266</v>
      </c>
      <c r="H3223" t="s">
        <v>6062</v>
      </c>
      <c r="I3223" t="s">
        <v>3681</v>
      </c>
      <c r="J3223" s="2" t="str">
        <f>HYPERLINK("http://vk.com/id377326887")</f>
        <v>http://vk.com/id377326887</v>
      </c>
      <c r="K3223">
        <v>0</v>
      </c>
      <c r="L3223" t="s">
        <v>6064</v>
      </c>
      <c r="M3223">
        <v>14</v>
      </c>
      <c r="N3223" t="s">
        <v>25</v>
      </c>
      <c r="O3223" t="s">
        <v>3681</v>
      </c>
      <c r="P3223" s="2" t="str">
        <f>HYPERLINK("http://vk.com/id377326887")</f>
        <v>http://vk.com/id377326887</v>
      </c>
      <c r="Q3223">
        <v>0</v>
      </c>
      <c r="R3223" t="s">
        <v>6067</v>
      </c>
      <c r="S3223" t="s">
        <v>6073</v>
      </c>
    </row>
    <row r="3224" spans="1:19" ht="14.25" customHeight="1" x14ac:dyDescent="0.3">
      <c r="A3224" t="s">
        <v>3527</v>
      </c>
      <c r="B3224" t="s">
        <v>2614</v>
      </c>
      <c r="C3224" t="s">
        <v>3538</v>
      </c>
      <c r="D3224" t="s">
        <v>4</v>
      </c>
      <c r="E3224" t="s">
        <v>3625</v>
      </c>
      <c r="F3224" t="s">
        <v>6058</v>
      </c>
      <c r="G3224" s="2" t="str">
        <f>HYPERLINK("https://vk.com/wall377326887_273")</f>
        <v>https://vk.com/wall377326887_273</v>
      </c>
      <c r="H3224" t="s">
        <v>6062</v>
      </c>
      <c r="I3224" t="s">
        <v>3681</v>
      </c>
      <c r="J3224" s="2" t="str">
        <f>HYPERLINK("http://vk.com/id377326887")</f>
        <v>http://vk.com/id377326887</v>
      </c>
      <c r="K3224">
        <v>0</v>
      </c>
      <c r="L3224" t="s">
        <v>6064</v>
      </c>
      <c r="M3224">
        <v>14</v>
      </c>
      <c r="N3224" t="s">
        <v>25</v>
      </c>
      <c r="O3224" t="s">
        <v>3681</v>
      </c>
      <c r="P3224" s="2" t="str">
        <f>HYPERLINK("http://vk.com/id377326887")</f>
        <v>http://vk.com/id377326887</v>
      </c>
      <c r="Q3224">
        <v>0</v>
      </c>
      <c r="R3224" t="s">
        <v>6067</v>
      </c>
    </row>
    <row r="3225" spans="1:19" ht="14.25" customHeight="1" x14ac:dyDescent="0.3">
      <c r="A3225" t="s">
        <v>3527</v>
      </c>
      <c r="B3225" t="s">
        <v>2646</v>
      </c>
      <c r="C3225" t="s">
        <v>3538</v>
      </c>
      <c r="D3225" t="s">
        <v>4</v>
      </c>
      <c r="E3225" t="s">
        <v>3625</v>
      </c>
      <c r="F3225" t="s">
        <v>6058</v>
      </c>
      <c r="G3225" s="2" t="str">
        <f>HYPERLINK("https://vk.com/wall183425214_232")</f>
        <v>https://vk.com/wall183425214_232</v>
      </c>
      <c r="H3225" t="s">
        <v>6062</v>
      </c>
      <c r="I3225" t="s">
        <v>3686</v>
      </c>
      <c r="J3225" s="2" t="str">
        <f>HYPERLINK("http://vk.com/id183425214")</f>
        <v>http://vk.com/id183425214</v>
      </c>
      <c r="K3225">
        <v>23</v>
      </c>
      <c r="L3225" t="s">
        <v>6063</v>
      </c>
      <c r="M3225">
        <v>39</v>
      </c>
      <c r="N3225" t="s">
        <v>25</v>
      </c>
      <c r="O3225" t="s">
        <v>3686</v>
      </c>
      <c r="P3225" s="2" t="str">
        <f>HYPERLINK("http://vk.com/id183425214")</f>
        <v>http://vk.com/id183425214</v>
      </c>
      <c r="Q3225">
        <v>23</v>
      </c>
      <c r="R3225" t="s">
        <v>6067</v>
      </c>
      <c r="S3225" t="s">
        <v>6073</v>
      </c>
    </row>
    <row r="3226" spans="1:19" ht="14.25" customHeight="1" x14ac:dyDescent="0.3">
      <c r="A3226" t="s">
        <v>3527</v>
      </c>
      <c r="B3226" t="s">
        <v>918</v>
      </c>
      <c r="C3226" t="s">
        <v>3538</v>
      </c>
      <c r="D3226" t="s">
        <v>4</v>
      </c>
      <c r="E3226" t="s">
        <v>3625</v>
      </c>
      <c r="F3226" t="s">
        <v>6058</v>
      </c>
      <c r="G3226" s="2" t="str">
        <f>HYPERLINK("https://vk.com/wall187121303_2652")</f>
        <v>https://vk.com/wall187121303_2652</v>
      </c>
      <c r="H3226" t="s">
        <v>6062</v>
      </c>
      <c r="I3226" t="s">
        <v>3938</v>
      </c>
      <c r="J3226" s="2" t="str">
        <f>HYPERLINK("http://vk.com/id187121303")</f>
        <v>http://vk.com/id187121303</v>
      </c>
      <c r="K3226">
        <v>268</v>
      </c>
      <c r="L3226" t="s">
        <v>6064</v>
      </c>
      <c r="N3226" t="s">
        <v>25</v>
      </c>
      <c r="O3226" t="s">
        <v>3938</v>
      </c>
      <c r="P3226" s="2" t="str">
        <f>HYPERLINK("http://vk.com/id187121303")</f>
        <v>http://vk.com/id187121303</v>
      </c>
      <c r="Q3226">
        <v>268</v>
      </c>
      <c r="R3226" t="s">
        <v>6067</v>
      </c>
      <c r="S3226" t="s">
        <v>6073</v>
      </c>
    </row>
    <row r="3227" spans="1:19" ht="14.25" customHeight="1" x14ac:dyDescent="0.3">
      <c r="A3227" t="s">
        <v>3527</v>
      </c>
      <c r="B3227" t="s">
        <v>2962</v>
      </c>
      <c r="C3227" t="s">
        <v>95</v>
      </c>
      <c r="D3227" t="s">
        <v>4</v>
      </c>
      <c r="E3227" t="s">
        <v>3820</v>
      </c>
      <c r="F3227" t="s">
        <v>6058</v>
      </c>
      <c r="G3227" s="2" t="str">
        <f>HYPERLINK("https://vk.com/wall467674670_818")</f>
        <v>https://vk.com/wall467674670_818</v>
      </c>
      <c r="H3227" t="s">
        <v>6062</v>
      </c>
      <c r="I3227" t="s">
        <v>3821</v>
      </c>
      <c r="J3227" s="2" t="str">
        <f>HYPERLINK("http://vk.com/id467674670")</f>
        <v>http://vk.com/id467674670</v>
      </c>
      <c r="K3227">
        <v>129</v>
      </c>
      <c r="L3227" t="s">
        <v>6064</v>
      </c>
      <c r="N3227" t="s">
        <v>25</v>
      </c>
      <c r="O3227" t="s">
        <v>3821</v>
      </c>
      <c r="P3227" s="2" t="str">
        <f>HYPERLINK("http://vk.com/id467674670")</f>
        <v>http://vk.com/id467674670</v>
      </c>
      <c r="Q3227">
        <v>129</v>
      </c>
      <c r="R3227" t="s">
        <v>6067</v>
      </c>
    </row>
    <row r="3228" spans="1:19" ht="14.25" customHeight="1" x14ac:dyDescent="0.3">
      <c r="A3228" t="s">
        <v>3527</v>
      </c>
      <c r="B3228" t="s">
        <v>915</v>
      </c>
      <c r="C3228" t="s">
        <v>3538</v>
      </c>
      <c r="D3228" t="s">
        <v>3932</v>
      </c>
      <c r="E3228" t="s">
        <v>3933</v>
      </c>
      <c r="F3228" t="s">
        <v>6059</v>
      </c>
      <c r="G3228" s="2" t="str">
        <f>HYPERLINK("https://vk.com/wall-90297883_1256185")</f>
        <v>https://vk.com/wall-90297883_1256185</v>
      </c>
      <c r="H3228" t="s">
        <v>6062</v>
      </c>
      <c r="I3228" t="s">
        <v>3934</v>
      </c>
      <c r="J3228" s="2" t="str">
        <f>HYPERLINK("http://vk.com/id274274927")</f>
        <v>http://vk.com/id274274927</v>
      </c>
      <c r="K3228">
        <v>171</v>
      </c>
      <c r="L3228" t="s">
        <v>6063</v>
      </c>
      <c r="N3228" t="s">
        <v>25</v>
      </c>
      <c r="O3228" t="s">
        <v>3935</v>
      </c>
      <c r="P3228" s="2" t="str">
        <f>HYPERLINK("http://vk.com/club90297883")</f>
        <v>http://vk.com/club90297883</v>
      </c>
      <c r="Q3228">
        <v>58670</v>
      </c>
      <c r="R3228" t="s">
        <v>6067</v>
      </c>
      <c r="S3228" t="s">
        <v>6072</v>
      </c>
    </row>
    <row r="3229" spans="1:19" ht="14.25" customHeight="1" x14ac:dyDescent="0.3">
      <c r="A3229" t="s">
        <v>3527</v>
      </c>
      <c r="B3229" t="s">
        <v>3810</v>
      </c>
      <c r="C3229" t="s">
        <v>95</v>
      </c>
      <c r="D3229" t="s">
        <v>4</v>
      </c>
      <c r="E3229" t="s">
        <v>3792</v>
      </c>
      <c r="F3229" t="s">
        <v>6058</v>
      </c>
      <c r="G3229" s="2" t="str">
        <f>HYPERLINK("https://vk.com/wall481322629_41")</f>
        <v>https://vk.com/wall481322629_41</v>
      </c>
      <c r="H3229" t="s">
        <v>6062</v>
      </c>
      <c r="I3229" t="s">
        <v>3813</v>
      </c>
      <c r="J3229" s="2" t="str">
        <f>HYPERLINK("http://vk.com/id481322629")</f>
        <v>http://vk.com/id481322629</v>
      </c>
      <c r="K3229">
        <v>2</v>
      </c>
      <c r="L3229" t="s">
        <v>6064</v>
      </c>
      <c r="M3229">
        <v>33</v>
      </c>
      <c r="N3229" t="s">
        <v>25</v>
      </c>
      <c r="O3229" t="s">
        <v>3813</v>
      </c>
      <c r="P3229" s="2" t="str">
        <f>HYPERLINK("http://vk.com/id481322629")</f>
        <v>http://vk.com/id481322629</v>
      </c>
      <c r="Q3229">
        <v>2</v>
      </c>
      <c r="R3229" t="s">
        <v>6067</v>
      </c>
    </row>
    <row r="3230" spans="1:19" ht="14.25" customHeight="1" x14ac:dyDescent="0.3">
      <c r="A3230" t="s">
        <v>4995</v>
      </c>
      <c r="B3230" t="s">
        <v>3113</v>
      </c>
      <c r="C3230" t="s">
        <v>3538</v>
      </c>
      <c r="D3230" t="s">
        <v>4365</v>
      </c>
      <c r="E3230" t="s">
        <v>5157</v>
      </c>
      <c r="F3230" t="s">
        <v>6059</v>
      </c>
      <c r="G3230" s="2" t="str">
        <f>HYPERLINK("https://vk.com/wall-129010024_286")</f>
        <v>https://vk.com/wall-129010024_286</v>
      </c>
      <c r="H3230" t="s">
        <v>6062</v>
      </c>
      <c r="I3230" t="s">
        <v>5158</v>
      </c>
      <c r="J3230" s="2" t="str">
        <f t="shared" ref="J3230:J3244" si="84">HYPERLINK("http://vk.com/id196751523")</f>
        <v>http://vk.com/id196751523</v>
      </c>
      <c r="K3230">
        <v>244</v>
      </c>
      <c r="L3230" t="s">
        <v>6063</v>
      </c>
      <c r="N3230" t="s">
        <v>25</v>
      </c>
      <c r="O3230" t="s">
        <v>4368</v>
      </c>
      <c r="P3230" s="2" t="str">
        <f>HYPERLINK("http://vk.com/club129010024")</f>
        <v>http://vk.com/club129010024</v>
      </c>
      <c r="Q3230">
        <v>21</v>
      </c>
      <c r="R3230" t="s">
        <v>6067</v>
      </c>
      <c r="S3230" t="s">
        <v>6073</v>
      </c>
    </row>
    <row r="3231" spans="1:19" ht="14.25" customHeight="1" x14ac:dyDescent="0.3">
      <c r="A3231" t="s">
        <v>4995</v>
      </c>
      <c r="B3231" t="s">
        <v>5162</v>
      </c>
      <c r="C3231" t="s">
        <v>3538</v>
      </c>
      <c r="D3231" t="s">
        <v>4</v>
      </c>
      <c r="E3231" t="s">
        <v>5157</v>
      </c>
      <c r="F3231" t="s">
        <v>6059</v>
      </c>
      <c r="G3231" s="2" t="str">
        <f>HYPERLINK("https://vk.com/wall-129010024_285")</f>
        <v>https://vk.com/wall-129010024_285</v>
      </c>
      <c r="H3231" t="s">
        <v>6062</v>
      </c>
      <c r="I3231" t="s">
        <v>5158</v>
      </c>
      <c r="J3231" s="2" t="str">
        <f t="shared" si="84"/>
        <v>http://vk.com/id196751523</v>
      </c>
      <c r="K3231">
        <v>244</v>
      </c>
      <c r="L3231" t="s">
        <v>6063</v>
      </c>
      <c r="N3231" t="s">
        <v>25</v>
      </c>
      <c r="O3231" t="s">
        <v>4368</v>
      </c>
      <c r="P3231" s="2" t="str">
        <f>HYPERLINK("http://vk.com/club129010024")</f>
        <v>http://vk.com/club129010024</v>
      </c>
      <c r="Q3231">
        <v>21</v>
      </c>
      <c r="R3231" t="s">
        <v>6067</v>
      </c>
      <c r="S3231" t="s">
        <v>6073</v>
      </c>
    </row>
    <row r="3232" spans="1:19" ht="14.25" customHeight="1" x14ac:dyDescent="0.3">
      <c r="A3232" t="s">
        <v>4995</v>
      </c>
      <c r="B3232" t="s">
        <v>5162</v>
      </c>
      <c r="C3232" t="s">
        <v>3538</v>
      </c>
      <c r="D3232" t="s">
        <v>1593</v>
      </c>
      <c r="E3232" t="s">
        <v>5157</v>
      </c>
      <c r="F3232" t="s">
        <v>6059</v>
      </c>
      <c r="G3232" s="2" t="str">
        <f>HYPERLINK("https://vk.com/wall-129010024_284")</f>
        <v>https://vk.com/wall-129010024_284</v>
      </c>
      <c r="H3232" t="s">
        <v>6062</v>
      </c>
      <c r="I3232" t="s">
        <v>5158</v>
      </c>
      <c r="J3232" s="2" t="str">
        <f t="shared" si="84"/>
        <v>http://vk.com/id196751523</v>
      </c>
      <c r="K3232">
        <v>244</v>
      </c>
      <c r="L3232" t="s">
        <v>6063</v>
      </c>
      <c r="N3232" t="s">
        <v>25</v>
      </c>
      <c r="O3232" t="s">
        <v>4368</v>
      </c>
      <c r="P3232" s="2" t="str">
        <f>HYPERLINK("http://vk.com/club129010024")</f>
        <v>http://vk.com/club129010024</v>
      </c>
      <c r="Q3232">
        <v>21</v>
      </c>
      <c r="R3232" t="s">
        <v>6067</v>
      </c>
      <c r="S3232" t="s">
        <v>6073</v>
      </c>
    </row>
    <row r="3233" spans="1:19" ht="14.25" customHeight="1" x14ac:dyDescent="0.3">
      <c r="A3233" t="s">
        <v>4995</v>
      </c>
      <c r="B3233" t="s">
        <v>3123</v>
      </c>
      <c r="C3233" t="s">
        <v>3538</v>
      </c>
      <c r="D3233" t="s">
        <v>5163</v>
      </c>
      <c r="E3233" t="s">
        <v>5157</v>
      </c>
      <c r="F3233" t="s">
        <v>6059</v>
      </c>
      <c r="G3233" s="2" t="str">
        <f>HYPERLINK("https://vk.com/wall-163539011_11")</f>
        <v>https://vk.com/wall-163539011_11</v>
      </c>
      <c r="H3233" t="s">
        <v>6062</v>
      </c>
      <c r="I3233" t="s">
        <v>5158</v>
      </c>
      <c r="J3233" s="2" t="str">
        <f t="shared" si="84"/>
        <v>http://vk.com/id196751523</v>
      </c>
      <c r="K3233">
        <v>244</v>
      </c>
      <c r="L3233" t="s">
        <v>6063</v>
      </c>
      <c r="N3233" t="s">
        <v>25</v>
      </c>
      <c r="O3233" t="s">
        <v>5164</v>
      </c>
      <c r="P3233" s="2" t="str">
        <f>HYPERLINK("http://vk.com/club163539011")</f>
        <v>http://vk.com/club163539011</v>
      </c>
      <c r="Q3233">
        <v>228</v>
      </c>
      <c r="R3233" t="s">
        <v>6067</v>
      </c>
      <c r="S3233" t="s">
        <v>6073</v>
      </c>
    </row>
    <row r="3234" spans="1:19" ht="14.25" customHeight="1" x14ac:dyDescent="0.3">
      <c r="A3234" t="s">
        <v>4995</v>
      </c>
      <c r="B3234" t="s">
        <v>3123</v>
      </c>
      <c r="C3234" t="s">
        <v>3538</v>
      </c>
      <c r="D3234" t="s">
        <v>5165</v>
      </c>
      <c r="E3234" t="s">
        <v>5157</v>
      </c>
      <c r="F3234" t="s">
        <v>6059</v>
      </c>
      <c r="G3234" s="2" t="str">
        <f>HYPERLINK("https://vk.com/wall-163539011_10")</f>
        <v>https://vk.com/wall-163539011_10</v>
      </c>
      <c r="H3234" t="s">
        <v>6062</v>
      </c>
      <c r="I3234" t="s">
        <v>5158</v>
      </c>
      <c r="J3234" s="2" t="str">
        <f t="shared" si="84"/>
        <v>http://vk.com/id196751523</v>
      </c>
      <c r="K3234">
        <v>244</v>
      </c>
      <c r="L3234" t="s">
        <v>6063</v>
      </c>
      <c r="N3234" t="s">
        <v>25</v>
      </c>
      <c r="O3234" t="s">
        <v>5164</v>
      </c>
      <c r="P3234" s="2" t="str">
        <f>HYPERLINK("http://vk.com/club163539011")</f>
        <v>http://vk.com/club163539011</v>
      </c>
      <c r="Q3234">
        <v>228</v>
      </c>
      <c r="R3234" t="s">
        <v>6067</v>
      </c>
      <c r="S3234" t="s">
        <v>6073</v>
      </c>
    </row>
    <row r="3235" spans="1:19" ht="14.25" customHeight="1" x14ac:dyDescent="0.3">
      <c r="A3235" t="s">
        <v>4995</v>
      </c>
      <c r="B3235" t="s">
        <v>1052</v>
      </c>
      <c r="C3235" t="s">
        <v>3538</v>
      </c>
      <c r="D3235" t="s">
        <v>5166</v>
      </c>
      <c r="E3235" t="s">
        <v>5157</v>
      </c>
      <c r="F3235" t="s">
        <v>6059</v>
      </c>
      <c r="G3235" s="2" t="str">
        <f>HYPERLINK("https://vk.com/wall-163539011_9")</f>
        <v>https://vk.com/wall-163539011_9</v>
      </c>
      <c r="H3235" t="s">
        <v>6062</v>
      </c>
      <c r="I3235" t="s">
        <v>5158</v>
      </c>
      <c r="J3235" s="2" t="str">
        <f t="shared" si="84"/>
        <v>http://vk.com/id196751523</v>
      </c>
      <c r="K3235">
        <v>244</v>
      </c>
      <c r="L3235" t="s">
        <v>6063</v>
      </c>
      <c r="N3235" t="s">
        <v>25</v>
      </c>
      <c r="O3235" t="s">
        <v>5164</v>
      </c>
      <c r="P3235" s="2" t="str">
        <f>HYPERLINK("http://vk.com/club163539011")</f>
        <v>http://vk.com/club163539011</v>
      </c>
      <c r="Q3235">
        <v>228</v>
      </c>
      <c r="R3235" t="s">
        <v>6067</v>
      </c>
      <c r="S3235" t="s">
        <v>6073</v>
      </c>
    </row>
    <row r="3236" spans="1:19" ht="14.25" customHeight="1" x14ac:dyDescent="0.3">
      <c r="A3236" t="s">
        <v>4995</v>
      </c>
      <c r="B3236" t="s">
        <v>1052</v>
      </c>
      <c r="C3236" t="s">
        <v>3538</v>
      </c>
      <c r="D3236" t="s">
        <v>5167</v>
      </c>
      <c r="E3236" t="s">
        <v>5157</v>
      </c>
      <c r="F3236" t="s">
        <v>6059</v>
      </c>
      <c r="G3236" s="2" t="str">
        <f>HYPERLINK("https://vk.com/wall-163539011_8")</f>
        <v>https://vk.com/wall-163539011_8</v>
      </c>
      <c r="H3236" t="s">
        <v>6062</v>
      </c>
      <c r="I3236" t="s">
        <v>5158</v>
      </c>
      <c r="J3236" s="2" t="str">
        <f t="shared" si="84"/>
        <v>http://vk.com/id196751523</v>
      </c>
      <c r="K3236">
        <v>244</v>
      </c>
      <c r="L3236" t="s">
        <v>6063</v>
      </c>
      <c r="N3236" t="s">
        <v>25</v>
      </c>
      <c r="O3236" t="s">
        <v>5164</v>
      </c>
      <c r="P3236" s="2" t="str">
        <f>HYPERLINK("http://vk.com/club163539011")</f>
        <v>http://vk.com/club163539011</v>
      </c>
      <c r="Q3236">
        <v>228</v>
      </c>
      <c r="R3236" t="s">
        <v>6067</v>
      </c>
      <c r="S3236" t="s">
        <v>6073</v>
      </c>
    </row>
    <row r="3237" spans="1:19" ht="14.25" customHeight="1" x14ac:dyDescent="0.3">
      <c r="A3237" t="s">
        <v>4995</v>
      </c>
      <c r="B3237" t="s">
        <v>1052</v>
      </c>
      <c r="C3237" t="s">
        <v>3538</v>
      </c>
      <c r="D3237" t="s">
        <v>4</v>
      </c>
      <c r="E3237" t="s">
        <v>5157</v>
      </c>
      <c r="F3237" t="s">
        <v>6059</v>
      </c>
      <c r="G3237" s="2" t="str">
        <f>HYPERLINK("https://vk.com/wall-145486217_62")</f>
        <v>https://vk.com/wall-145486217_62</v>
      </c>
      <c r="H3237" t="s">
        <v>6062</v>
      </c>
      <c r="I3237" t="s">
        <v>5158</v>
      </c>
      <c r="J3237" s="2" t="str">
        <f t="shared" si="84"/>
        <v>http://vk.com/id196751523</v>
      </c>
      <c r="K3237">
        <v>244</v>
      </c>
      <c r="L3237" t="s">
        <v>6063</v>
      </c>
      <c r="N3237" t="s">
        <v>25</v>
      </c>
      <c r="O3237" t="s">
        <v>5168</v>
      </c>
      <c r="P3237" s="2" t="str">
        <f>HYPERLINK("http://vk.com/club145486217")</f>
        <v>http://vk.com/club145486217</v>
      </c>
      <c r="Q3237">
        <v>160</v>
      </c>
      <c r="R3237" t="s">
        <v>6067</v>
      </c>
      <c r="S3237" t="s">
        <v>6073</v>
      </c>
    </row>
    <row r="3238" spans="1:19" ht="14.25" customHeight="1" x14ac:dyDescent="0.3">
      <c r="A3238" t="s">
        <v>4995</v>
      </c>
      <c r="B3238" t="s">
        <v>3132</v>
      </c>
      <c r="C3238" t="s">
        <v>3538</v>
      </c>
      <c r="D3238" t="s">
        <v>5169</v>
      </c>
      <c r="E3238" t="s">
        <v>5157</v>
      </c>
      <c r="F3238" t="s">
        <v>6059</v>
      </c>
      <c r="G3238" s="2" t="str">
        <f>HYPERLINK("https://vk.com/wall-145486217_61")</f>
        <v>https://vk.com/wall-145486217_61</v>
      </c>
      <c r="H3238" t="s">
        <v>6062</v>
      </c>
      <c r="I3238" t="s">
        <v>5158</v>
      </c>
      <c r="J3238" s="2" t="str">
        <f t="shared" si="84"/>
        <v>http://vk.com/id196751523</v>
      </c>
      <c r="K3238">
        <v>244</v>
      </c>
      <c r="L3238" t="s">
        <v>6063</v>
      </c>
      <c r="N3238" t="s">
        <v>25</v>
      </c>
      <c r="O3238" t="s">
        <v>5168</v>
      </c>
      <c r="P3238" s="2" t="str">
        <f>HYPERLINK("http://vk.com/club145486217")</f>
        <v>http://vk.com/club145486217</v>
      </c>
      <c r="Q3238">
        <v>160</v>
      </c>
      <c r="R3238" t="s">
        <v>6067</v>
      </c>
      <c r="S3238" t="s">
        <v>6073</v>
      </c>
    </row>
    <row r="3239" spans="1:19" ht="14.25" customHeight="1" x14ac:dyDescent="0.3">
      <c r="A3239" t="s">
        <v>4995</v>
      </c>
      <c r="B3239" t="s">
        <v>5171</v>
      </c>
      <c r="C3239" t="s">
        <v>3538</v>
      </c>
      <c r="D3239" t="s">
        <v>2174</v>
      </c>
      <c r="E3239" t="s">
        <v>5157</v>
      </c>
      <c r="F3239" t="s">
        <v>6059</v>
      </c>
      <c r="G3239" s="2" t="str">
        <f>HYPERLINK("https://vk.com/wall-108593567_27787")</f>
        <v>https://vk.com/wall-108593567_27787</v>
      </c>
      <c r="H3239" t="s">
        <v>6062</v>
      </c>
      <c r="I3239" t="s">
        <v>5158</v>
      </c>
      <c r="J3239" s="2" t="str">
        <f t="shared" si="84"/>
        <v>http://vk.com/id196751523</v>
      </c>
      <c r="K3239">
        <v>244</v>
      </c>
      <c r="L3239" t="s">
        <v>6063</v>
      </c>
      <c r="N3239" t="s">
        <v>25</v>
      </c>
      <c r="O3239" t="s">
        <v>2177</v>
      </c>
      <c r="P3239" s="2" t="str">
        <f>HYPERLINK("http://vk.com/club108593567")</f>
        <v>http://vk.com/club108593567</v>
      </c>
      <c r="Q3239">
        <v>2306</v>
      </c>
      <c r="R3239" t="s">
        <v>6067</v>
      </c>
      <c r="S3239" t="s">
        <v>6073</v>
      </c>
    </row>
    <row r="3240" spans="1:19" ht="14.25" customHeight="1" x14ac:dyDescent="0.3">
      <c r="A3240" t="s">
        <v>4995</v>
      </c>
      <c r="B3240" t="s">
        <v>5171</v>
      </c>
      <c r="C3240" t="s">
        <v>3538</v>
      </c>
      <c r="D3240" t="s">
        <v>724</v>
      </c>
      <c r="E3240" t="s">
        <v>5157</v>
      </c>
      <c r="F3240" t="s">
        <v>6059</v>
      </c>
      <c r="G3240" s="2" t="str">
        <f>HYPERLINK("https://vk.com/wall-108593567_27786")</f>
        <v>https://vk.com/wall-108593567_27786</v>
      </c>
      <c r="H3240" t="s">
        <v>6062</v>
      </c>
      <c r="I3240" t="s">
        <v>5158</v>
      </c>
      <c r="J3240" s="2" t="str">
        <f t="shared" si="84"/>
        <v>http://vk.com/id196751523</v>
      </c>
      <c r="K3240">
        <v>244</v>
      </c>
      <c r="L3240" t="s">
        <v>6063</v>
      </c>
      <c r="N3240" t="s">
        <v>25</v>
      </c>
      <c r="O3240" t="s">
        <v>2177</v>
      </c>
      <c r="P3240" s="2" t="str">
        <f>HYPERLINK("http://vk.com/club108593567")</f>
        <v>http://vk.com/club108593567</v>
      </c>
      <c r="Q3240">
        <v>2306</v>
      </c>
      <c r="R3240" t="s">
        <v>6067</v>
      </c>
      <c r="S3240" t="s">
        <v>6073</v>
      </c>
    </row>
    <row r="3241" spans="1:19" ht="14.25" customHeight="1" x14ac:dyDescent="0.3">
      <c r="A3241" t="s">
        <v>4995</v>
      </c>
      <c r="B3241" t="s">
        <v>4058</v>
      </c>
      <c r="C3241" t="s">
        <v>3538</v>
      </c>
      <c r="D3241" t="s">
        <v>5172</v>
      </c>
      <c r="E3241" t="s">
        <v>5157</v>
      </c>
      <c r="F3241" t="s">
        <v>6059</v>
      </c>
      <c r="G3241" s="2" t="str">
        <f>HYPERLINK("https://vk.com/wall-136381142_43")</f>
        <v>https://vk.com/wall-136381142_43</v>
      </c>
      <c r="H3241" t="s">
        <v>6062</v>
      </c>
      <c r="I3241" t="s">
        <v>5158</v>
      </c>
      <c r="J3241" s="2" t="str">
        <f t="shared" si="84"/>
        <v>http://vk.com/id196751523</v>
      </c>
      <c r="K3241">
        <v>244</v>
      </c>
      <c r="L3241" t="s">
        <v>6063</v>
      </c>
      <c r="N3241" t="s">
        <v>25</v>
      </c>
      <c r="O3241" t="s">
        <v>2177</v>
      </c>
      <c r="P3241" s="2" t="str">
        <f>HYPERLINK("http://vk.com/club136381142")</f>
        <v>http://vk.com/club136381142</v>
      </c>
      <c r="Q3241">
        <v>1060</v>
      </c>
      <c r="R3241" t="s">
        <v>6067</v>
      </c>
      <c r="S3241" t="s">
        <v>6073</v>
      </c>
    </row>
    <row r="3242" spans="1:19" ht="14.25" customHeight="1" x14ac:dyDescent="0.3">
      <c r="A3242" t="s">
        <v>4995</v>
      </c>
      <c r="B3242" t="s">
        <v>3142</v>
      </c>
      <c r="C3242" t="s">
        <v>3538</v>
      </c>
      <c r="D3242" t="s">
        <v>2174</v>
      </c>
      <c r="E3242" t="s">
        <v>5170</v>
      </c>
      <c r="F3242" t="s">
        <v>6059</v>
      </c>
      <c r="G3242" s="2" t="str">
        <f>HYPERLINK("https://vk.com/wall-108593567_27788")</f>
        <v>https://vk.com/wall-108593567_27788</v>
      </c>
      <c r="H3242" t="s">
        <v>6062</v>
      </c>
      <c r="I3242" t="s">
        <v>5158</v>
      </c>
      <c r="J3242" s="2" t="str">
        <f t="shared" si="84"/>
        <v>http://vk.com/id196751523</v>
      </c>
      <c r="K3242">
        <v>244</v>
      </c>
      <c r="L3242" t="s">
        <v>6063</v>
      </c>
      <c r="N3242" t="s">
        <v>25</v>
      </c>
      <c r="O3242" t="s">
        <v>2177</v>
      </c>
      <c r="P3242" s="2" t="str">
        <f>HYPERLINK("http://vk.com/club108593567")</f>
        <v>http://vk.com/club108593567</v>
      </c>
      <c r="Q3242">
        <v>2306</v>
      </c>
      <c r="R3242" t="s">
        <v>6067</v>
      </c>
      <c r="S3242" t="s">
        <v>6073</v>
      </c>
    </row>
    <row r="3243" spans="1:19" ht="14.25" customHeight="1" x14ac:dyDescent="0.3">
      <c r="A3243" t="s">
        <v>5409</v>
      </c>
      <c r="B3243" t="s">
        <v>5999</v>
      </c>
      <c r="C3243" t="s">
        <v>3538</v>
      </c>
      <c r="D3243" t="s">
        <v>4</v>
      </c>
      <c r="E3243" t="s">
        <v>6000</v>
      </c>
      <c r="F3243" t="s">
        <v>6059</v>
      </c>
      <c r="G3243" s="2" t="str">
        <f>HYPERLINK("https://vk.com/wall-96591297_1542316")</f>
        <v>https://vk.com/wall-96591297_1542316</v>
      </c>
      <c r="H3243" t="s">
        <v>6062</v>
      </c>
      <c r="I3243" t="s">
        <v>5158</v>
      </c>
      <c r="J3243" s="2" t="str">
        <f t="shared" si="84"/>
        <v>http://vk.com/id196751523</v>
      </c>
      <c r="K3243">
        <v>244</v>
      </c>
      <c r="L3243" t="s">
        <v>6063</v>
      </c>
      <c r="N3243" t="s">
        <v>25</v>
      </c>
      <c r="O3243" t="s">
        <v>6001</v>
      </c>
      <c r="P3243" s="2" t="str">
        <f>HYPERLINK("http://vk.com/club96591297")</f>
        <v>http://vk.com/club96591297</v>
      </c>
      <c r="Q3243">
        <v>1900377</v>
      </c>
      <c r="R3243" t="s">
        <v>6067</v>
      </c>
      <c r="S3243" t="s">
        <v>6073</v>
      </c>
    </row>
    <row r="3244" spans="1:19" ht="14.25" customHeight="1" x14ac:dyDescent="0.3">
      <c r="A3244" t="s">
        <v>5409</v>
      </c>
      <c r="B3244" t="s">
        <v>6002</v>
      </c>
      <c r="C3244" t="s">
        <v>3538</v>
      </c>
      <c r="D3244" t="s">
        <v>4</v>
      </c>
      <c r="E3244" t="s">
        <v>6000</v>
      </c>
      <c r="F3244" t="s">
        <v>6059</v>
      </c>
      <c r="G3244" s="2" t="str">
        <f>HYPERLINK("https://vk.com/wall-96591297_1542308")</f>
        <v>https://vk.com/wall-96591297_1542308</v>
      </c>
      <c r="H3244" t="s">
        <v>6062</v>
      </c>
      <c r="I3244" t="s">
        <v>5158</v>
      </c>
      <c r="J3244" s="2" t="str">
        <f t="shared" si="84"/>
        <v>http://vk.com/id196751523</v>
      </c>
      <c r="K3244">
        <v>244</v>
      </c>
      <c r="L3244" t="s">
        <v>6063</v>
      </c>
      <c r="N3244" t="s">
        <v>25</v>
      </c>
      <c r="O3244" t="s">
        <v>6001</v>
      </c>
      <c r="P3244" s="2" t="str">
        <f>HYPERLINK("http://vk.com/club96591297")</f>
        <v>http://vk.com/club96591297</v>
      </c>
      <c r="Q3244">
        <v>1900377</v>
      </c>
      <c r="R3244" t="s">
        <v>6067</v>
      </c>
      <c r="S3244" t="s">
        <v>6073</v>
      </c>
    </row>
    <row r="3245" spans="1:19" ht="14.25" customHeight="1" x14ac:dyDescent="0.3">
      <c r="A3245" t="s">
        <v>3527</v>
      </c>
      <c r="B3245" t="s">
        <v>3914</v>
      </c>
      <c r="C3245" t="s">
        <v>95</v>
      </c>
      <c r="D3245" t="s">
        <v>4</v>
      </c>
      <c r="E3245" t="s">
        <v>3820</v>
      </c>
      <c r="F3245" t="s">
        <v>6058</v>
      </c>
      <c r="G3245" s="2" t="str">
        <f>HYPERLINK("https://vk.com/wall476060964_789")</f>
        <v>https://vk.com/wall476060964_789</v>
      </c>
      <c r="H3245" t="s">
        <v>6062</v>
      </c>
      <c r="I3245" t="s">
        <v>3917</v>
      </c>
      <c r="J3245" s="2" t="str">
        <f>HYPERLINK("http://vk.com/id476060964")</f>
        <v>http://vk.com/id476060964</v>
      </c>
      <c r="K3245">
        <v>181</v>
      </c>
      <c r="L3245" t="s">
        <v>6063</v>
      </c>
      <c r="M3245">
        <v>32</v>
      </c>
      <c r="N3245" t="s">
        <v>25</v>
      </c>
      <c r="O3245" t="s">
        <v>3917</v>
      </c>
      <c r="P3245" s="2" t="str">
        <f>HYPERLINK("http://vk.com/id476060964")</f>
        <v>http://vk.com/id476060964</v>
      </c>
      <c r="Q3245">
        <v>181</v>
      </c>
      <c r="R3245" t="s">
        <v>6067</v>
      </c>
    </row>
    <row r="3246" spans="1:19" ht="14.25" customHeight="1" x14ac:dyDescent="0.3">
      <c r="A3246" t="s">
        <v>3527</v>
      </c>
      <c r="B3246" t="s">
        <v>903</v>
      </c>
      <c r="C3246" t="s">
        <v>95</v>
      </c>
      <c r="D3246" t="s">
        <v>4</v>
      </c>
      <c r="E3246" t="s">
        <v>3706</v>
      </c>
      <c r="F3246" t="s">
        <v>6058</v>
      </c>
      <c r="G3246" s="2" t="str">
        <f>HYPERLINK("https://vk.com/wall394785809_592")</f>
        <v>https://vk.com/wall394785809_592</v>
      </c>
      <c r="H3246" t="s">
        <v>6062</v>
      </c>
      <c r="I3246" t="s">
        <v>3862</v>
      </c>
      <c r="J3246" s="2" t="str">
        <f>HYPERLINK("http://vk.com/id394785809")</f>
        <v>http://vk.com/id394785809</v>
      </c>
      <c r="K3246">
        <v>110</v>
      </c>
      <c r="L3246" t="s">
        <v>6063</v>
      </c>
      <c r="N3246" t="s">
        <v>25</v>
      </c>
      <c r="O3246" t="s">
        <v>3862</v>
      </c>
      <c r="P3246" s="2" t="str">
        <f>HYPERLINK("http://vk.com/id394785809")</f>
        <v>http://vk.com/id394785809</v>
      </c>
      <c r="Q3246">
        <v>110</v>
      </c>
      <c r="R3246" t="s">
        <v>6067</v>
      </c>
      <c r="S3246" t="s">
        <v>6096</v>
      </c>
    </row>
    <row r="3247" spans="1:19" ht="14.25" customHeight="1" x14ac:dyDescent="0.3">
      <c r="A3247" t="s">
        <v>3527</v>
      </c>
      <c r="B3247" t="s">
        <v>3861</v>
      </c>
      <c r="C3247" t="s">
        <v>95</v>
      </c>
      <c r="D3247" t="s">
        <v>4</v>
      </c>
      <c r="E3247" t="s">
        <v>3625</v>
      </c>
      <c r="F3247" t="s">
        <v>6058</v>
      </c>
      <c r="G3247" s="2" t="str">
        <f>HYPERLINK("https://vk.com/wall394785809_594")</f>
        <v>https://vk.com/wall394785809_594</v>
      </c>
      <c r="H3247" t="s">
        <v>6062</v>
      </c>
      <c r="I3247" t="s">
        <v>3862</v>
      </c>
      <c r="J3247" s="2" t="str">
        <f>HYPERLINK("http://vk.com/id394785809")</f>
        <v>http://vk.com/id394785809</v>
      </c>
      <c r="K3247">
        <v>110</v>
      </c>
      <c r="L3247" t="s">
        <v>6063</v>
      </c>
      <c r="N3247" t="s">
        <v>25</v>
      </c>
      <c r="O3247" t="s">
        <v>3862</v>
      </c>
      <c r="P3247" s="2" t="str">
        <f>HYPERLINK("http://vk.com/id394785809")</f>
        <v>http://vk.com/id394785809</v>
      </c>
      <c r="Q3247">
        <v>110</v>
      </c>
      <c r="R3247" t="s">
        <v>6067</v>
      </c>
      <c r="S3247" t="s">
        <v>6096</v>
      </c>
    </row>
    <row r="3248" spans="1:19" ht="14.25" customHeight="1" x14ac:dyDescent="0.3">
      <c r="A3248" t="s">
        <v>2225</v>
      </c>
      <c r="B3248" t="s">
        <v>2962</v>
      </c>
      <c r="C3248" t="s">
        <v>95</v>
      </c>
      <c r="D3248" t="s">
        <v>4</v>
      </c>
      <c r="E3248" t="s">
        <v>2963</v>
      </c>
      <c r="F3248" t="s">
        <v>6056</v>
      </c>
      <c r="G3248" s="2" t="str">
        <f>HYPERLINK("https://vk.com/wall135036494_2019")</f>
        <v>https://vk.com/wall135036494_2019</v>
      </c>
      <c r="H3248" t="s">
        <v>6062</v>
      </c>
      <c r="I3248" t="s">
        <v>2964</v>
      </c>
      <c r="J3248" s="2" t="str">
        <f>HYPERLINK("http://vk.com/id135036494")</f>
        <v>http://vk.com/id135036494</v>
      </c>
      <c r="K3248">
        <v>712</v>
      </c>
      <c r="L3248" t="s">
        <v>6063</v>
      </c>
      <c r="N3248" t="s">
        <v>25</v>
      </c>
      <c r="O3248" t="s">
        <v>2964</v>
      </c>
      <c r="P3248" s="2" t="str">
        <f>HYPERLINK("http://vk.com/id135036494")</f>
        <v>http://vk.com/id135036494</v>
      </c>
      <c r="Q3248">
        <v>712</v>
      </c>
      <c r="R3248" t="s">
        <v>6067</v>
      </c>
      <c r="S3248" t="s">
        <v>6073</v>
      </c>
    </row>
    <row r="3249" spans="1:19" ht="14.25" customHeight="1" x14ac:dyDescent="0.3">
      <c r="A3249" t="s">
        <v>2225</v>
      </c>
      <c r="B3249" t="s">
        <v>2965</v>
      </c>
      <c r="C3249" t="s">
        <v>95</v>
      </c>
      <c r="D3249" t="s">
        <v>4</v>
      </c>
      <c r="E3249" t="s">
        <v>2966</v>
      </c>
      <c r="F3249" t="s">
        <v>6056</v>
      </c>
      <c r="G3249" s="2" t="str">
        <f>HYPERLINK("https://vk.com/wall135036494_2018")</f>
        <v>https://vk.com/wall135036494_2018</v>
      </c>
      <c r="H3249" t="s">
        <v>6062</v>
      </c>
      <c r="I3249" t="s">
        <v>2964</v>
      </c>
      <c r="J3249" s="2" t="str">
        <f>HYPERLINK("http://vk.com/id135036494")</f>
        <v>http://vk.com/id135036494</v>
      </c>
      <c r="K3249">
        <v>712</v>
      </c>
      <c r="L3249" t="s">
        <v>6063</v>
      </c>
      <c r="N3249" t="s">
        <v>25</v>
      </c>
      <c r="O3249" t="s">
        <v>2964</v>
      </c>
      <c r="P3249" s="2" t="str">
        <f>HYPERLINK("http://vk.com/id135036494")</f>
        <v>http://vk.com/id135036494</v>
      </c>
      <c r="Q3249">
        <v>712</v>
      </c>
      <c r="R3249" t="s">
        <v>6067</v>
      </c>
      <c r="S3249" t="s">
        <v>6073</v>
      </c>
    </row>
    <row r="3250" spans="1:19" ht="14.25" customHeight="1" x14ac:dyDescent="0.3">
      <c r="A3250" t="s">
        <v>3527</v>
      </c>
      <c r="B3250" t="s">
        <v>1124</v>
      </c>
      <c r="C3250" t="s">
        <v>95</v>
      </c>
      <c r="D3250" t="s">
        <v>4</v>
      </c>
      <c r="E3250" t="s">
        <v>4045</v>
      </c>
      <c r="F3250" t="s">
        <v>6058</v>
      </c>
      <c r="G3250" s="2" t="str">
        <f>HYPERLINK("https://vk.com/wall377934529_11")</f>
        <v>https://vk.com/wall377934529_11</v>
      </c>
      <c r="H3250" t="s">
        <v>6062</v>
      </c>
      <c r="I3250" t="s">
        <v>4096</v>
      </c>
      <c r="J3250" s="2" t="str">
        <f>HYPERLINK("http://vk.com/id377934529")</f>
        <v>http://vk.com/id377934529</v>
      </c>
      <c r="K3250">
        <v>0</v>
      </c>
      <c r="L3250" t="s">
        <v>6063</v>
      </c>
      <c r="N3250" t="s">
        <v>25</v>
      </c>
      <c r="O3250" t="s">
        <v>4096</v>
      </c>
      <c r="P3250" s="2" t="str">
        <f>HYPERLINK("http://vk.com/id377934529")</f>
        <v>http://vk.com/id377934529</v>
      </c>
      <c r="Q3250">
        <v>0</v>
      </c>
      <c r="R3250" t="s">
        <v>6067</v>
      </c>
    </row>
    <row r="3251" spans="1:19" ht="14.25" customHeight="1" x14ac:dyDescent="0.3">
      <c r="A3251" t="s">
        <v>5409</v>
      </c>
      <c r="B3251" t="s">
        <v>4239</v>
      </c>
      <c r="C3251" t="s">
        <v>3538</v>
      </c>
      <c r="D3251" t="s">
        <v>4</v>
      </c>
      <c r="E3251" t="s">
        <v>5775</v>
      </c>
      <c r="F3251" t="s">
        <v>6056</v>
      </c>
      <c r="G3251" s="2" t="str">
        <f>HYPERLINK("https://vk.com/wall320772702_530")</f>
        <v>https://vk.com/wall320772702_530</v>
      </c>
      <c r="H3251" t="s">
        <v>6062</v>
      </c>
      <c r="I3251" t="s">
        <v>5776</v>
      </c>
      <c r="J3251" s="2" t="str">
        <f>HYPERLINK("http://vk.com/id320772702")</f>
        <v>http://vk.com/id320772702</v>
      </c>
      <c r="K3251">
        <v>20</v>
      </c>
      <c r="L3251" t="s">
        <v>6063</v>
      </c>
      <c r="M3251">
        <v>44</v>
      </c>
      <c r="N3251" t="s">
        <v>25</v>
      </c>
      <c r="O3251" t="s">
        <v>5776</v>
      </c>
      <c r="P3251" s="2" t="str">
        <f>HYPERLINK("http://vk.com/id320772702")</f>
        <v>http://vk.com/id320772702</v>
      </c>
      <c r="Q3251">
        <v>20</v>
      </c>
      <c r="R3251" t="s">
        <v>6067</v>
      </c>
    </row>
    <row r="3252" spans="1:19" ht="14.25" customHeight="1" x14ac:dyDescent="0.3">
      <c r="A3252" t="s">
        <v>3527</v>
      </c>
      <c r="B3252" t="s">
        <v>3954</v>
      </c>
      <c r="C3252" t="s">
        <v>95</v>
      </c>
      <c r="D3252" t="s">
        <v>4</v>
      </c>
      <c r="E3252" t="s">
        <v>3820</v>
      </c>
      <c r="F3252" t="s">
        <v>6058</v>
      </c>
      <c r="G3252" s="2" t="str">
        <f>HYPERLINK("https://vk.com/wall479128597_88")</f>
        <v>https://vk.com/wall479128597_88</v>
      </c>
      <c r="H3252" t="s">
        <v>6062</v>
      </c>
      <c r="I3252" t="s">
        <v>3955</v>
      </c>
      <c r="J3252" s="2" t="str">
        <f>HYPERLINK("http://vk.com/id479128597")</f>
        <v>http://vk.com/id479128597</v>
      </c>
      <c r="K3252">
        <v>1</v>
      </c>
      <c r="L3252" t="s">
        <v>6063</v>
      </c>
      <c r="M3252">
        <v>18</v>
      </c>
      <c r="N3252" t="s">
        <v>25</v>
      </c>
      <c r="O3252" t="s">
        <v>3955</v>
      </c>
      <c r="P3252" s="2" t="str">
        <f>HYPERLINK("http://vk.com/id479128597")</f>
        <v>http://vk.com/id479128597</v>
      </c>
      <c r="Q3252">
        <v>1</v>
      </c>
      <c r="R3252" t="s">
        <v>6067</v>
      </c>
    </row>
    <row r="3253" spans="1:19" ht="14.25" customHeight="1" x14ac:dyDescent="0.3">
      <c r="A3253" t="s">
        <v>3527</v>
      </c>
      <c r="B3253" t="s">
        <v>1170</v>
      </c>
      <c r="C3253" t="s">
        <v>3538</v>
      </c>
      <c r="D3253" t="s">
        <v>4</v>
      </c>
      <c r="E3253" t="s">
        <v>4045</v>
      </c>
      <c r="F3253" t="s">
        <v>6058</v>
      </c>
      <c r="G3253" s="2" t="str">
        <f>HYPERLINK("https://vk.com/wall466755062_319")</f>
        <v>https://vk.com/wall466755062_319</v>
      </c>
      <c r="H3253" t="s">
        <v>6062</v>
      </c>
      <c r="I3253" t="s">
        <v>4123</v>
      </c>
      <c r="J3253" s="2" t="str">
        <f>HYPERLINK("http://vk.com/id466755062")</f>
        <v>http://vk.com/id466755062</v>
      </c>
      <c r="K3253">
        <v>65</v>
      </c>
      <c r="L3253" t="s">
        <v>6064</v>
      </c>
      <c r="M3253">
        <v>23</v>
      </c>
      <c r="N3253" t="s">
        <v>25</v>
      </c>
      <c r="O3253" t="s">
        <v>4123</v>
      </c>
      <c r="P3253" s="2" t="str">
        <f>HYPERLINK("http://vk.com/id466755062")</f>
        <v>http://vk.com/id466755062</v>
      </c>
      <c r="Q3253">
        <v>65</v>
      </c>
      <c r="R3253" t="s">
        <v>6067</v>
      </c>
      <c r="S3253" t="s">
        <v>6072</v>
      </c>
    </row>
    <row r="3254" spans="1:19" ht="14.25" customHeight="1" x14ac:dyDescent="0.3">
      <c r="A3254" t="s">
        <v>3527</v>
      </c>
      <c r="B3254" t="s">
        <v>770</v>
      </c>
      <c r="C3254" t="s">
        <v>95</v>
      </c>
      <c r="D3254" t="s">
        <v>4</v>
      </c>
      <c r="E3254" t="s">
        <v>3718</v>
      </c>
      <c r="F3254" t="s">
        <v>6056</v>
      </c>
      <c r="G3254" s="2" t="str">
        <f>HYPERLINK("https://vk.com/wall171007716_2126")</f>
        <v>https://vk.com/wall171007716_2126</v>
      </c>
      <c r="H3254" t="s">
        <v>6062</v>
      </c>
      <c r="I3254" t="s">
        <v>3719</v>
      </c>
      <c r="J3254" s="2" t="str">
        <f>HYPERLINK("http://vk.com/id171007716")</f>
        <v>http://vk.com/id171007716</v>
      </c>
      <c r="K3254">
        <v>376</v>
      </c>
      <c r="L3254" t="s">
        <v>6063</v>
      </c>
      <c r="N3254" t="s">
        <v>25</v>
      </c>
      <c r="O3254" t="s">
        <v>3719</v>
      </c>
      <c r="P3254" s="2" t="str">
        <f>HYPERLINK("http://vk.com/id171007716")</f>
        <v>http://vk.com/id171007716</v>
      </c>
      <c r="Q3254">
        <v>376</v>
      </c>
      <c r="R3254" t="s">
        <v>6067</v>
      </c>
    </row>
    <row r="3255" spans="1:19" ht="14.25" customHeight="1" x14ac:dyDescent="0.3">
      <c r="A3255" t="s">
        <v>3527</v>
      </c>
      <c r="B3255" t="s">
        <v>736</v>
      </c>
      <c r="C3255" t="s">
        <v>3538</v>
      </c>
      <c r="D3255" t="s">
        <v>4</v>
      </c>
      <c r="E3255" t="s">
        <v>3559</v>
      </c>
      <c r="F3255" t="s">
        <v>6058</v>
      </c>
      <c r="G3255" s="2" t="str">
        <f>HYPERLINK("https://vk.com/wall356514785_463")</f>
        <v>https://vk.com/wall356514785_463</v>
      </c>
      <c r="H3255" t="s">
        <v>6062</v>
      </c>
      <c r="I3255" t="s">
        <v>3666</v>
      </c>
      <c r="J3255" s="2" t="str">
        <f>HYPERLINK("http://vk.com/id356514785")</f>
        <v>http://vk.com/id356514785</v>
      </c>
      <c r="K3255">
        <v>54</v>
      </c>
      <c r="L3255" t="s">
        <v>6063</v>
      </c>
      <c r="N3255" t="s">
        <v>25</v>
      </c>
      <c r="O3255" t="s">
        <v>3666</v>
      </c>
      <c r="P3255" s="2" t="str">
        <f>HYPERLINK("http://vk.com/id356514785")</f>
        <v>http://vk.com/id356514785</v>
      </c>
      <c r="Q3255">
        <v>54</v>
      </c>
      <c r="R3255" t="s">
        <v>6067</v>
      </c>
    </row>
    <row r="3256" spans="1:19" ht="14.25" customHeight="1" x14ac:dyDescent="0.3">
      <c r="A3256" t="s">
        <v>3527</v>
      </c>
      <c r="B3256" t="s">
        <v>2494</v>
      </c>
      <c r="C3256" t="s">
        <v>3538</v>
      </c>
      <c r="D3256" t="s">
        <v>4</v>
      </c>
      <c r="E3256" t="s">
        <v>3517</v>
      </c>
      <c r="F3256" t="s">
        <v>6058</v>
      </c>
      <c r="G3256" s="2" t="str">
        <f>HYPERLINK("https://vk.com/wall356514785_464")</f>
        <v>https://vk.com/wall356514785_464</v>
      </c>
      <c r="H3256" t="s">
        <v>6062</v>
      </c>
      <c r="I3256" t="s">
        <v>3666</v>
      </c>
      <c r="J3256" s="2" t="str">
        <f>HYPERLINK("http://vk.com/id356514785")</f>
        <v>http://vk.com/id356514785</v>
      </c>
      <c r="K3256">
        <v>54</v>
      </c>
      <c r="L3256" t="s">
        <v>6063</v>
      </c>
      <c r="N3256" t="s">
        <v>25</v>
      </c>
      <c r="O3256" t="s">
        <v>3666</v>
      </c>
      <c r="P3256" s="2" t="str">
        <f>HYPERLINK("http://vk.com/id356514785")</f>
        <v>http://vk.com/id356514785</v>
      </c>
      <c r="Q3256">
        <v>54</v>
      </c>
      <c r="R3256" t="s">
        <v>6067</v>
      </c>
      <c r="S3256" t="s">
        <v>6073</v>
      </c>
    </row>
    <row r="3257" spans="1:19" ht="14.25" customHeight="1" x14ac:dyDescent="0.3">
      <c r="A3257" t="s">
        <v>3527</v>
      </c>
      <c r="B3257" t="s">
        <v>2488</v>
      </c>
      <c r="C3257" t="s">
        <v>95</v>
      </c>
      <c r="D3257" t="s">
        <v>4</v>
      </c>
      <c r="E3257" t="s">
        <v>3559</v>
      </c>
      <c r="F3257" t="s">
        <v>6058</v>
      </c>
      <c r="G3257" s="2" t="str">
        <f>HYPERLINK("https://vk.com/wall478526129_371")</f>
        <v>https://vk.com/wall478526129_371</v>
      </c>
      <c r="H3257" t="s">
        <v>6062</v>
      </c>
      <c r="I3257" t="s">
        <v>3658</v>
      </c>
      <c r="J3257" s="2" t="str">
        <f>HYPERLINK("http://vk.com/id478526129")</f>
        <v>http://vk.com/id478526129</v>
      </c>
      <c r="K3257">
        <v>3</v>
      </c>
      <c r="L3257" t="s">
        <v>6064</v>
      </c>
      <c r="M3257">
        <v>35</v>
      </c>
      <c r="N3257" t="s">
        <v>25</v>
      </c>
      <c r="O3257" t="s">
        <v>3658</v>
      </c>
      <c r="P3257" s="2" t="str">
        <f>HYPERLINK("http://vk.com/id478526129")</f>
        <v>http://vk.com/id478526129</v>
      </c>
      <c r="Q3257">
        <v>3</v>
      </c>
      <c r="R3257" t="s">
        <v>6067</v>
      </c>
    </row>
    <row r="3258" spans="1:19" ht="14.25" customHeight="1" x14ac:dyDescent="0.3">
      <c r="A3258" t="s">
        <v>3527</v>
      </c>
      <c r="B3258" t="s">
        <v>3117</v>
      </c>
      <c r="C3258" t="s">
        <v>95</v>
      </c>
      <c r="D3258" t="s">
        <v>4</v>
      </c>
      <c r="E3258" t="s">
        <v>4045</v>
      </c>
      <c r="F3258" t="s">
        <v>6058</v>
      </c>
      <c r="G3258" s="2" t="str">
        <f>HYPERLINK("https://vk.com/wall478526129_361")</f>
        <v>https://vk.com/wall478526129_361</v>
      </c>
      <c r="H3258" t="s">
        <v>6062</v>
      </c>
      <c r="I3258" t="s">
        <v>3658</v>
      </c>
      <c r="J3258" s="2" t="str">
        <f>HYPERLINK("http://vk.com/id478526129")</f>
        <v>http://vk.com/id478526129</v>
      </c>
      <c r="K3258">
        <v>3</v>
      </c>
      <c r="L3258" t="s">
        <v>6064</v>
      </c>
      <c r="M3258">
        <v>35</v>
      </c>
      <c r="N3258" t="s">
        <v>25</v>
      </c>
      <c r="O3258" t="s">
        <v>3658</v>
      </c>
      <c r="P3258" s="2" t="str">
        <f>HYPERLINK("http://vk.com/id478526129")</f>
        <v>http://vk.com/id478526129</v>
      </c>
      <c r="Q3258">
        <v>3</v>
      </c>
      <c r="R3258" t="s">
        <v>6067</v>
      </c>
    </row>
    <row r="3259" spans="1:19" ht="14.25" customHeight="1" x14ac:dyDescent="0.3">
      <c r="A3259" t="s">
        <v>3527</v>
      </c>
      <c r="B3259" t="s">
        <v>3824</v>
      </c>
      <c r="C3259" t="s">
        <v>95</v>
      </c>
      <c r="D3259" t="s">
        <v>4</v>
      </c>
      <c r="E3259" t="s">
        <v>3820</v>
      </c>
      <c r="F3259" t="s">
        <v>6058</v>
      </c>
      <c r="G3259" s="2" t="str">
        <f>HYPERLINK("https://vk.com/wall478526129_364")</f>
        <v>https://vk.com/wall478526129_364</v>
      </c>
      <c r="H3259" t="s">
        <v>6062</v>
      </c>
      <c r="I3259" t="s">
        <v>3658</v>
      </c>
      <c r="J3259" s="2" t="str">
        <f>HYPERLINK("http://vk.com/id478526129")</f>
        <v>http://vk.com/id478526129</v>
      </c>
      <c r="K3259">
        <v>3</v>
      </c>
      <c r="L3259" t="s">
        <v>6064</v>
      </c>
      <c r="M3259">
        <v>35</v>
      </c>
      <c r="N3259" t="s">
        <v>25</v>
      </c>
      <c r="O3259" t="s">
        <v>3658</v>
      </c>
      <c r="P3259" s="2" t="str">
        <f>HYPERLINK("http://vk.com/id478526129")</f>
        <v>http://vk.com/id478526129</v>
      </c>
      <c r="Q3259">
        <v>3</v>
      </c>
      <c r="R3259" t="s">
        <v>6067</v>
      </c>
    </row>
    <row r="3260" spans="1:19" ht="14.25" customHeight="1" x14ac:dyDescent="0.3">
      <c r="A3260" t="s">
        <v>3527</v>
      </c>
      <c r="B3260" t="s">
        <v>2400</v>
      </c>
      <c r="C3260" t="s">
        <v>95</v>
      </c>
      <c r="D3260" t="s">
        <v>4</v>
      </c>
      <c r="E3260" t="s">
        <v>3511</v>
      </c>
      <c r="F3260" t="s">
        <v>6058</v>
      </c>
      <c r="G3260" s="2" t="str">
        <f>HYPERLINK("https://vk.com/wall478526129_373")</f>
        <v>https://vk.com/wall478526129_373</v>
      </c>
      <c r="H3260" t="s">
        <v>6062</v>
      </c>
      <c r="I3260" t="s">
        <v>3658</v>
      </c>
      <c r="J3260" s="2" t="str">
        <f>HYPERLINK("http://vk.com/id478526129")</f>
        <v>http://vk.com/id478526129</v>
      </c>
      <c r="K3260">
        <v>3</v>
      </c>
      <c r="L3260" t="s">
        <v>6064</v>
      </c>
      <c r="M3260">
        <v>35</v>
      </c>
      <c r="N3260" t="s">
        <v>25</v>
      </c>
      <c r="O3260" t="s">
        <v>3658</v>
      </c>
      <c r="P3260" s="2" t="str">
        <f>HYPERLINK("http://vk.com/id478526129")</f>
        <v>http://vk.com/id478526129</v>
      </c>
      <c r="Q3260">
        <v>3</v>
      </c>
      <c r="R3260" t="s">
        <v>6067</v>
      </c>
    </row>
    <row r="3261" spans="1:19" ht="14.25" customHeight="1" x14ac:dyDescent="0.3">
      <c r="A3261" t="s">
        <v>4995</v>
      </c>
      <c r="B3261" t="s">
        <v>5394</v>
      </c>
      <c r="C3261" t="s">
        <v>3538</v>
      </c>
      <c r="D3261" t="s">
        <v>4</v>
      </c>
      <c r="E3261" t="s">
        <v>5395</v>
      </c>
      <c r="F3261" t="s">
        <v>6056</v>
      </c>
      <c r="G3261" s="2" t="str">
        <f>HYPERLINK("https://vk.com/wall223595800_2621")</f>
        <v>https://vk.com/wall223595800_2621</v>
      </c>
      <c r="H3261" t="s">
        <v>6062</v>
      </c>
      <c r="I3261" t="s">
        <v>5396</v>
      </c>
      <c r="J3261" s="2" t="str">
        <f>HYPERLINK("http://vk.com/id223595800")</f>
        <v>http://vk.com/id223595800</v>
      </c>
      <c r="K3261">
        <v>295</v>
      </c>
      <c r="L3261" t="s">
        <v>6063</v>
      </c>
      <c r="M3261">
        <v>17</v>
      </c>
      <c r="N3261" t="s">
        <v>25</v>
      </c>
      <c r="O3261" t="s">
        <v>5396</v>
      </c>
      <c r="P3261" s="2" t="str">
        <f>HYPERLINK("http://vk.com/id223595800")</f>
        <v>http://vk.com/id223595800</v>
      </c>
      <c r="Q3261">
        <v>295</v>
      </c>
      <c r="R3261" t="s">
        <v>6067</v>
      </c>
      <c r="S3261" t="s">
        <v>6073</v>
      </c>
    </row>
    <row r="3262" spans="1:19" ht="14.25" customHeight="1" x14ac:dyDescent="0.3">
      <c r="A3262" t="s">
        <v>3527</v>
      </c>
      <c r="B3262" t="s">
        <v>4167</v>
      </c>
      <c r="C3262" t="s">
        <v>3538</v>
      </c>
      <c r="D3262" t="s">
        <v>4</v>
      </c>
      <c r="E3262" t="s">
        <v>4045</v>
      </c>
      <c r="F3262" t="s">
        <v>6058</v>
      </c>
      <c r="G3262" s="2" t="str">
        <f>HYPERLINK("https://vk.com/wall363494842_211")</f>
        <v>https://vk.com/wall363494842_211</v>
      </c>
      <c r="H3262" t="s">
        <v>6062</v>
      </c>
      <c r="I3262" t="s">
        <v>4169</v>
      </c>
      <c r="J3262" s="2" t="str">
        <f>HYPERLINK("http://vk.com/id363494842")</f>
        <v>http://vk.com/id363494842</v>
      </c>
      <c r="L3262" t="s">
        <v>6064</v>
      </c>
      <c r="M3262">
        <v>20</v>
      </c>
      <c r="N3262" t="s">
        <v>25</v>
      </c>
      <c r="O3262" t="s">
        <v>4169</v>
      </c>
      <c r="P3262" s="2" t="str">
        <f>HYPERLINK("http://vk.com/id363494842")</f>
        <v>http://vk.com/id363494842</v>
      </c>
      <c r="R3262" t="s">
        <v>6067</v>
      </c>
      <c r="S3262" t="s">
        <v>6092</v>
      </c>
    </row>
    <row r="3263" spans="1:19" ht="14.25" customHeight="1" x14ac:dyDescent="0.3">
      <c r="A3263" t="s">
        <v>5409</v>
      </c>
      <c r="B3263" t="s">
        <v>864</v>
      </c>
      <c r="C3263" t="s">
        <v>3538</v>
      </c>
      <c r="D3263" t="s">
        <v>4</v>
      </c>
      <c r="E3263" t="s">
        <v>5548</v>
      </c>
      <c r="F3263" t="s">
        <v>6056</v>
      </c>
      <c r="G3263" s="2" t="str">
        <f>HYPERLINK("https://vk.com/wall-111701153_569")</f>
        <v>https://vk.com/wall-111701153_569</v>
      </c>
      <c r="H3263" t="s">
        <v>6062</v>
      </c>
      <c r="I3263" t="s">
        <v>5549</v>
      </c>
      <c r="J3263" s="2" t="str">
        <f>HYPERLINK("http://vk.com/club111701153")</f>
        <v>http://vk.com/club111701153</v>
      </c>
      <c r="K3263">
        <v>1805</v>
      </c>
      <c r="L3263" t="s">
        <v>6065</v>
      </c>
      <c r="N3263" t="s">
        <v>25</v>
      </c>
      <c r="O3263" t="s">
        <v>5549</v>
      </c>
      <c r="P3263" s="2" t="str">
        <f>HYPERLINK("http://vk.com/club111701153")</f>
        <v>http://vk.com/club111701153</v>
      </c>
      <c r="Q3263">
        <v>1805</v>
      </c>
      <c r="R3263" t="s">
        <v>6067</v>
      </c>
    </row>
    <row r="3264" spans="1:19" ht="14.25" customHeight="1" x14ac:dyDescent="0.3">
      <c r="A3264" t="s">
        <v>3527</v>
      </c>
      <c r="B3264" t="s">
        <v>4377</v>
      </c>
      <c r="C3264" t="s">
        <v>3538</v>
      </c>
      <c r="D3264" t="s">
        <v>4</v>
      </c>
      <c r="E3264" t="s">
        <v>4045</v>
      </c>
      <c r="F3264" t="s">
        <v>6058</v>
      </c>
      <c r="G3264" s="2" t="str">
        <f>HYPERLINK("https://vk.com/wall454718251_514")</f>
        <v>https://vk.com/wall454718251_514</v>
      </c>
      <c r="H3264" t="s">
        <v>6062</v>
      </c>
      <c r="I3264" t="s">
        <v>4378</v>
      </c>
      <c r="J3264" s="2" t="str">
        <f>HYPERLINK("http://vk.com/id454718251")</f>
        <v>http://vk.com/id454718251</v>
      </c>
      <c r="K3264">
        <v>97</v>
      </c>
      <c r="L3264" t="s">
        <v>6063</v>
      </c>
      <c r="M3264">
        <v>47</v>
      </c>
      <c r="N3264" t="s">
        <v>25</v>
      </c>
      <c r="O3264" t="s">
        <v>4378</v>
      </c>
      <c r="P3264" s="2" t="str">
        <f>HYPERLINK("http://vk.com/id454718251")</f>
        <v>http://vk.com/id454718251</v>
      </c>
      <c r="Q3264">
        <v>97</v>
      </c>
      <c r="R3264" t="s">
        <v>6067</v>
      </c>
    </row>
    <row r="3265" spans="1:19" ht="14.25" customHeight="1" x14ac:dyDescent="0.3">
      <c r="A3265" t="s">
        <v>2225</v>
      </c>
      <c r="B3265" t="s">
        <v>869</v>
      </c>
      <c r="C3265" t="s">
        <v>95</v>
      </c>
      <c r="D3265" t="s">
        <v>4</v>
      </c>
      <c r="E3265" t="s">
        <v>2974</v>
      </c>
      <c r="F3265" t="s">
        <v>6056</v>
      </c>
      <c r="G3265" s="2" t="str">
        <f>HYPERLINK("https://vk.com/wall134405732_6298")</f>
        <v>https://vk.com/wall134405732_6298</v>
      </c>
      <c r="H3265" t="s">
        <v>6062</v>
      </c>
      <c r="I3265" t="s">
        <v>2980</v>
      </c>
      <c r="J3265" s="2" t="str">
        <f>HYPERLINK("http://vk.com/id134405732")</f>
        <v>http://vk.com/id134405732</v>
      </c>
      <c r="K3265">
        <v>3322</v>
      </c>
      <c r="L3265" t="s">
        <v>6063</v>
      </c>
      <c r="N3265" t="s">
        <v>25</v>
      </c>
      <c r="O3265" t="s">
        <v>2980</v>
      </c>
      <c r="P3265" s="2" t="str">
        <f>HYPERLINK("http://vk.com/id134405732")</f>
        <v>http://vk.com/id134405732</v>
      </c>
      <c r="Q3265">
        <v>3322</v>
      </c>
      <c r="R3265" t="s">
        <v>6067</v>
      </c>
      <c r="S3265" t="s">
        <v>6073</v>
      </c>
    </row>
    <row r="3266" spans="1:19" ht="14.25" customHeight="1" x14ac:dyDescent="0.3">
      <c r="A3266" t="s">
        <v>3527</v>
      </c>
      <c r="B3266" t="s">
        <v>3014</v>
      </c>
      <c r="C3266" t="s">
        <v>3538</v>
      </c>
      <c r="D3266" t="s">
        <v>4</v>
      </c>
      <c r="E3266" t="s">
        <v>3625</v>
      </c>
      <c r="F3266" t="s">
        <v>6058</v>
      </c>
      <c r="G3266" s="2" t="str">
        <f>HYPERLINK("https://vk.com/wall431111202_210")</f>
        <v>https://vk.com/wall431111202_210</v>
      </c>
      <c r="H3266" t="s">
        <v>6062</v>
      </c>
      <c r="I3266" t="s">
        <v>3896</v>
      </c>
      <c r="J3266" s="2" t="str">
        <f>HYPERLINK("http://vk.com/id431111202")</f>
        <v>http://vk.com/id431111202</v>
      </c>
      <c r="K3266">
        <v>21</v>
      </c>
      <c r="L3266" t="s">
        <v>6063</v>
      </c>
      <c r="M3266">
        <v>14</v>
      </c>
      <c r="N3266" t="s">
        <v>25</v>
      </c>
      <c r="O3266" t="s">
        <v>3896</v>
      </c>
      <c r="P3266" s="2" t="str">
        <f>HYPERLINK("http://vk.com/id431111202")</f>
        <v>http://vk.com/id431111202</v>
      </c>
      <c r="Q3266">
        <v>21</v>
      </c>
      <c r="R3266" t="s">
        <v>6067</v>
      </c>
      <c r="S3266" t="s">
        <v>6072</v>
      </c>
    </row>
    <row r="3267" spans="1:19" ht="14.25" customHeight="1" x14ac:dyDescent="0.3">
      <c r="A3267" t="s">
        <v>3527</v>
      </c>
      <c r="B3267" t="s">
        <v>1380</v>
      </c>
      <c r="C3267" t="s">
        <v>95</v>
      </c>
      <c r="D3267" t="s">
        <v>4</v>
      </c>
      <c r="E3267" t="s">
        <v>4045</v>
      </c>
      <c r="F3267" t="s">
        <v>6058</v>
      </c>
      <c r="G3267" s="2" t="str">
        <f>HYPERLINK("https://vk.com/wall478028218_11")</f>
        <v>https://vk.com/wall478028218_11</v>
      </c>
      <c r="H3267" t="s">
        <v>6062</v>
      </c>
      <c r="I3267" t="s">
        <v>4222</v>
      </c>
      <c r="J3267" s="2" t="str">
        <f>HYPERLINK("http://vk.com/id478028218")</f>
        <v>http://vk.com/id478028218</v>
      </c>
      <c r="K3267">
        <v>10</v>
      </c>
      <c r="L3267" t="s">
        <v>6063</v>
      </c>
      <c r="M3267">
        <v>30</v>
      </c>
      <c r="N3267" t="s">
        <v>25</v>
      </c>
      <c r="O3267" t="s">
        <v>4222</v>
      </c>
      <c r="P3267" s="2" t="str">
        <f>HYPERLINK("http://vk.com/id478028218")</f>
        <v>http://vk.com/id478028218</v>
      </c>
      <c r="Q3267">
        <v>10</v>
      </c>
      <c r="R3267" t="s">
        <v>6067</v>
      </c>
    </row>
    <row r="3268" spans="1:19" ht="14.25" customHeight="1" x14ac:dyDescent="0.3">
      <c r="A3268" t="s">
        <v>3527</v>
      </c>
      <c r="B3268" t="s">
        <v>895</v>
      </c>
      <c r="C3268" t="s">
        <v>95</v>
      </c>
      <c r="D3268" t="s">
        <v>4</v>
      </c>
      <c r="E3268" t="s">
        <v>3820</v>
      </c>
      <c r="F3268" t="s">
        <v>6058</v>
      </c>
      <c r="G3268" s="2" t="str">
        <f>HYPERLINK("https://vk.com/wall471898800_4")</f>
        <v>https://vk.com/wall471898800_4</v>
      </c>
      <c r="H3268" t="s">
        <v>6062</v>
      </c>
      <c r="I3268" t="s">
        <v>3883</v>
      </c>
      <c r="J3268" s="2" t="str">
        <f>HYPERLINK("http://vk.com/id471898800")</f>
        <v>http://vk.com/id471898800</v>
      </c>
      <c r="K3268">
        <v>1</v>
      </c>
      <c r="L3268" t="s">
        <v>6063</v>
      </c>
      <c r="M3268">
        <v>20</v>
      </c>
      <c r="N3268" t="s">
        <v>25</v>
      </c>
      <c r="O3268" t="s">
        <v>3883</v>
      </c>
      <c r="P3268" s="2" t="str">
        <f>HYPERLINK("http://vk.com/id471898800")</f>
        <v>http://vk.com/id471898800</v>
      </c>
      <c r="Q3268">
        <v>1</v>
      </c>
      <c r="R3268" t="s">
        <v>6067</v>
      </c>
    </row>
    <row r="3269" spans="1:19" ht="14.25" customHeight="1" x14ac:dyDescent="0.3">
      <c r="A3269" t="s">
        <v>3527</v>
      </c>
      <c r="B3269" t="s">
        <v>896</v>
      </c>
      <c r="C3269" t="s">
        <v>95</v>
      </c>
      <c r="D3269" t="s">
        <v>4</v>
      </c>
      <c r="E3269" t="s">
        <v>3792</v>
      </c>
      <c r="F3269" t="s">
        <v>6058</v>
      </c>
      <c r="G3269" s="2" t="str">
        <f>HYPERLINK("https://vk.com/wall273906201_507")</f>
        <v>https://vk.com/wall273906201_507</v>
      </c>
      <c r="H3269" t="s">
        <v>6062</v>
      </c>
      <c r="I3269" t="s">
        <v>3900</v>
      </c>
      <c r="J3269" s="2" t="str">
        <f>HYPERLINK("http://vk.com/id273906201")</f>
        <v>http://vk.com/id273906201</v>
      </c>
      <c r="K3269">
        <v>383</v>
      </c>
      <c r="L3269" t="s">
        <v>6064</v>
      </c>
      <c r="M3269">
        <v>117</v>
      </c>
      <c r="N3269" t="s">
        <v>25</v>
      </c>
      <c r="O3269" t="s">
        <v>3900</v>
      </c>
      <c r="P3269" s="2" t="str">
        <f>HYPERLINK("http://vk.com/id273906201")</f>
        <v>http://vk.com/id273906201</v>
      </c>
      <c r="Q3269">
        <v>383</v>
      </c>
      <c r="R3269" t="s">
        <v>6067</v>
      </c>
      <c r="S3269" t="s">
        <v>6092</v>
      </c>
    </row>
    <row r="3270" spans="1:19" ht="14.25" customHeight="1" x14ac:dyDescent="0.3">
      <c r="A3270" t="s">
        <v>2225</v>
      </c>
      <c r="B3270" t="s">
        <v>3259</v>
      </c>
      <c r="C3270" t="s">
        <v>95</v>
      </c>
      <c r="D3270" t="s">
        <v>4</v>
      </c>
      <c r="E3270" t="s">
        <v>3260</v>
      </c>
      <c r="F3270" t="s">
        <v>6056</v>
      </c>
      <c r="G3270" s="2" t="str">
        <f>HYPERLINK("https://vk.com/wall278670036_437")</f>
        <v>https://vk.com/wall278670036_437</v>
      </c>
      <c r="H3270" t="s">
        <v>6062</v>
      </c>
      <c r="I3270" t="s">
        <v>3261</v>
      </c>
      <c r="J3270" s="2" t="str">
        <f>HYPERLINK("http://vk.com/id278670036")</f>
        <v>http://vk.com/id278670036</v>
      </c>
      <c r="K3270">
        <v>8</v>
      </c>
      <c r="L3270" t="s">
        <v>6063</v>
      </c>
      <c r="N3270" t="s">
        <v>25</v>
      </c>
      <c r="O3270" t="s">
        <v>3261</v>
      </c>
      <c r="P3270" s="2" t="str">
        <f>HYPERLINK("http://vk.com/id278670036")</f>
        <v>http://vk.com/id278670036</v>
      </c>
      <c r="Q3270">
        <v>8</v>
      </c>
      <c r="R3270" t="s">
        <v>6067</v>
      </c>
      <c r="S3270" t="s">
        <v>6073</v>
      </c>
    </row>
    <row r="3271" spans="1:19" ht="14.25" customHeight="1" x14ac:dyDescent="0.3">
      <c r="A3271" t="s">
        <v>3527</v>
      </c>
      <c r="B3271" t="s">
        <v>1155</v>
      </c>
      <c r="C3271" t="s">
        <v>95</v>
      </c>
      <c r="D3271" t="s">
        <v>4</v>
      </c>
      <c r="E3271" t="s">
        <v>4112</v>
      </c>
      <c r="F3271" t="s">
        <v>6056</v>
      </c>
      <c r="G3271" s="2" t="str">
        <f>HYPERLINK("https://vk.com/wall163600339_5097")</f>
        <v>https://vk.com/wall163600339_5097</v>
      </c>
      <c r="H3271" t="s">
        <v>6062</v>
      </c>
      <c r="I3271" t="s">
        <v>4113</v>
      </c>
      <c r="J3271" s="2" t="str">
        <f>HYPERLINK("http://vk.com/id163600339")</f>
        <v>http://vk.com/id163600339</v>
      </c>
      <c r="K3271">
        <v>604</v>
      </c>
      <c r="L3271" t="s">
        <v>6063</v>
      </c>
      <c r="N3271" t="s">
        <v>25</v>
      </c>
      <c r="O3271" t="s">
        <v>4113</v>
      </c>
      <c r="P3271" s="2" t="str">
        <f>HYPERLINK("http://vk.com/id163600339")</f>
        <v>http://vk.com/id163600339</v>
      </c>
      <c r="Q3271">
        <v>604</v>
      </c>
      <c r="R3271" t="s">
        <v>6067</v>
      </c>
      <c r="S3271" t="s">
        <v>6073</v>
      </c>
    </row>
    <row r="3272" spans="1:19" ht="14.25" customHeight="1" x14ac:dyDescent="0.3">
      <c r="A3272" t="s">
        <v>5409</v>
      </c>
      <c r="B3272" t="s">
        <v>3345</v>
      </c>
      <c r="C3272" t="s">
        <v>3538</v>
      </c>
      <c r="D3272" t="s">
        <v>4</v>
      </c>
      <c r="E3272" t="s">
        <v>5811</v>
      </c>
      <c r="F3272" t="s">
        <v>6056</v>
      </c>
      <c r="G3272" s="2" t="str">
        <f>HYPERLINK("https://vk.com/wall12314483_8741")</f>
        <v>https://vk.com/wall12314483_8741</v>
      </c>
      <c r="H3272" t="s">
        <v>6062</v>
      </c>
      <c r="I3272" t="s">
        <v>5813</v>
      </c>
      <c r="J3272" s="2" t="str">
        <f>HYPERLINK("http://vk.com/id12314483")</f>
        <v>http://vk.com/id12314483</v>
      </c>
      <c r="K3272">
        <v>1768</v>
      </c>
      <c r="L3272" t="s">
        <v>6064</v>
      </c>
      <c r="N3272" t="s">
        <v>25</v>
      </c>
      <c r="O3272" t="s">
        <v>5813</v>
      </c>
      <c r="P3272" s="2" t="str">
        <f>HYPERLINK("http://vk.com/id12314483")</f>
        <v>http://vk.com/id12314483</v>
      </c>
      <c r="Q3272">
        <v>1768</v>
      </c>
      <c r="R3272" t="s">
        <v>6067</v>
      </c>
      <c r="S3272" t="s">
        <v>6073</v>
      </c>
    </row>
    <row r="3273" spans="1:19" ht="14.25" customHeight="1" x14ac:dyDescent="0.3">
      <c r="A3273" t="s">
        <v>2225</v>
      </c>
      <c r="B3273" t="s">
        <v>3256</v>
      </c>
      <c r="C3273" t="s">
        <v>95</v>
      </c>
      <c r="D3273" t="s">
        <v>4</v>
      </c>
      <c r="E3273" t="s">
        <v>3257</v>
      </c>
      <c r="F3273" t="s">
        <v>6056</v>
      </c>
      <c r="G3273" s="2" t="str">
        <f>HYPERLINK("https://vk.com/wall137117565_3165")</f>
        <v>https://vk.com/wall137117565_3165</v>
      </c>
      <c r="H3273" t="s">
        <v>6062</v>
      </c>
      <c r="I3273" t="s">
        <v>3258</v>
      </c>
      <c r="J3273" s="2" t="str">
        <f>HYPERLINK("http://vk.com/id137117565")</f>
        <v>http://vk.com/id137117565</v>
      </c>
      <c r="K3273">
        <v>555</v>
      </c>
      <c r="L3273" t="s">
        <v>6064</v>
      </c>
      <c r="M3273">
        <v>19</v>
      </c>
      <c r="N3273" t="s">
        <v>25</v>
      </c>
      <c r="O3273" t="s">
        <v>3258</v>
      </c>
      <c r="P3273" s="2" t="str">
        <f>HYPERLINK("http://vk.com/id137117565")</f>
        <v>http://vk.com/id137117565</v>
      </c>
      <c r="Q3273">
        <v>555</v>
      </c>
      <c r="R3273" t="s">
        <v>6067</v>
      </c>
      <c r="S3273" t="s">
        <v>6097</v>
      </c>
    </row>
    <row r="3274" spans="1:19" ht="14.25" customHeight="1" x14ac:dyDescent="0.3">
      <c r="A3274" t="s">
        <v>3527</v>
      </c>
      <c r="B3274" t="s">
        <v>529</v>
      </c>
      <c r="C3274" t="s">
        <v>3538</v>
      </c>
      <c r="D3274" t="s">
        <v>4</v>
      </c>
      <c r="E3274" t="s">
        <v>4045</v>
      </c>
      <c r="F3274" t="s">
        <v>6058</v>
      </c>
      <c r="G3274" s="2" t="str">
        <f>HYPERLINK("https://vk.com/wall465028886_65")</f>
        <v>https://vk.com/wall465028886_65</v>
      </c>
      <c r="H3274" t="s">
        <v>6062</v>
      </c>
      <c r="I3274" t="s">
        <v>4385</v>
      </c>
      <c r="J3274" s="2" t="str">
        <f>HYPERLINK("http://vk.com/id465028886")</f>
        <v>http://vk.com/id465028886</v>
      </c>
      <c r="K3274">
        <v>124</v>
      </c>
      <c r="L3274" t="s">
        <v>6064</v>
      </c>
      <c r="M3274">
        <v>19</v>
      </c>
      <c r="N3274" t="s">
        <v>25</v>
      </c>
      <c r="O3274" t="s">
        <v>4385</v>
      </c>
      <c r="P3274" s="2" t="str">
        <f>HYPERLINK("http://vk.com/id465028886")</f>
        <v>http://vk.com/id465028886</v>
      </c>
      <c r="Q3274">
        <v>124</v>
      </c>
      <c r="R3274" t="s">
        <v>6067</v>
      </c>
      <c r="S3274" t="s">
        <v>6072</v>
      </c>
    </row>
    <row r="3275" spans="1:19" ht="14.25" customHeight="1" x14ac:dyDescent="0.3">
      <c r="A3275" t="s">
        <v>3527</v>
      </c>
      <c r="B3275" t="s">
        <v>4236</v>
      </c>
      <c r="C3275" t="s">
        <v>3538</v>
      </c>
      <c r="D3275" t="s">
        <v>4</v>
      </c>
      <c r="E3275" t="s">
        <v>4045</v>
      </c>
      <c r="F3275" t="s">
        <v>6058</v>
      </c>
      <c r="G3275" s="2" t="str">
        <f>HYPERLINK("https://vk.com/wall436929477_144")</f>
        <v>https://vk.com/wall436929477_144</v>
      </c>
      <c r="H3275" t="s">
        <v>6062</v>
      </c>
      <c r="I3275" t="s">
        <v>4238</v>
      </c>
      <c r="J3275" s="2" t="str">
        <f>HYPERLINK("http://vk.com/id436929477")</f>
        <v>http://vk.com/id436929477</v>
      </c>
      <c r="K3275">
        <v>19</v>
      </c>
      <c r="L3275" t="s">
        <v>6064</v>
      </c>
      <c r="N3275" t="s">
        <v>25</v>
      </c>
      <c r="O3275" t="s">
        <v>4238</v>
      </c>
      <c r="P3275" s="2" t="str">
        <f>HYPERLINK("http://vk.com/id436929477")</f>
        <v>http://vk.com/id436929477</v>
      </c>
      <c r="Q3275">
        <v>19</v>
      </c>
      <c r="R3275" t="s">
        <v>6067</v>
      </c>
      <c r="S3275" t="s">
        <v>6083</v>
      </c>
    </row>
    <row r="3276" spans="1:19" ht="14.25" customHeight="1" x14ac:dyDescent="0.3">
      <c r="A3276" t="s">
        <v>3527</v>
      </c>
      <c r="B3276" t="s">
        <v>3925</v>
      </c>
      <c r="C3276" t="s">
        <v>95</v>
      </c>
      <c r="D3276" t="s">
        <v>4</v>
      </c>
      <c r="E3276" t="s">
        <v>3820</v>
      </c>
      <c r="F3276" t="s">
        <v>6058</v>
      </c>
      <c r="G3276" s="2" t="str">
        <f>HYPERLINK("https://vk.com/wall214584116_1073")</f>
        <v>https://vk.com/wall214584116_1073</v>
      </c>
      <c r="H3276" t="s">
        <v>6062</v>
      </c>
      <c r="I3276" t="s">
        <v>3926</v>
      </c>
      <c r="J3276" s="2" t="str">
        <f>HYPERLINK("http://vk.com/id214584116")</f>
        <v>http://vk.com/id214584116</v>
      </c>
      <c r="K3276">
        <v>151</v>
      </c>
      <c r="L3276" t="s">
        <v>6063</v>
      </c>
      <c r="N3276" t="s">
        <v>25</v>
      </c>
      <c r="O3276" t="s">
        <v>3926</v>
      </c>
      <c r="P3276" s="2" t="str">
        <f>HYPERLINK("http://vk.com/id214584116")</f>
        <v>http://vk.com/id214584116</v>
      </c>
      <c r="Q3276">
        <v>151</v>
      </c>
      <c r="R3276" t="s">
        <v>6067</v>
      </c>
    </row>
    <row r="3277" spans="1:19" ht="14.25" customHeight="1" x14ac:dyDescent="0.3">
      <c r="A3277" t="s">
        <v>3527</v>
      </c>
      <c r="B3277" t="s">
        <v>977</v>
      </c>
      <c r="C3277" t="s">
        <v>3538</v>
      </c>
      <c r="D3277" t="s">
        <v>4</v>
      </c>
      <c r="E3277" t="s">
        <v>3792</v>
      </c>
      <c r="F3277" t="s">
        <v>6058</v>
      </c>
      <c r="G3277" s="2" t="str">
        <f>HYPERLINK("https://vk.com/wall474345198_89")</f>
        <v>https://vk.com/wall474345198_89</v>
      </c>
      <c r="H3277" t="s">
        <v>6062</v>
      </c>
      <c r="I3277" t="s">
        <v>4006</v>
      </c>
      <c r="J3277" s="2" t="str">
        <f>HYPERLINK("http://vk.com/id474345198")</f>
        <v>http://vk.com/id474345198</v>
      </c>
      <c r="K3277">
        <v>0</v>
      </c>
      <c r="L3277" t="s">
        <v>6063</v>
      </c>
      <c r="M3277">
        <v>13</v>
      </c>
      <c r="N3277" t="s">
        <v>25</v>
      </c>
      <c r="O3277" t="s">
        <v>4006</v>
      </c>
      <c r="P3277" s="2" t="str">
        <f>HYPERLINK("http://vk.com/id474345198")</f>
        <v>http://vk.com/id474345198</v>
      </c>
      <c r="Q3277">
        <v>0</v>
      </c>
      <c r="R3277" t="s">
        <v>6067</v>
      </c>
      <c r="S3277" t="s">
        <v>6073</v>
      </c>
    </row>
    <row r="3278" spans="1:19" ht="14.25" customHeight="1" x14ac:dyDescent="0.3">
      <c r="A3278" t="s">
        <v>3527</v>
      </c>
      <c r="B3278" t="s">
        <v>3960</v>
      </c>
      <c r="C3278" t="s">
        <v>3538</v>
      </c>
      <c r="D3278" t="s">
        <v>4</v>
      </c>
      <c r="E3278" t="s">
        <v>3792</v>
      </c>
      <c r="F3278" t="s">
        <v>6058</v>
      </c>
      <c r="G3278" s="2" t="str">
        <f>HYPERLINK("https://vk.com/wall460706440_253")</f>
        <v>https://vk.com/wall460706440_253</v>
      </c>
      <c r="H3278" t="s">
        <v>6062</v>
      </c>
      <c r="I3278" t="s">
        <v>3531</v>
      </c>
      <c r="J3278" s="2" t="str">
        <f>HYPERLINK("http://vk.com/id460706440")</f>
        <v>http://vk.com/id460706440</v>
      </c>
      <c r="K3278">
        <v>0</v>
      </c>
      <c r="L3278" t="s">
        <v>6063</v>
      </c>
      <c r="M3278">
        <v>24</v>
      </c>
      <c r="N3278" t="s">
        <v>25</v>
      </c>
      <c r="O3278" t="s">
        <v>3531</v>
      </c>
      <c r="P3278" s="2" t="str">
        <f>HYPERLINK("http://vk.com/id460706440")</f>
        <v>http://vk.com/id460706440</v>
      </c>
      <c r="Q3278">
        <v>0</v>
      </c>
      <c r="R3278" t="s">
        <v>6067</v>
      </c>
      <c r="S3278" t="s">
        <v>6077</v>
      </c>
    </row>
    <row r="3279" spans="1:19" ht="14.25" customHeight="1" x14ac:dyDescent="0.3">
      <c r="A3279" t="s">
        <v>3527</v>
      </c>
      <c r="B3279" t="s">
        <v>2234</v>
      </c>
      <c r="C3279" t="s">
        <v>95</v>
      </c>
      <c r="D3279" t="s">
        <v>4</v>
      </c>
      <c r="E3279" t="s">
        <v>3517</v>
      </c>
      <c r="F3279" t="s">
        <v>6058</v>
      </c>
      <c r="G3279" s="2" t="str">
        <f>HYPERLINK("https://vk.com/wall460706440_262")</f>
        <v>https://vk.com/wall460706440_262</v>
      </c>
      <c r="H3279" t="s">
        <v>6062</v>
      </c>
      <c r="I3279" t="s">
        <v>3531</v>
      </c>
      <c r="J3279" s="2" t="str">
        <f>HYPERLINK("http://vk.com/id460706440")</f>
        <v>http://vk.com/id460706440</v>
      </c>
      <c r="K3279">
        <v>0</v>
      </c>
      <c r="L3279" t="s">
        <v>6063</v>
      </c>
      <c r="M3279">
        <v>24</v>
      </c>
      <c r="N3279" t="s">
        <v>25</v>
      </c>
      <c r="O3279" t="s">
        <v>3531</v>
      </c>
      <c r="P3279" s="2" t="str">
        <f>HYPERLINK("http://vk.com/id460706440")</f>
        <v>http://vk.com/id460706440</v>
      </c>
      <c r="Q3279">
        <v>0</v>
      </c>
      <c r="R3279" t="s">
        <v>6067</v>
      </c>
      <c r="S3279" t="s">
        <v>6077</v>
      </c>
    </row>
    <row r="3280" spans="1:19" ht="14.25" customHeight="1" x14ac:dyDescent="0.3">
      <c r="A3280" t="s">
        <v>5409</v>
      </c>
      <c r="B3280" t="s">
        <v>54</v>
      </c>
      <c r="C3280" t="s">
        <v>3538</v>
      </c>
      <c r="D3280" t="s">
        <v>4</v>
      </c>
      <c r="E3280" t="s">
        <v>5704</v>
      </c>
      <c r="F3280" t="s">
        <v>6056</v>
      </c>
      <c r="G3280" s="2" t="str">
        <f>HYPERLINK("https://vk.com/wall148575292_2702")</f>
        <v>https://vk.com/wall148575292_2702</v>
      </c>
      <c r="H3280" t="s">
        <v>6062</v>
      </c>
      <c r="I3280" t="s">
        <v>5705</v>
      </c>
      <c r="J3280" s="2" t="str">
        <f>HYPERLINK("http://vk.com/id148575292")</f>
        <v>http://vk.com/id148575292</v>
      </c>
      <c r="K3280">
        <v>595</v>
      </c>
      <c r="L3280" t="s">
        <v>6063</v>
      </c>
      <c r="N3280" t="s">
        <v>25</v>
      </c>
      <c r="O3280" t="s">
        <v>5705</v>
      </c>
      <c r="P3280" s="2" t="str">
        <f>HYPERLINK("http://vk.com/id148575292")</f>
        <v>http://vk.com/id148575292</v>
      </c>
      <c r="Q3280">
        <v>595</v>
      </c>
      <c r="R3280" t="s">
        <v>6067</v>
      </c>
      <c r="S3280" t="s">
        <v>6073</v>
      </c>
    </row>
    <row r="3281" spans="1:19" ht="14.25" customHeight="1" x14ac:dyDescent="0.3">
      <c r="A3281" t="s">
        <v>3527</v>
      </c>
      <c r="B3281" t="s">
        <v>4013</v>
      </c>
      <c r="C3281" t="s">
        <v>95</v>
      </c>
      <c r="D3281" t="s">
        <v>4</v>
      </c>
      <c r="E3281" t="s">
        <v>3820</v>
      </c>
      <c r="F3281" t="s">
        <v>6058</v>
      </c>
      <c r="G3281" s="2" t="str">
        <f>HYPERLINK("https://vk.com/wall479240876_193")</f>
        <v>https://vk.com/wall479240876_193</v>
      </c>
      <c r="H3281" t="s">
        <v>6062</v>
      </c>
      <c r="I3281" t="s">
        <v>4015</v>
      </c>
      <c r="J3281" s="2" t="str">
        <f>HYPERLINK("http://vk.com/id479240876")</f>
        <v>http://vk.com/id479240876</v>
      </c>
      <c r="K3281">
        <v>8</v>
      </c>
      <c r="L3281" t="s">
        <v>6063</v>
      </c>
      <c r="N3281" t="s">
        <v>25</v>
      </c>
      <c r="O3281" t="s">
        <v>4015</v>
      </c>
      <c r="P3281" s="2" t="str">
        <f>HYPERLINK("http://vk.com/id479240876")</f>
        <v>http://vk.com/id479240876</v>
      </c>
      <c r="Q3281">
        <v>8</v>
      </c>
      <c r="R3281" t="s">
        <v>6067</v>
      </c>
      <c r="S3281" t="s">
        <v>6072</v>
      </c>
    </row>
    <row r="3282" spans="1:19" ht="14.25" customHeight="1" x14ac:dyDescent="0.3">
      <c r="A3282" t="s">
        <v>3527</v>
      </c>
      <c r="B3282" t="s">
        <v>959</v>
      </c>
      <c r="C3282" t="s">
        <v>3538</v>
      </c>
      <c r="D3282" t="s">
        <v>4</v>
      </c>
      <c r="E3282" t="s">
        <v>3625</v>
      </c>
      <c r="F3282" t="s">
        <v>6058</v>
      </c>
      <c r="G3282" s="2" t="str">
        <f>HYPERLINK("https://vk.com/wall437422106_185")</f>
        <v>https://vk.com/wall437422106_185</v>
      </c>
      <c r="H3282" t="s">
        <v>6062</v>
      </c>
      <c r="I3282" t="s">
        <v>3987</v>
      </c>
      <c r="J3282" s="2" t="str">
        <f>HYPERLINK("http://vk.com/id437422106")</f>
        <v>http://vk.com/id437422106</v>
      </c>
      <c r="K3282">
        <v>0</v>
      </c>
      <c r="L3282" t="s">
        <v>6064</v>
      </c>
      <c r="M3282">
        <v>14</v>
      </c>
      <c r="N3282" t="s">
        <v>25</v>
      </c>
      <c r="O3282" t="s">
        <v>3987</v>
      </c>
      <c r="P3282" s="2" t="str">
        <f>HYPERLINK("http://vk.com/id437422106")</f>
        <v>http://vk.com/id437422106</v>
      </c>
      <c r="Q3282">
        <v>0</v>
      </c>
      <c r="R3282" t="s">
        <v>6067</v>
      </c>
      <c r="S3282" t="s">
        <v>6073</v>
      </c>
    </row>
    <row r="3283" spans="1:19" ht="14.25" customHeight="1" x14ac:dyDescent="0.3">
      <c r="A3283" t="s">
        <v>3527</v>
      </c>
      <c r="B3283" t="s">
        <v>3944</v>
      </c>
      <c r="C3283" t="s">
        <v>95</v>
      </c>
      <c r="D3283" t="s">
        <v>4</v>
      </c>
      <c r="E3283" t="s">
        <v>3625</v>
      </c>
      <c r="F3283" t="s">
        <v>6058</v>
      </c>
      <c r="G3283" s="2" t="str">
        <f>HYPERLINK("https://vk.com/wall462901425_470")</f>
        <v>https://vk.com/wall462901425_470</v>
      </c>
      <c r="H3283" t="s">
        <v>6062</v>
      </c>
      <c r="I3283" t="s">
        <v>3945</v>
      </c>
      <c r="J3283" s="2" t="str">
        <f>HYPERLINK("http://vk.com/id462901425")</f>
        <v>http://vk.com/id462901425</v>
      </c>
      <c r="K3283">
        <v>51</v>
      </c>
      <c r="L3283" t="s">
        <v>6063</v>
      </c>
      <c r="M3283">
        <v>17</v>
      </c>
      <c r="N3283" t="s">
        <v>25</v>
      </c>
      <c r="O3283" t="s">
        <v>3945</v>
      </c>
      <c r="P3283" s="2" t="str">
        <f>HYPERLINK("http://vk.com/id462901425")</f>
        <v>http://vk.com/id462901425</v>
      </c>
      <c r="Q3283">
        <v>51</v>
      </c>
      <c r="R3283" t="s">
        <v>6067</v>
      </c>
      <c r="S3283" t="s">
        <v>6072</v>
      </c>
    </row>
    <row r="3284" spans="1:19" ht="14.25" customHeight="1" x14ac:dyDescent="0.3">
      <c r="A3284" t="s">
        <v>4439</v>
      </c>
      <c r="B3284" t="s">
        <v>2422</v>
      </c>
      <c r="C3284" t="s">
        <v>3538</v>
      </c>
      <c r="D3284" t="s">
        <v>4</v>
      </c>
      <c r="E3284" t="s">
        <v>3706</v>
      </c>
      <c r="F3284" t="s">
        <v>6058</v>
      </c>
      <c r="G3284" s="2" t="str">
        <f>HYPERLINK("https://vk.com/wall100184641_1904")</f>
        <v>https://vk.com/wall100184641_1904</v>
      </c>
      <c r="H3284" t="s">
        <v>6062</v>
      </c>
      <c r="I3284" t="s">
        <v>4485</v>
      </c>
      <c r="J3284" s="2" t="str">
        <f>HYPERLINK("http://vk.com/id100184641")</f>
        <v>http://vk.com/id100184641</v>
      </c>
      <c r="K3284">
        <v>1471</v>
      </c>
      <c r="L3284" t="s">
        <v>6063</v>
      </c>
      <c r="M3284">
        <v>32</v>
      </c>
      <c r="N3284" t="s">
        <v>25</v>
      </c>
      <c r="O3284" t="s">
        <v>4485</v>
      </c>
      <c r="P3284" s="2" t="str">
        <f>HYPERLINK("http://vk.com/id100184641")</f>
        <v>http://vk.com/id100184641</v>
      </c>
      <c r="Q3284">
        <v>1471</v>
      </c>
      <c r="R3284" t="s">
        <v>6067</v>
      </c>
      <c r="S3284" t="s">
        <v>6072</v>
      </c>
    </row>
    <row r="3285" spans="1:19" ht="14.25" customHeight="1" x14ac:dyDescent="0.3">
      <c r="A3285" t="s">
        <v>3527</v>
      </c>
      <c r="B3285" t="s">
        <v>3884</v>
      </c>
      <c r="C3285" t="s">
        <v>95</v>
      </c>
      <c r="D3285" t="s">
        <v>4</v>
      </c>
      <c r="E3285" t="s">
        <v>3792</v>
      </c>
      <c r="F3285" t="s">
        <v>6058</v>
      </c>
      <c r="G3285" s="2" t="str">
        <f>HYPERLINK("https://vk.com/wall472591152_194")</f>
        <v>https://vk.com/wall472591152_194</v>
      </c>
      <c r="H3285" t="s">
        <v>6062</v>
      </c>
      <c r="I3285" t="s">
        <v>3837</v>
      </c>
      <c r="J3285" s="2" t="str">
        <f>HYPERLINK("http://vk.com/id472591152")</f>
        <v>http://vk.com/id472591152</v>
      </c>
      <c r="K3285">
        <v>1</v>
      </c>
      <c r="L3285" t="s">
        <v>6063</v>
      </c>
      <c r="M3285">
        <v>46</v>
      </c>
      <c r="N3285" t="s">
        <v>25</v>
      </c>
      <c r="O3285" t="s">
        <v>3837</v>
      </c>
      <c r="P3285" s="2" t="str">
        <f>HYPERLINK("http://vk.com/id472591152")</f>
        <v>http://vk.com/id472591152</v>
      </c>
      <c r="Q3285">
        <v>1</v>
      </c>
      <c r="R3285" t="s">
        <v>6067</v>
      </c>
    </row>
    <row r="3286" spans="1:19" ht="14.25" customHeight="1" x14ac:dyDescent="0.3">
      <c r="A3286" t="s">
        <v>3527</v>
      </c>
      <c r="B3286" t="s">
        <v>3835</v>
      </c>
      <c r="C3286" t="s">
        <v>95</v>
      </c>
      <c r="D3286" t="s">
        <v>4</v>
      </c>
      <c r="E3286" t="s">
        <v>3820</v>
      </c>
      <c r="F3286" t="s">
        <v>6058</v>
      </c>
      <c r="G3286" s="2" t="str">
        <f>HYPERLINK("https://vk.com/wall472591152_199")</f>
        <v>https://vk.com/wall472591152_199</v>
      </c>
      <c r="H3286" t="s">
        <v>6062</v>
      </c>
      <c r="I3286" t="s">
        <v>3837</v>
      </c>
      <c r="J3286" s="2" t="str">
        <f>HYPERLINK("http://vk.com/id472591152")</f>
        <v>http://vk.com/id472591152</v>
      </c>
      <c r="K3286">
        <v>1</v>
      </c>
      <c r="L3286" t="s">
        <v>6063</v>
      </c>
      <c r="M3286">
        <v>46</v>
      </c>
      <c r="N3286" t="s">
        <v>25</v>
      </c>
      <c r="O3286" t="s">
        <v>3837</v>
      </c>
      <c r="P3286" s="2" t="str">
        <f>HYPERLINK("http://vk.com/id472591152")</f>
        <v>http://vk.com/id472591152</v>
      </c>
      <c r="Q3286">
        <v>1</v>
      </c>
      <c r="R3286" t="s">
        <v>6067</v>
      </c>
    </row>
    <row r="3287" spans="1:19" ht="14.25" customHeight="1" x14ac:dyDescent="0.3">
      <c r="A3287" t="s">
        <v>629</v>
      </c>
      <c r="B3287" t="s">
        <v>1396</v>
      </c>
      <c r="C3287" t="s">
        <v>95</v>
      </c>
      <c r="D3287" t="s">
        <v>4</v>
      </c>
      <c r="E3287" t="s">
        <v>1397</v>
      </c>
      <c r="F3287" t="s">
        <v>6056</v>
      </c>
      <c r="G3287" s="2" t="str">
        <f>HYPERLINK("https://vk.com/wall218332500_791")</f>
        <v>https://vk.com/wall218332500_791</v>
      </c>
      <c r="H3287" t="s">
        <v>6062</v>
      </c>
      <c r="I3287" t="s">
        <v>1398</v>
      </c>
      <c r="J3287" s="2" t="str">
        <f>HYPERLINK("http://vk.com/id218332500")</f>
        <v>http://vk.com/id218332500</v>
      </c>
      <c r="K3287">
        <v>354</v>
      </c>
      <c r="L3287" t="s">
        <v>6063</v>
      </c>
      <c r="M3287">
        <v>16</v>
      </c>
      <c r="N3287" t="s">
        <v>25</v>
      </c>
      <c r="O3287" t="s">
        <v>1398</v>
      </c>
      <c r="P3287" s="2" t="str">
        <f>HYPERLINK("http://vk.com/id218332500")</f>
        <v>http://vk.com/id218332500</v>
      </c>
      <c r="Q3287">
        <v>354</v>
      </c>
      <c r="R3287" t="s">
        <v>6067</v>
      </c>
      <c r="S3287" t="s">
        <v>6073</v>
      </c>
    </row>
    <row r="3288" spans="1:19" ht="14.25" customHeight="1" x14ac:dyDescent="0.3">
      <c r="A3288" t="s">
        <v>4439</v>
      </c>
      <c r="B3288" t="s">
        <v>1527</v>
      </c>
      <c r="C3288" t="s">
        <v>3538</v>
      </c>
      <c r="D3288" t="s">
        <v>4776</v>
      </c>
      <c r="E3288" t="s">
        <v>4777</v>
      </c>
      <c r="F3288" t="s">
        <v>6059</v>
      </c>
      <c r="G3288" s="2" t="str">
        <f>HYPERLINK("https://vk.com/wall-88788175_52601")</f>
        <v>https://vk.com/wall-88788175_52601</v>
      </c>
      <c r="H3288" t="s">
        <v>6062</v>
      </c>
      <c r="I3288" t="s">
        <v>4778</v>
      </c>
      <c r="J3288" s="2" t="str">
        <f>HYPERLINK("http://vk.com/id153408238")</f>
        <v>http://vk.com/id153408238</v>
      </c>
      <c r="K3288">
        <v>739</v>
      </c>
      <c r="L3288" t="s">
        <v>6063</v>
      </c>
      <c r="N3288" t="s">
        <v>25</v>
      </c>
      <c r="O3288" t="s">
        <v>4779</v>
      </c>
      <c r="P3288" s="2" t="str">
        <f>HYPERLINK("http://vk.com/club88788175")</f>
        <v>http://vk.com/club88788175</v>
      </c>
      <c r="Q3288">
        <v>15052</v>
      </c>
      <c r="R3288" t="s">
        <v>6067</v>
      </c>
      <c r="S3288" t="s">
        <v>6103</v>
      </c>
    </row>
    <row r="3289" spans="1:19" ht="14.25" customHeight="1" x14ac:dyDescent="0.3">
      <c r="A3289" t="s">
        <v>2225</v>
      </c>
      <c r="B3289" t="s">
        <v>2949</v>
      </c>
      <c r="C3289" t="s">
        <v>95</v>
      </c>
      <c r="D3289" t="s">
        <v>4</v>
      </c>
      <c r="E3289" t="s">
        <v>2952</v>
      </c>
      <c r="F3289" t="s">
        <v>6056</v>
      </c>
      <c r="G3289" s="2" t="str">
        <f>HYPERLINK("https://vk.com/wall134334261_1573")</f>
        <v>https://vk.com/wall134334261_1573</v>
      </c>
      <c r="H3289" t="s">
        <v>6062</v>
      </c>
      <c r="I3289" t="s">
        <v>2953</v>
      </c>
      <c r="J3289" s="2" t="str">
        <f>HYPERLINK("http://vk.com/id134334261")</f>
        <v>http://vk.com/id134334261</v>
      </c>
      <c r="K3289">
        <v>377</v>
      </c>
      <c r="L3289" t="s">
        <v>6063</v>
      </c>
      <c r="M3289">
        <v>21</v>
      </c>
      <c r="N3289" t="s">
        <v>25</v>
      </c>
      <c r="O3289" t="s">
        <v>2953</v>
      </c>
      <c r="P3289" s="2" t="str">
        <f>HYPERLINK("http://vk.com/id134334261")</f>
        <v>http://vk.com/id134334261</v>
      </c>
      <c r="Q3289">
        <v>377</v>
      </c>
      <c r="R3289" t="s">
        <v>6067</v>
      </c>
      <c r="S3289" t="s">
        <v>6073</v>
      </c>
    </row>
    <row r="3290" spans="1:19" ht="14.25" customHeight="1" x14ac:dyDescent="0.3">
      <c r="A3290" t="s">
        <v>3527</v>
      </c>
      <c r="B3290" t="s">
        <v>4379</v>
      </c>
      <c r="C3290" t="s">
        <v>3538</v>
      </c>
      <c r="D3290" t="s">
        <v>4</v>
      </c>
      <c r="E3290" t="s">
        <v>4045</v>
      </c>
      <c r="F3290" t="s">
        <v>6058</v>
      </c>
      <c r="G3290" s="2" t="str">
        <f>HYPERLINK("https://vk.com/wall463410249_83")</f>
        <v>https://vk.com/wall463410249_83</v>
      </c>
      <c r="H3290" t="s">
        <v>6062</v>
      </c>
      <c r="I3290" t="s">
        <v>4380</v>
      </c>
      <c r="J3290" s="2" t="str">
        <f>HYPERLINK("http://vk.com/id463410249")</f>
        <v>http://vk.com/id463410249</v>
      </c>
      <c r="K3290">
        <v>3</v>
      </c>
      <c r="L3290" t="s">
        <v>6063</v>
      </c>
      <c r="N3290" t="s">
        <v>25</v>
      </c>
      <c r="O3290" t="s">
        <v>4380</v>
      </c>
      <c r="P3290" s="2" t="str">
        <f>HYPERLINK("http://vk.com/id463410249")</f>
        <v>http://vk.com/id463410249</v>
      </c>
      <c r="Q3290">
        <v>3</v>
      </c>
      <c r="R3290" t="s">
        <v>6067</v>
      </c>
      <c r="S3290" t="s">
        <v>6072</v>
      </c>
    </row>
    <row r="3291" spans="1:19" ht="14.25" customHeight="1" x14ac:dyDescent="0.3">
      <c r="A3291" t="s">
        <v>2225</v>
      </c>
      <c r="B3291" t="s">
        <v>903</v>
      </c>
      <c r="C3291" t="s">
        <v>95</v>
      </c>
      <c r="D3291" t="s">
        <v>4</v>
      </c>
      <c r="E3291" t="s">
        <v>3031</v>
      </c>
      <c r="F3291" t="s">
        <v>6056</v>
      </c>
      <c r="G3291" s="2" t="str">
        <f>HYPERLINK("https://vk.com/wall141880771_1022")</f>
        <v>https://vk.com/wall141880771_1022</v>
      </c>
      <c r="H3291" t="s">
        <v>6062</v>
      </c>
      <c r="I3291" t="s">
        <v>3032</v>
      </c>
      <c r="J3291" s="2" t="str">
        <f>HYPERLINK("http://vk.com/id141880771")</f>
        <v>http://vk.com/id141880771</v>
      </c>
      <c r="K3291">
        <v>105</v>
      </c>
      <c r="L3291" t="s">
        <v>6063</v>
      </c>
      <c r="N3291" t="s">
        <v>25</v>
      </c>
      <c r="O3291" t="s">
        <v>3032</v>
      </c>
      <c r="P3291" s="2" t="str">
        <f>HYPERLINK("http://vk.com/id141880771")</f>
        <v>http://vk.com/id141880771</v>
      </c>
      <c r="Q3291">
        <v>105</v>
      </c>
      <c r="R3291" t="s">
        <v>6067</v>
      </c>
      <c r="S3291" t="s">
        <v>6073</v>
      </c>
    </row>
    <row r="3292" spans="1:19" ht="14.25" customHeight="1" x14ac:dyDescent="0.3">
      <c r="A3292" t="s">
        <v>4995</v>
      </c>
      <c r="B3292" t="s">
        <v>780</v>
      </c>
      <c r="C3292" t="s">
        <v>3538</v>
      </c>
      <c r="D3292" t="s">
        <v>5059</v>
      </c>
      <c r="E3292" t="s">
        <v>3031</v>
      </c>
      <c r="F3292" t="s">
        <v>6059</v>
      </c>
      <c r="G3292" s="2" t="str">
        <f>HYPERLINK("https://vk.com/wall-57863879_2092350")</f>
        <v>https://vk.com/wall-57863879_2092350</v>
      </c>
      <c r="H3292" t="s">
        <v>6062</v>
      </c>
      <c r="I3292" t="s">
        <v>3032</v>
      </c>
      <c r="J3292" s="2" t="str">
        <f>HYPERLINK("http://vk.com/id141880771")</f>
        <v>http://vk.com/id141880771</v>
      </c>
      <c r="K3292">
        <v>105</v>
      </c>
      <c r="L3292" t="s">
        <v>6063</v>
      </c>
      <c r="N3292" t="s">
        <v>25</v>
      </c>
      <c r="O3292" t="s">
        <v>5060</v>
      </c>
      <c r="P3292" s="2" t="str">
        <f>HYPERLINK("http://vk.com/club57863879")</f>
        <v>http://vk.com/club57863879</v>
      </c>
      <c r="Q3292">
        <v>67512</v>
      </c>
      <c r="R3292" t="s">
        <v>6067</v>
      </c>
      <c r="S3292" t="s">
        <v>6073</v>
      </c>
    </row>
    <row r="3293" spans="1:19" ht="14.25" customHeight="1" x14ac:dyDescent="0.3">
      <c r="A3293" t="s">
        <v>3527</v>
      </c>
      <c r="B3293" t="s">
        <v>3568</v>
      </c>
      <c r="C3293" t="s">
        <v>95</v>
      </c>
      <c r="D3293" t="s">
        <v>4</v>
      </c>
      <c r="E3293" t="s">
        <v>3559</v>
      </c>
      <c r="F3293" t="s">
        <v>6058</v>
      </c>
      <c r="G3293" s="2" t="str">
        <f>HYPERLINK("https://vk.com/wall480170474_163")</f>
        <v>https://vk.com/wall480170474_163</v>
      </c>
      <c r="H3293" t="s">
        <v>6062</v>
      </c>
      <c r="I3293" t="s">
        <v>3569</v>
      </c>
      <c r="J3293" s="2" t="str">
        <f>HYPERLINK("http://vk.com/id480170474")</f>
        <v>http://vk.com/id480170474</v>
      </c>
      <c r="K3293">
        <v>1</v>
      </c>
      <c r="L3293" t="s">
        <v>6063</v>
      </c>
      <c r="M3293">
        <v>34</v>
      </c>
      <c r="N3293" t="s">
        <v>25</v>
      </c>
      <c r="O3293" t="s">
        <v>3569</v>
      </c>
      <c r="P3293" s="2" t="str">
        <f>HYPERLINK("http://vk.com/id480170474")</f>
        <v>http://vk.com/id480170474</v>
      </c>
      <c r="Q3293">
        <v>1</v>
      </c>
      <c r="R3293" t="s">
        <v>6067</v>
      </c>
    </row>
    <row r="3294" spans="1:19" ht="14.25" customHeight="1" x14ac:dyDescent="0.3">
      <c r="A3294" t="s">
        <v>3527</v>
      </c>
      <c r="B3294" t="s">
        <v>2379</v>
      </c>
      <c r="C3294" t="s">
        <v>95</v>
      </c>
      <c r="D3294" t="s">
        <v>4</v>
      </c>
      <c r="E3294" t="s">
        <v>3517</v>
      </c>
      <c r="F3294" t="s">
        <v>6058</v>
      </c>
      <c r="G3294" s="2" t="str">
        <f>HYPERLINK("https://vk.com/wall480170474_162")</f>
        <v>https://vk.com/wall480170474_162</v>
      </c>
      <c r="H3294" t="s">
        <v>6062</v>
      </c>
      <c r="I3294" t="s">
        <v>3569</v>
      </c>
      <c r="J3294" s="2" t="str">
        <f>HYPERLINK("http://vk.com/id480170474")</f>
        <v>http://vk.com/id480170474</v>
      </c>
      <c r="K3294">
        <v>1</v>
      </c>
      <c r="L3294" t="s">
        <v>6063</v>
      </c>
      <c r="M3294">
        <v>34</v>
      </c>
      <c r="N3294" t="s">
        <v>25</v>
      </c>
      <c r="O3294" t="s">
        <v>3569</v>
      </c>
      <c r="P3294" s="2" t="str">
        <f>HYPERLINK("http://vk.com/id480170474")</f>
        <v>http://vk.com/id480170474</v>
      </c>
      <c r="Q3294">
        <v>1</v>
      </c>
      <c r="R3294" t="s">
        <v>6067</v>
      </c>
    </row>
    <row r="3295" spans="1:19" ht="14.25" customHeight="1" x14ac:dyDescent="0.3">
      <c r="A3295" t="s">
        <v>3527</v>
      </c>
      <c r="B3295" t="s">
        <v>918</v>
      </c>
      <c r="C3295" t="s">
        <v>95</v>
      </c>
      <c r="D3295" t="s">
        <v>4</v>
      </c>
      <c r="E3295" t="s">
        <v>3939</v>
      </c>
      <c r="F3295" t="s">
        <v>6056</v>
      </c>
      <c r="G3295" s="2" t="str">
        <f>HYPERLINK("https://vk.com/wall312558747_506")</f>
        <v>https://vk.com/wall312558747_506</v>
      </c>
      <c r="H3295" t="s">
        <v>6062</v>
      </c>
      <c r="I3295" t="s">
        <v>3940</v>
      </c>
      <c r="J3295" s="2" t="str">
        <f>HYPERLINK("http://vk.com/id312558747")</f>
        <v>http://vk.com/id312558747</v>
      </c>
      <c r="K3295">
        <v>271</v>
      </c>
      <c r="L3295" t="s">
        <v>6063</v>
      </c>
      <c r="N3295" t="s">
        <v>25</v>
      </c>
      <c r="O3295" t="s">
        <v>3940</v>
      </c>
      <c r="P3295" s="2" t="str">
        <f>HYPERLINK("http://vk.com/id312558747")</f>
        <v>http://vk.com/id312558747</v>
      </c>
      <c r="Q3295">
        <v>271</v>
      </c>
      <c r="R3295" t="s">
        <v>6067</v>
      </c>
      <c r="S3295" t="s">
        <v>6073</v>
      </c>
    </row>
    <row r="3296" spans="1:19" ht="14.25" customHeight="1" x14ac:dyDescent="0.3">
      <c r="A3296" t="s">
        <v>3527</v>
      </c>
      <c r="B3296" t="s">
        <v>1536</v>
      </c>
      <c r="C3296" t="s">
        <v>3538</v>
      </c>
      <c r="D3296" t="s">
        <v>4</v>
      </c>
      <c r="E3296" t="s">
        <v>4045</v>
      </c>
      <c r="F3296" t="s">
        <v>6058</v>
      </c>
      <c r="G3296" s="2" t="str">
        <f>HYPERLINK("https://vk.com/wall456575129_133")</f>
        <v>https://vk.com/wall456575129_133</v>
      </c>
      <c r="H3296" t="s">
        <v>6062</v>
      </c>
      <c r="I3296" t="s">
        <v>4284</v>
      </c>
      <c r="J3296" s="2" t="str">
        <f>HYPERLINK("http://vk.com/id456575129")</f>
        <v>http://vk.com/id456575129</v>
      </c>
      <c r="K3296">
        <v>17</v>
      </c>
      <c r="L3296" t="s">
        <v>6063</v>
      </c>
      <c r="M3296">
        <v>25</v>
      </c>
      <c r="N3296" t="s">
        <v>25</v>
      </c>
      <c r="O3296" t="s">
        <v>4284</v>
      </c>
      <c r="P3296" s="2" t="str">
        <f>HYPERLINK("http://vk.com/id456575129")</f>
        <v>http://vk.com/id456575129</v>
      </c>
      <c r="Q3296">
        <v>17</v>
      </c>
      <c r="R3296" t="s">
        <v>6067</v>
      </c>
      <c r="S3296" t="s">
        <v>6072</v>
      </c>
    </row>
    <row r="3297" spans="1:19" ht="14.25" customHeight="1" x14ac:dyDescent="0.3">
      <c r="A3297" t="s">
        <v>2225</v>
      </c>
      <c r="B3297" t="s">
        <v>1903</v>
      </c>
      <c r="C3297" t="s">
        <v>95</v>
      </c>
      <c r="D3297" t="s">
        <v>4</v>
      </c>
      <c r="E3297" t="s">
        <v>3442</v>
      </c>
      <c r="F3297" t="s">
        <v>6056</v>
      </c>
      <c r="G3297" s="2" t="str">
        <f>HYPERLINK("https://vk.com/wall9461295_3141")</f>
        <v>https://vk.com/wall9461295_3141</v>
      </c>
      <c r="H3297" t="s">
        <v>6062</v>
      </c>
      <c r="I3297" t="s">
        <v>3443</v>
      </c>
      <c r="J3297" s="2" t="str">
        <f>HYPERLINK("http://vk.com/id9461295")</f>
        <v>http://vk.com/id9461295</v>
      </c>
      <c r="K3297">
        <v>2234</v>
      </c>
      <c r="L3297" t="s">
        <v>6063</v>
      </c>
      <c r="M3297">
        <v>22</v>
      </c>
      <c r="N3297" t="s">
        <v>25</v>
      </c>
      <c r="O3297" t="s">
        <v>3443</v>
      </c>
      <c r="P3297" s="2" t="str">
        <f>HYPERLINK("http://vk.com/id9461295")</f>
        <v>http://vk.com/id9461295</v>
      </c>
      <c r="Q3297">
        <v>2234</v>
      </c>
      <c r="R3297" t="s">
        <v>6067</v>
      </c>
      <c r="S3297" t="s">
        <v>6073</v>
      </c>
    </row>
    <row r="3298" spans="1:19" ht="14.25" customHeight="1" x14ac:dyDescent="0.3">
      <c r="A3298" t="s">
        <v>5409</v>
      </c>
      <c r="B3298" t="s">
        <v>4564</v>
      </c>
      <c r="C3298" t="s">
        <v>3538</v>
      </c>
      <c r="D3298" t="s">
        <v>4</v>
      </c>
      <c r="E3298" t="s">
        <v>5572</v>
      </c>
      <c r="F3298" t="s">
        <v>6056</v>
      </c>
      <c r="G3298" s="2" t="str">
        <f>HYPERLINK("https://vk.com/wall326386475_1005")</f>
        <v>https://vk.com/wall326386475_1005</v>
      </c>
      <c r="H3298" t="s">
        <v>6062</v>
      </c>
      <c r="I3298" t="s">
        <v>5573</v>
      </c>
      <c r="J3298" s="2" t="str">
        <f>HYPERLINK("http://vk.com/id326386475")</f>
        <v>http://vk.com/id326386475</v>
      </c>
      <c r="K3298">
        <v>455</v>
      </c>
      <c r="L3298" t="s">
        <v>6063</v>
      </c>
      <c r="N3298" t="s">
        <v>25</v>
      </c>
      <c r="O3298" t="s">
        <v>5573</v>
      </c>
      <c r="P3298" s="2" t="str">
        <f>HYPERLINK("http://vk.com/id326386475")</f>
        <v>http://vk.com/id326386475</v>
      </c>
      <c r="Q3298">
        <v>455</v>
      </c>
      <c r="R3298" t="s">
        <v>6067</v>
      </c>
      <c r="S3298" t="s">
        <v>6073</v>
      </c>
    </row>
    <row r="3299" spans="1:19" ht="14.25" customHeight="1" x14ac:dyDescent="0.3">
      <c r="A3299" t="s">
        <v>5409</v>
      </c>
      <c r="B3299" t="s">
        <v>3014</v>
      </c>
      <c r="C3299" t="s">
        <v>3538</v>
      </c>
      <c r="D3299" t="s">
        <v>4</v>
      </c>
      <c r="E3299" t="s">
        <v>5572</v>
      </c>
      <c r="F3299" t="s">
        <v>6056</v>
      </c>
      <c r="G3299" s="2" t="str">
        <f>HYPERLINK("https://vk.com/wall326386475_1004")</f>
        <v>https://vk.com/wall326386475_1004</v>
      </c>
      <c r="H3299" t="s">
        <v>6062</v>
      </c>
      <c r="I3299" t="s">
        <v>5573</v>
      </c>
      <c r="J3299" s="2" t="str">
        <f>HYPERLINK("http://vk.com/id326386475")</f>
        <v>http://vk.com/id326386475</v>
      </c>
      <c r="K3299">
        <v>455</v>
      </c>
      <c r="L3299" t="s">
        <v>6063</v>
      </c>
      <c r="N3299" t="s">
        <v>25</v>
      </c>
      <c r="O3299" t="s">
        <v>5573</v>
      </c>
      <c r="P3299" s="2" t="str">
        <f>HYPERLINK("http://vk.com/id326386475")</f>
        <v>http://vk.com/id326386475</v>
      </c>
      <c r="Q3299">
        <v>455</v>
      </c>
      <c r="R3299" t="s">
        <v>6067</v>
      </c>
      <c r="S3299" t="s">
        <v>6073</v>
      </c>
    </row>
    <row r="3300" spans="1:19" ht="14.25" customHeight="1" x14ac:dyDescent="0.3">
      <c r="A3300" t="s">
        <v>1</v>
      </c>
      <c r="B3300" t="s">
        <v>115</v>
      </c>
      <c r="C3300" t="s">
        <v>95</v>
      </c>
      <c r="D3300" t="s">
        <v>116</v>
      </c>
      <c r="E3300" t="s">
        <v>117</v>
      </c>
      <c r="F3300" t="s">
        <v>6059</v>
      </c>
      <c r="G3300" s="2" t="str">
        <f>HYPERLINK("https://vk.com/wall-60158707_14084239")</f>
        <v>https://vk.com/wall-60158707_14084239</v>
      </c>
      <c r="H3300" t="s">
        <v>6062</v>
      </c>
      <c r="I3300" t="s">
        <v>118</v>
      </c>
      <c r="J3300" s="2" t="str">
        <f>HYPERLINK("http://vk.com/id334915415")</f>
        <v>http://vk.com/id334915415</v>
      </c>
      <c r="K3300">
        <v>157</v>
      </c>
      <c r="L3300" t="s">
        <v>6063</v>
      </c>
      <c r="N3300" t="s">
        <v>25</v>
      </c>
      <c r="O3300" t="s">
        <v>119</v>
      </c>
      <c r="P3300" s="2" t="str">
        <f>HYPERLINK("http://vk.com/club60158707")</f>
        <v>http://vk.com/club60158707</v>
      </c>
      <c r="Q3300">
        <v>386642</v>
      </c>
      <c r="R3300" t="s">
        <v>6067</v>
      </c>
    </row>
    <row r="3301" spans="1:19" ht="14.25" customHeight="1" x14ac:dyDescent="0.3">
      <c r="A3301" t="s">
        <v>1</v>
      </c>
      <c r="B3301" t="s">
        <v>115</v>
      </c>
      <c r="C3301" t="s">
        <v>95</v>
      </c>
      <c r="D3301" t="s">
        <v>120</v>
      </c>
      <c r="E3301" t="s">
        <v>117</v>
      </c>
      <c r="F3301" t="s">
        <v>6059</v>
      </c>
      <c r="G3301" s="2" t="str">
        <f>HYPERLINK("https://vk.com/wall-60158707_14084238")</f>
        <v>https://vk.com/wall-60158707_14084238</v>
      </c>
      <c r="H3301" t="s">
        <v>6062</v>
      </c>
      <c r="I3301" t="s">
        <v>118</v>
      </c>
      <c r="J3301" s="2" t="str">
        <f>HYPERLINK("http://vk.com/id334915415")</f>
        <v>http://vk.com/id334915415</v>
      </c>
      <c r="K3301">
        <v>157</v>
      </c>
      <c r="L3301" t="s">
        <v>6063</v>
      </c>
      <c r="N3301" t="s">
        <v>25</v>
      </c>
      <c r="O3301" t="s">
        <v>119</v>
      </c>
      <c r="P3301" s="2" t="str">
        <f>HYPERLINK("http://vk.com/club60158707")</f>
        <v>http://vk.com/club60158707</v>
      </c>
      <c r="Q3301">
        <v>386642</v>
      </c>
      <c r="R3301" t="s">
        <v>6067</v>
      </c>
    </row>
    <row r="3302" spans="1:19" ht="14.25" customHeight="1" x14ac:dyDescent="0.3">
      <c r="A3302" t="s">
        <v>3527</v>
      </c>
      <c r="B3302" t="s">
        <v>3463</v>
      </c>
      <c r="C3302" t="s">
        <v>3538</v>
      </c>
      <c r="D3302" t="s">
        <v>4</v>
      </c>
      <c r="E3302" t="s">
        <v>4045</v>
      </c>
      <c r="F3302" t="s">
        <v>6058</v>
      </c>
      <c r="G3302" s="2" t="str">
        <f>HYPERLINK("https://vk.com/wall476934009_150")</f>
        <v>https://vk.com/wall476934009_150</v>
      </c>
      <c r="H3302" t="s">
        <v>6062</v>
      </c>
      <c r="I3302" t="s">
        <v>4376</v>
      </c>
      <c r="J3302" s="2" t="str">
        <f>HYPERLINK("http://vk.com/id476934009")</f>
        <v>http://vk.com/id476934009</v>
      </c>
      <c r="L3302" t="s">
        <v>6063</v>
      </c>
      <c r="M3302">
        <v>23</v>
      </c>
      <c r="N3302" t="s">
        <v>25</v>
      </c>
      <c r="O3302" t="s">
        <v>4376</v>
      </c>
      <c r="P3302" s="2" t="str">
        <f>HYPERLINK("http://vk.com/id476934009")</f>
        <v>http://vk.com/id476934009</v>
      </c>
      <c r="R3302" t="s">
        <v>6067</v>
      </c>
      <c r="S3302" t="s">
        <v>6072</v>
      </c>
    </row>
    <row r="3303" spans="1:19" ht="14.25" customHeight="1" x14ac:dyDescent="0.3">
      <c r="A3303" t="s">
        <v>3527</v>
      </c>
      <c r="B3303" t="s">
        <v>3889</v>
      </c>
      <c r="C3303" t="s">
        <v>95</v>
      </c>
      <c r="D3303" t="s">
        <v>4</v>
      </c>
      <c r="E3303" t="s">
        <v>3625</v>
      </c>
      <c r="F3303" t="s">
        <v>6058</v>
      </c>
      <c r="G3303" s="2" t="str">
        <f>HYPERLINK("https://vk.com/wall332129314_811")</f>
        <v>https://vk.com/wall332129314_811</v>
      </c>
      <c r="H3303" t="s">
        <v>6062</v>
      </c>
      <c r="I3303" t="s">
        <v>3890</v>
      </c>
      <c r="J3303" s="2" t="str">
        <f>HYPERLINK("http://vk.com/id332129314")</f>
        <v>http://vk.com/id332129314</v>
      </c>
      <c r="K3303">
        <v>324</v>
      </c>
      <c r="L3303" t="s">
        <v>6063</v>
      </c>
      <c r="N3303" t="s">
        <v>25</v>
      </c>
      <c r="O3303" t="s">
        <v>3890</v>
      </c>
      <c r="P3303" s="2" t="str">
        <f>HYPERLINK("http://vk.com/id332129314")</f>
        <v>http://vk.com/id332129314</v>
      </c>
      <c r="Q3303">
        <v>324</v>
      </c>
      <c r="R3303" t="s">
        <v>6067</v>
      </c>
      <c r="S3303" t="s">
        <v>6072</v>
      </c>
    </row>
    <row r="3304" spans="1:19" ht="14.25" customHeight="1" x14ac:dyDescent="0.3">
      <c r="A3304" t="s">
        <v>3527</v>
      </c>
      <c r="B3304" t="s">
        <v>1678</v>
      </c>
      <c r="C3304" t="s">
        <v>3538</v>
      </c>
      <c r="D3304" t="s">
        <v>4</v>
      </c>
      <c r="E3304" t="s">
        <v>4045</v>
      </c>
      <c r="F3304" t="s">
        <v>6058</v>
      </c>
      <c r="G3304" s="2" t="str">
        <f>HYPERLINK("https://vk.com/wall259508973_118")</f>
        <v>https://vk.com/wall259508973_118</v>
      </c>
      <c r="H3304" t="s">
        <v>6062</v>
      </c>
      <c r="I3304" t="s">
        <v>4303</v>
      </c>
      <c r="J3304" s="2" t="str">
        <f>HYPERLINK("http://vk.com/id259508973")</f>
        <v>http://vk.com/id259508973</v>
      </c>
      <c r="K3304">
        <v>32</v>
      </c>
      <c r="L3304" t="s">
        <v>6064</v>
      </c>
      <c r="M3304">
        <v>17</v>
      </c>
      <c r="N3304" t="s">
        <v>25</v>
      </c>
      <c r="O3304" t="s">
        <v>4303</v>
      </c>
      <c r="P3304" s="2" t="str">
        <f>HYPERLINK("http://vk.com/id259508973")</f>
        <v>http://vk.com/id259508973</v>
      </c>
      <c r="Q3304">
        <v>32</v>
      </c>
      <c r="R3304" t="s">
        <v>6067</v>
      </c>
      <c r="S3304" t="s">
        <v>6072</v>
      </c>
    </row>
    <row r="3305" spans="1:19" ht="14.25" customHeight="1" x14ac:dyDescent="0.3">
      <c r="A3305" t="s">
        <v>3527</v>
      </c>
      <c r="B3305" t="s">
        <v>2605</v>
      </c>
      <c r="C3305" t="s">
        <v>95</v>
      </c>
      <c r="D3305" t="s">
        <v>4</v>
      </c>
      <c r="E3305" t="s">
        <v>3625</v>
      </c>
      <c r="F3305" t="s">
        <v>6058</v>
      </c>
      <c r="G3305" s="2" t="str">
        <f>HYPERLINK("https://vk.com/wall480360584_69")</f>
        <v>https://vk.com/wall480360584_69</v>
      </c>
      <c r="H3305" t="s">
        <v>6062</v>
      </c>
      <c r="I3305" t="s">
        <v>3679</v>
      </c>
      <c r="J3305" s="2" t="str">
        <f>HYPERLINK("http://vk.com/id480360584")</f>
        <v>http://vk.com/id480360584</v>
      </c>
      <c r="K3305">
        <v>22</v>
      </c>
      <c r="L3305" t="s">
        <v>6064</v>
      </c>
      <c r="N3305" t="s">
        <v>25</v>
      </c>
      <c r="O3305" t="s">
        <v>3679</v>
      </c>
      <c r="P3305" s="2" t="str">
        <f>HYPERLINK("http://vk.com/id480360584")</f>
        <v>http://vk.com/id480360584</v>
      </c>
      <c r="Q3305">
        <v>22</v>
      </c>
      <c r="R3305" t="s">
        <v>6067</v>
      </c>
      <c r="S3305" t="s">
        <v>6102</v>
      </c>
    </row>
    <row r="3306" spans="1:19" ht="14.25" customHeight="1" x14ac:dyDescent="0.3">
      <c r="A3306" t="s">
        <v>3527</v>
      </c>
      <c r="B3306" t="s">
        <v>723</v>
      </c>
      <c r="C3306" t="s">
        <v>95</v>
      </c>
      <c r="D3306" t="s">
        <v>4</v>
      </c>
      <c r="E3306" t="s">
        <v>3517</v>
      </c>
      <c r="F3306" t="s">
        <v>6058</v>
      </c>
      <c r="G3306" s="2" t="str">
        <f>HYPERLINK("https://vk.com/wall455390000_931")</f>
        <v>https://vk.com/wall455390000_931</v>
      </c>
      <c r="H3306" t="s">
        <v>6062</v>
      </c>
      <c r="I3306" t="s">
        <v>3662</v>
      </c>
      <c r="J3306" s="2" t="str">
        <f>HYPERLINK("http://vk.com/id455390000")</f>
        <v>http://vk.com/id455390000</v>
      </c>
      <c r="K3306">
        <v>33</v>
      </c>
      <c r="L3306" t="s">
        <v>6064</v>
      </c>
      <c r="N3306" t="s">
        <v>25</v>
      </c>
      <c r="O3306" t="s">
        <v>3662</v>
      </c>
      <c r="P3306" s="2" t="str">
        <f>HYPERLINK("http://vk.com/id455390000")</f>
        <v>http://vk.com/id455390000</v>
      </c>
      <c r="Q3306">
        <v>33</v>
      </c>
      <c r="R3306" t="s">
        <v>6067</v>
      </c>
    </row>
    <row r="3307" spans="1:19" ht="14.25" customHeight="1" x14ac:dyDescent="0.3">
      <c r="A3307" t="s">
        <v>3527</v>
      </c>
      <c r="B3307" t="s">
        <v>3623</v>
      </c>
      <c r="C3307" t="s">
        <v>95</v>
      </c>
      <c r="D3307" t="s">
        <v>4</v>
      </c>
      <c r="E3307" t="s">
        <v>3625</v>
      </c>
      <c r="F3307" t="s">
        <v>6058</v>
      </c>
      <c r="G3307" s="2" t="str">
        <f>HYPERLINK("https://vk.com/wall480135340_206")</f>
        <v>https://vk.com/wall480135340_206</v>
      </c>
      <c r="H3307" t="s">
        <v>6062</v>
      </c>
      <c r="I3307" t="s">
        <v>3626</v>
      </c>
      <c r="J3307" s="2" t="str">
        <f>HYPERLINK("http://vk.com/id480135340")</f>
        <v>http://vk.com/id480135340</v>
      </c>
      <c r="K3307">
        <v>9</v>
      </c>
      <c r="L3307" t="s">
        <v>6064</v>
      </c>
      <c r="M3307">
        <v>31</v>
      </c>
      <c r="N3307" t="s">
        <v>25</v>
      </c>
      <c r="O3307" t="s">
        <v>3626</v>
      </c>
      <c r="P3307" s="2" t="str">
        <f>HYPERLINK("http://vk.com/id480135340")</f>
        <v>http://vk.com/id480135340</v>
      </c>
      <c r="Q3307">
        <v>9</v>
      </c>
      <c r="R3307" t="s">
        <v>6067</v>
      </c>
      <c r="S3307" t="s">
        <v>6072</v>
      </c>
    </row>
    <row r="3308" spans="1:19" ht="14.25" customHeight="1" x14ac:dyDescent="0.3">
      <c r="A3308" t="s">
        <v>3527</v>
      </c>
      <c r="B3308" t="s">
        <v>3975</v>
      </c>
      <c r="C3308" t="s">
        <v>95</v>
      </c>
      <c r="D3308" t="s">
        <v>4</v>
      </c>
      <c r="E3308" t="s">
        <v>3820</v>
      </c>
      <c r="F3308" t="s">
        <v>6058</v>
      </c>
      <c r="G3308" s="2" t="str">
        <f>HYPERLINK("https://vk.com/wall403680423_1460")</f>
        <v>https://vk.com/wall403680423_1460</v>
      </c>
      <c r="H3308" t="s">
        <v>6062</v>
      </c>
      <c r="I3308" t="s">
        <v>3976</v>
      </c>
      <c r="J3308" s="2" t="str">
        <f>HYPERLINK("http://vk.com/id403680423")</f>
        <v>http://vk.com/id403680423</v>
      </c>
      <c r="K3308">
        <v>387</v>
      </c>
      <c r="L3308" t="s">
        <v>6064</v>
      </c>
      <c r="M3308">
        <v>28</v>
      </c>
      <c r="N3308" t="s">
        <v>25</v>
      </c>
      <c r="O3308" t="s">
        <v>3976</v>
      </c>
      <c r="P3308" s="2" t="str">
        <f>HYPERLINK("http://vk.com/id403680423")</f>
        <v>http://vk.com/id403680423</v>
      </c>
      <c r="Q3308">
        <v>387</v>
      </c>
      <c r="R3308" t="s">
        <v>6067</v>
      </c>
    </row>
    <row r="3309" spans="1:19" ht="14.25" customHeight="1" x14ac:dyDescent="0.3">
      <c r="A3309" t="s">
        <v>3527</v>
      </c>
      <c r="B3309" t="s">
        <v>2913</v>
      </c>
      <c r="C3309" t="s">
        <v>3538</v>
      </c>
      <c r="D3309" t="s">
        <v>4</v>
      </c>
      <c r="E3309" t="s">
        <v>3625</v>
      </c>
      <c r="F3309" t="s">
        <v>6058</v>
      </c>
      <c r="G3309" s="2" t="str">
        <f>HYPERLINK("https://vk.com/wall435200287_782")</f>
        <v>https://vk.com/wall435200287_782</v>
      </c>
      <c r="H3309" t="s">
        <v>6062</v>
      </c>
      <c r="I3309" t="s">
        <v>3731</v>
      </c>
      <c r="J3309" s="2" t="str">
        <f>HYPERLINK("http://vk.com/id435200287")</f>
        <v>http://vk.com/id435200287</v>
      </c>
      <c r="K3309">
        <v>2569</v>
      </c>
      <c r="L3309" t="s">
        <v>6063</v>
      </c>
      <c r="M3309">
        <v>31</v>
      </c>
      <c r="N3309" t="s">
        <v>25</v>
      </c>
      <c r="O3309" t="s">
        <v>3731</v>
      </c>
      <c r="P3309" s="2" t="str">
        <f>HYPERLINK("http://vk.com/id435200287")</f>
        <v>http://vk.com/id435200287</v>
      </c>
      <c r="Q3309">
        <v>2569</v>
      </c>
      <c r="R3309" t="s">
        <v>6067</v>
      </c>
      <c r="S3309" t="s">
        <v>6092</v>
      </c>
    </row>
    <row r="3310" spans="1:19" ht="14.25" customHeight="1" x14ac:dyDescent="0.3">
      <c r="A3310" t="s">
        <v>3527</v>
      </c>
      <c r="B3310" t="s">
        <v>2705</v>
      </c>
      <c r="C3310" t="s">
        <v>95</v>
      </c>
      <c r="D3310" t="s">
        <v>4</v>
      </c>
      <c r="E3310" t="s">
        <v>3625</v>
      </c>
      <c r="F3310" t="s">
        <v>6058</v>
      </c>
      <c r="G3310" s="2" t="str">
        <f>HYPERLINK("https://vk.com/wall443279816_200")</f>
        <v>https://vk.com/wall443279816_200</v>
      </c>
      <c r="H3310" t="s">
        <v>6062</v>
      </c>
      <c r="I3310" t="s">
        <v>3704</v>
      </c>
      <c r="J3310" s="2" t="str">
        <f>HYPERLINK("http://vk.com/id443279816")</f>
        <v>http://vk.com/id443279816</v>
      </c>
      <c r="K3310">
        <v>13</v>
      </c>
      <c r="L3310" t="s">
        <v>6064</v>
      </c>
      <c r="N3310" t="s">
        <v>25</v>
      </c>
      <c r="O3310" t="s">
        <v>3704</v>
      </c>
      <c r="P3310" s="2" t="str">
        <f>HYPERLINK("http://vk.com/id443279816")</f>
        <v>http://vk.com/id443279816</v>
      </c>
      <c r="Q3310">
        <v>13</v>
      </c>
      <c r="R3310" t="s">
        <v>6067</v>
      </c>
      <c r="S3310" t="s">
        <v>6072</v>
      </c>
    </row>
    <row r="3311" spans="1:19" ht="14.25" customHeight="1" x14ac:dyDescent="0.3">
      <c r="A3311" t="s">
        <v>3527</v>
      </c>
      <c r="B3311" t="s">
        <v>828</v>
      </c>
      <c r="C3311" t="s">
        <v>95</v>
      </c>
      <c r="D3311" t="s">
        <v>4</v>
      </c>
      <c r="E3311" t="s">
        <v>3706</v>
      </c>
      <c r="F3311" t="s">
        <v>6058</v>
      </c>
      <c r="G3311" s="2" t="str">
        <f>HYPERLINK("https://vk.com/wall481233587_31")</f>
        <v>https://vk.com/wall481233587_31</v>
      </c>
      <c r="H3311" t="s">
        <v>6062</v>
      </c>
      <c r="I3311" t="s">
        <v>3791</v>
      </c>
      <c r="J3311" s="2" t="str">
        <f>HYPERLINK("http://vk.com/id481233587")</f>
        <v>http://vk.com/id481233587</v>
      </c>
      <c r="K3311">
        <v>2</v>
      </c>
      <c r="L3311" t="s">
        <v>6064</v>
      </c>
      <c r="M3311">
        <v>29</v>
      </c>
      <c r="N3311" t="s">
        <v>25</v>
      </c>
      <c r="O3311" t="s">
        <v>3791</v>
      </c>
      <c r="P3311" s="2" t="str">
        <f>HYPERLINK("http://vk.com/id481233587")</f>
        <v>http://vk.com/id481233587</v>
      </c>
      <c r="Q3311">
        <v>2</v>
      </c>
      <c r="R3311" t="s">
        <v>6067</v>
      </c>
    </row>
    <row r="3312" spans="1:19" ht="14.25" customHeight="1" x14ac:dyDescent="0.3">
      <c r="A3312" t="s">
        <v>3527</v>
      </c>
      <c r="B3312" t="s">
        <v>862</v>
      </c>
      <c r="C3312" t="s">
        <v>95</v>
      </c>
      <c r="D3312" t="s">
        <v>4</v>
      </c>
      <c r="E3312" t="s">
        <v>3625</v>
      </c>
      <c r="F3312" t="s">
        <v>6058</v>
      </c>
      <c r="G3312" s="2" t="str">
        <f>HYPERLINK("https://vk.com/wall479296821_154")</f>
        <v>https://vk.com/wall479296821_154</v>
      </c>
      <c r="H3312" t="s">
        <v>6062</v>
      </c>
      <c r="I3312" t="s">
        <v>3851</v>
      </c>
      <c r="J3312" s="2" t="str">
        <f>HYPERLINK("http://vk.com/id479296821")</f>
        <v>http://vk.com/id479296821</v>
      </c>
      <c r="K3312">
        <v>0</v>
      </c>
      <c r="L3312" t="s">
        <v>6064</v>
      </c>
      <c r="M3312">
        <v>34</v>
      </c>
      <c r="N3312" t="s">
        <v>25</v>
      </c>
      <c r="O3312" t="s">
        <v>3851</v>
      </c>
      <c r="P3312" s="2" t="str">
        <f>HYPERLINK("http://vk.com/id479296821")</f>
        <v>http://vk.com/id479296821</v>
      </c>
      <c r="Q3312">
        <v>0</v>
      </c>
      <c r="R3312" t="s">
        <v>6067</v>
      </c>
    </row>
    <row r="3313" spans="1:19" ht="14.25" customHeight="1" x14ac:dyDescent="0.3">
      <c r="A3313" t="s">
        <v>5409</v>
      </c>
      <c r="B3313" t="s">
        <v>5725</v>
      </c>
      <c r="C3313" t="s">
        <v>3538</v>
      </c>
      <c r="D3313" t="s">
        <v>4</v>
      </c>
      <c r="E3313" t="s">
        <v>5726</v>
      </c>
      <c r="F3313" t="s">
        <v>6056</v>
      </c>
      <c r="G3313" s="2" t="str">
        <f>HYPERLINK("https://vk.com/wall52507409_2834")</f>
        <v>https://vk.com/wall52507409_2834</v>
      </c>
      <c r="H3313" t="s">
        <v>6062</v>
      </c>
      <c r="I3313" t="s">
        <v>5727</v>
      </c>
      <c r="J3313" s="2" t="str">
        <f>HYPERLINK("http://vk.com/id52507409")</f>
        <v>http://vk.com/id52507409</v>
      </c>
      <c r="K3313">
        <v>328</v>
      </c>
      <c r="L3313" t="s">
        <v>6063</v>
      </c>
      <c r="M3313">
        <v>48</v>
      </c>
      <c r="N3313" t="s">
        <v>25</v>
      </c>
      <c r="O3313" t="s">
        <v>5727</v>
      </c>
      <c r="P3313" s="2" t="str">
        <f>HYPERLINK("http://vk.com/id52507409")</f>
        <v>http://vk.com/id52507409</v>
      </c>
      <c r="Q3313">
        <v>328</v>
      </c>
      <c r="R3313" t="s">
        <v>6067</v>
      </c>
      <c r="S3313" t="s">
        <v>6103</v>
      </c>
    </row>
    <row r="3314" spans="1:19" ht="14.25" customHeight="1" x14ac:dyDescent="0.3">
      <c r="A3314" t="s">
        <v>4439</v>
      </c>
      <c r="B3314" t="s">
        <v>838</v>
      </c>
      <c r="C3314" t="s">
        <v>3538</v>
      </c>
      <c r="D3314" t="s">
        <v>4</v>
      </c>
      <c r="E3314" t="s">
        <v>4552</v>
      </c>
      <c r="F3314" t="s">
        <v>6056</v>
      </c>
      <c r="G3314" s="2" t="str">
        <f>HYPERLINK("https://vk.com/wall480145173_2")</f>
        <v>https://vk.com/wall480145173_2</v>
      </c>
      <c r="H3314" t="s">
        <v>6062</v>
      </c>
      <c r="I3314" t="s">
        <v>4553</v>
      </c>
      <c r="J3314" s="2" t="str">
        <f>HYPERLINK("http://vk.com/id480145173")</f>
        <v>http://vk.com/id480145173</v>
      </c>
      <c r="K3314">
        <v>5</v>
      </c>
      <c r="L3314" t="s">
        <v>6063</v>
      </c>
      <c r="M3314">
        <v>116</v>
      </c>
      <c r="N3314" t="s">
        <v>25</v>
      </c>
      <c r="O3314" t="s">
        <v>4553</v>
      </c>
      <c r="P3314" s="2" t="str">
        <f>HYPERLINK("http://vk.com/id480145173")</f>
        <v>http://vk.com/id480145173</v>
      </c>
      <c r="Q3314">
        <v>5</v>
      </c>
      <c r="R3314" t="s">
        <v>6067</v>
      </c>
    </row>
    <row r="3315" spans="1:19" ht="14.25" customHeight="1" x14ac:dyDescent="0.3">
      <c r="A3315" t="s">
        <v>4995</v>
      </c>
      <c r="B3315" t="s">
        <v>643</v>
      </c>
      <c r="C3315" t="s">
        <v>3538</v>
      </c>
      <c r="D3315" t="s">
        <v>4</v>
      </c>
      <c r="E3315" t="s">
        <v>4998</v>
      </c>
      <c r="F3315" t="s">
        <v>6056</v>
      </c>
      <c r="G3315" s="2" t="str">
        <f>HYPERLINK("https://vk.com/wall327908616_820")</f>
        <v>https://vk.com/wall327908616_820</v>
      </c>
      <c r="H3315" t="s">
        <v>6062</v>
      </c>
      <c r="I3315" t="s">
        <v>4999</v>
      </c>
      <c r="J3315" s="2" t="str">
        <f>HYPERLINK("http://vk.com/id327908616")</f>
        <v>http://vk.com/id327908616</v>
      </c>
      <c r="K3315">
        <v>4218</v>
      </c>
      <c r="L3315" t="s">
        <v>6063</v>
      </c>
      <c r="N3315" t="s">
        <v>25</v>
      </c>
      <c r="O3315" t="s">
        <v>4999</v>
      </c>
      <c r="P3315" s="2" t="str">
        <f>HYPERLINK("http://vk.com/id327908616")</f>
        <v>http://vk.com/id327908616</v>
      </c>
      <c r="Q3315">
        <v>4218</v>
      </c>
      <c r="R3315" t="s">
        <v>6067</v>
      </c>
      <c r="S3315" t="s">
        <v>6073</v>
      </c>
    </row>
    <row r="3316" spans="1:19" ht="14.25" customHeight="1" x14ac:dyDescent="0.3">
      <c r="A3316" t="s">
        <v>5409</v>
      </c>
      <c r="B3316" t="s">
        <v>3580</v>
      </c>
      <c r="C3316" t="s">
        <v>3538</v>
      </c>
      <c r="D3316" t="s">
        <v>4</v>
      </c>
      <c r="E3316" t="s">
        <v>5435</v>
      </c>
      <c r="F3316" t="s">
        <v>6056</v>
      </c>
      <c r="G3316" s="2" t="str">
        <f>HYPERLINK("https://vk.com/wall327908616_819")</f>
        <v>https://vk.com/wall327908616_819</v>
      </c>
      <c r="H3316" t="s">
        <v>6062</v>
      </c>
      <c r="I3316" t="s">
        <v>4999</v>
      </c>
      <c r="J3316" s="2" t="str">
        <f>HYPERLINK("http://vk.com/id327908616")</f>
        <v>http://vk.com/id327908616</v>
      </c>
      <c r="K3316">
        <v>4218</v>
      </c>
      <c r="L3316" t="s">
        <v>6063</v>
      </c>
      <c r="N3316" t="s">
        <v>25</v>
      </c>
      <c r="O3316" t="s">
        <v>4999</v>
      </c>
      <c r="P3316" s="2" t="str">
        <f>HYPERLINK("http://vk.com/id327908616")</f>
        <v>http://vk.com/id327908616</v>
      </c>
      <c r="Q3316">
        <v>4218</v>
      </c>
      <c r="R3316" t="s">
        <v>6067</v>
      </c>
      <c r="S3316" t="s">
        <v>6073</v>
      </c>
    </row>
    <row r="3317" spans="1:19" ht="14.25" customHeight="1" x14ac:dyDescent="0.3">
      <c r="A3317" t="s">
        <v>5409</v>
      </c>
      <c r="B3317" t="s">
        <v>1424</v>
      </c>
      <c r="C3317" t="s">
        <v>3538</v>
      </c>
      <c r="D3317" t="s">
        <v>5778</v>
      </c>
      <c r="E3317" t="s">
        <v>5779</v>
      </c>
      <c r="F3317" t="s">
        <v>6059</v>
      </c>
      <c r="G3317" s="2" t="str">
        <f>HYPERLINK("https://vk.com/topic-29283691_35733238?post=6558")</f>
        <v>https://vk.com/topic-29283691_35733238?post=6558</v>
      </c>
      <c r="H3317" t="s">
        <v>6062</v>
      </c>
      <c r="I3317" t="s">
        <v>5780</v>
      </c>
      <c r="J3317" s="2" t="str">
        <f>HYPERLINK("http://vk.com/id18620658")</f>
        <v>http://vk.com/id18620658</v>
      </c>
      <c r="K3317">
        <v>1796</v>
      </c>
      <c r="L3317" t="s">
        <v>6063</v>
      </c>
      <c r="N3317" t="s">
        <v>25</v>
      </c>
      <c r="O3317" t="s">
        <v>5781</v>
      </c>
      <c r="P3317" s="2" t="str">
        <f>HYPERLINK("http://vk.com/club29283691")</f>
        <v>http://vk.com/club29283691</v>
      </c>
      <c r="Q3317">
        <v>13450</v>
      </c>
      <c r="R3317" t="s">
        <v>6067</v>
      </c>
      <c r="S3317" t="s">
        <v>6073</v>
      </c>
    </row>
    <row r="3318" spans="1:19" ht="14.25" customHeight="1" x14ac:dyDescent="0.3">
      <c r="A3318" t="s">
        <v>4995</v>
      </c>
      <c r="B3318" t="s">
        <v>3604</v>
      </c>
      <c r="C3318" t="s">
        <v>3538</v>
      </c>
      <c r="D3318" t="s">
        <v>4</v>
      </c>
      <c r="E3318" t="s">
        <v>5027</v>
      </c>
      <c r="F3318" t="s">
        <v>6056</v>
      </c>
      <c r="G3318" s="2" t="str">
        <f>HYPERLINK("https://vk.com/wall248608782_981")</f>
        <v>https://vk.com/wall248608782_981</v>
      </c>
      <c r="H3318" t="s">
        <v>6062</v>
      </c>
      <c r="I3318" t="s">
        <v>5028</v>
      </c>
      <c r="J3318" s="2" t="str">
        <f>HYPERLINK("http://vk.com/id248608782")</f>
        <v>http://vk.com/id248608782</v>
      </c>
      <c r="K3318">
        <v>269</v>
      </c>
      <c r="L3318" t="s">
        <v>6063</v>
      </c>
      <c r="M3318">
        <v>21</v>
      </c>
      <c r="N3318" t="s">
        <v>25</v>
      </c>
      <c r="O3318" t="s">
        <v>5028</v>
      </c>
      <c r="P3318" s="2" t="str">
        <f>HYPERLINK("http://vk.com/id248608782")</f>
        <v>http://vk.com/id248608782</v>
      </c>
      <c r="Q3318">
        <v>269</v>
      </c>
      <c r="R3318" t="s">
        <v>6067</v>
      </c>
    </row>
    <row r="3319" spans="1:19" ht="14.25" customHeight="1" x14ac:dyDescent="0.3">
      <c r="A3319" t="s">
        <v>629</v>
      </c>
      <c r="B3319" t="s">
        <v>664</v>
      </c>
      <c r="C3319" t="s">
        <v>95</v>
      </c>
      <c r="D3319" t="s">
        <v>4</v>
      </c>
      <c r="E3319" t="s">
        <v>665</v>
      </c>
      <c r="F3319" t="s">
        <v>6056</v>
      </c>
      <c r="G3319" s="2" t="str">
        <f>HYPERLINK("https://vk.com/wall443638881_8")</f>
        <v>https://vk.com/wall443638881_8</v>
      </c>
      <c r="H3319" t="s">
        <v>6062</v>
      </c>
      <c r="I3319" t="s">
        <v>666</v>
      </c>
      <c r="J3319" s="2" t="str">
        <f>HYPERLINK("http://vk.com/id443638881")</f>
        <v>http://vk.com/id443638881</v>
      </c>
      <c r="K3319">
        <v>35</v>
      </c>
      <c r="L3319" t="s">
        <v>6063</v>
      </c>
      <c r="M3319">
        <v>26</v>
      </c>
      <c r="N3319" t="s">
        <v>25</v>
      </c>
      <c r="O3319" t="s">
        <v>666</v>
      </c>
      <c r="P3319" s="2" t="str">
        <f>HYPERLINK("http://vk.com/id443638881")</f>
        <v>http://vk.com/id443638881</v>
      </c>
      <c r="Q3319">
        <v>35</v>
      </c>
      <c r="R3319" t="s">
        <v>6067</v>
      </c>
      <c r="S3319" t="s">
        <v>6073</v>
      </c>
    </row>
    <row r="3320" spans="1:19" ht="14.25" customHeight="1" x14ac:dyDescent="0.3">
      <c r="A3320" t="s">
        <v>3527</v>
      </c>
      <c r="B3320" t="s">
        <v>2516</v>
      </c>
      <c r="C3320" t="s">
        <v>3538</v>
      </c>
      <c r="D3320" t="s">
        <v>4</v>
      </c>
      <c r="E3320" t="s">
        <v>3559</v>
      </c>
      <c r="F3320" t="s">
        <v>6058</v>
      </c>
      <c r="G3320" s="2" t="str">
        <f>HYPERLINK("https://vk.com/wall350820894_204")</f>
        <v>https://vk.com/wall350820894_204</v>
      </c>
      <c r="H3320" t="s">
        <v>6062</v>
      </c>
      <c r="I3320" t="s">
        <v>3579</v>
      </c>
      <c r="J3320" s="2" t="str">
        <f>HYPERLINK("http://vk.com/id350820894")</f>
        <v>http://vk.com/id350820894</v>
      </c>
      <c r="K3320">
        <v>120</v>
      </c>
      <c r="L3320" t="s">
        <v>6063</v>
      </c>
      <c r="N3320" t="s">
        <v>25</v>
      </c>
      <c r="O3320" t="s">
        <v>3579</v>
      </c>
      <c r="P3320" s="2" t="str">
        <f>HYPERLINK("http://vk.com/id350820894")</f>
        <v>http://vk.com/id350820894</v>
      </c>
      <c r="Q3320">
        <v>120</v>
      </c>
      <c r="R3320" t="s">
        <v>6067</v>
      </c>
      <c r="S3320" t="s">
        <v>6072</v>
      </c>
    </row>
    <row r="3321" spans="1:19" ht="14.25" customHeight="1" x14ac:dyDescent="0.3">
      <c r="A3321" t="s">
        <v>3527</v>
      </c>
      <c r="B3321" t="s">
        <v>693</v>
      </c>
      <c r="C3321" t="s">
        <v>3538</v>
      </c>
      <c r="D3321" t="s">
        <v>4</v>
      </c>
      <c r="E3321" t="s">
        <v>3511</v>
      </c>
      <c r="F3321" t="s">
        <v>6058</v>
      </c>
      <c r="G3321" s="2" t="str">
        <f>HYPERLINK("https://vk.com/wall350820894_212")</f>
        <v>https://vk.com/wall350820894_212</v>
      </c>
      <c r="H3321" t="s">
        <v>6062</v>
      </c>
      <c r="I3321" t="s">
        <v>3579</v>
      </c>
      <c r="J3321" s="2" t="str">
        <f>HYPERLINK("http://vk.com/id350820894")</f>
        <v>http://vk.com/id350820894</v>
      </c>
      <c r="K3321">
        <v>120</v>
      </c>
      <c r="L3321" t="s">
        <v>6063</v>
      </c>
      <c r="N3321" t="s">
        <v>25</v>
      </c>
      <c r="O3321" t="s">
        <v>3579</v>
      </c>
      <c r="P3321" s="2" t="str">
        <f>HYPERLINK("http://vk.com/id350820894")</f>
        <v>http://vk.com/id350820894</v>
      </c>
      <c r="Q3321">
        <v>120</v>
      </c>
      <c r="R3321" t="s">
        <v>6067</v>
      </c>
      <c r="S3321" t="s">
        <v>6072</v>
      </c>
    </row>
    <row r="3322" spans="1:19" ht="14.25" customHeight="1" x14ac:dyDescent="0.3">
      <c r="A3322" t="s">
        <v>3527</v>
      </c>
      <c r="B3322" t="s">
        <v>864</v>
      </c>
      <c r="C3322" t="s">
        <v>95</v>
      </c>
      <c r="D3322" t="s">
        <v>4</v>
      </c>
      <c r="E3322" t="s">
        <v>3706</v>
      </c>
      <c r="F3322" t="s">
        <v>6058</v>
      </c>
      <c r="G3322" s="2" t="str">
        <f>HYPERLINK("https://vk.com/wall456919722_1355")</f>
        <v>https://vk.com/wall456919722_1355</v>
      </c>
      <c r="H3322" t="s">
        <v>6062</v>
      </c>
      <c r="I3322" t="s">
        <v>3852</v>
      </c>
      <c r="J3322" s="2" t="str">
        <f>HYPERLINK("http://vk.com/id456919722")</f>
        <v>http://vk.com/id456919722</v>
      </c>
      <c r="K3322">
        <v>232</v>
      </c>
      <c r="L3322" t="s">
        <v>6063</v>
      </c>
      <c r="M3322">
        <v>38</v>
      </c>
      <c r="N3322" t="s">
        <v>25</v>
      </c>
      <c r="O3322" t="s">
        <v>3852</v>
      </c>
      <c r="P3322" s="2" t="str">
        <f>HYPERLINK("http://vk.com/id456919722")</f>
        <v>http://vk.com/id456919722</v>
      </c>
      <c r="Q3322">
        <v>232</v>
      </c>
      <c r="R3322" t="s">
        <v>6067</v>
      </c>
    </row>
    <row r="3323" spans="1:19" ht="14.25" customHeight="1" x14ac:dyDescent="0.3">
      <c r="A3323" t="s">
        <v>3527</v>
      </c>
      <c r="B3323" t="s">
        <v>296</v>
      </c>
      <c r="C3323" t="s">
        <v>3538</v>
      </c>
      <c r="D3323" t="s">
        <v>4</v>
      </c>
      <c r="E3323" t="s">
        <v>4045</v>
      </c>
      <c r="F3323" t="s">
        <v>6058</v>
      </c>
      <c r="G3323" s="2" t="str">
        <f>HYPERLINK("https://vk.com/wall443770425_1154")</f>
        <v>https://vk.com/wall443770425_1154</v>
      </c>
      <c r="H3323" t="s">
        <v>6062</v>
      </c>
      <c r="I3323" t="s">
        <v>4283</v>
      </c>
      <c r="J3323" s="2" t="str">
        <f>HYPERLINK("http://vk.com/id443770425")</f>
        <v>http://vk.com/id443770425</v>
      </c>
      <c r="K3323">
        <v>171</v>
      </c>
      <c r="L3323" t="s">
        <v>6063</v>
      </c>
      <c r="M3323">
        <v>54</v>
      </c>
      <c r="N3323" t="s">
        <v>25</v>
      </c>
      <c r="O3323" t="s">
        <v>4283</v>
      </c>
      <c r="P3323" s="2" t="str">
        <f>HYPERLINK("http://vk.com/id443770425")</f>
        <v>http://vk.com/id443770425</v>
      </c>
      <c r="Q3323">
        <v>171</v>
      </c>
      <c r="R3323" t="s">
        <v>6067</v>
      </c>
      <c r="S3323" t="s">
        <v>6072</v>
      </c>
    </row>
    <row r="3324" spans="1:19" ht="14.25" customHeight="1" x14ac:dyDescent="0.3">
      <c r="A3324" t="s">
        <v>4439</v>
      </c>
      <c r="B3324" t="s">
        <v>762</v>
      </c>
      <c r="C3324" t="s">
        <v>3538</v>
      </c>
      <c r="D3324" t="s">
        <v>4512</v>
      </c>
      <c r="E3324" t="s">
        <v>4513</v>
      </c>
      <c r="F3324" t="s">
        <v>6059</v>
      </c>
      <c r="G3324" s="2" t="str">
        <f>HYPERLINK("https://vk.com/wall-8848915_171358")</f>
        <v>https://vk.com/wall-8848915_171358</v>
      </c>
      <c r="H3324" t="s">
        <v>6062</v>
      </c>
      <c r="I3324" t="s">
        <v>4514</v>
      </c>
      <c r="J3324" s="2" t="str">
        <f>HYPERLINK("http://vk.com/id201687368")</f>
        <v>http://vk.com/id201687368</v>
      </c>
      <c r="K3324">
        <v>568</v>
      </c>
      <c r="L3324" t="s">
        <v>6063</v>
      </c>
      <c r="N3324" t="s">
        <v>25</v>
      </c>
      <c r="O3324" t="s">
        <v>4515</v>
      </c>
      <c r="P3324" s="2" t="str">
        <f>HYPERLINK("http://vk.com/club8848915")</f>
        <v>http://vk.com/club8848915</v>
      </c>
      <c r="Q3324">
        <v>8509</v>
      </c>
      <c r="R3324" t="s">
        <v>6067</v>
      </c>
    </row>
    <row r="3325" spans="1:19" ht="14.25" customHeight="1" x14ac:dyDescent="0.3">
      <c r="A3325" t="s">
        <v>3527</v>
      </c>
      <c r="B3325" t="s">
        <v>4371</v>
      </c>
      <c r="C3325" t="s">
        <v>3538</v>
      </c>
      <c r="D3325" t="s">
        <v>4</v>
      </c>
      <c r="E3325" t="s">
        <v>4045</v>
      </c>
      <c r="F3325" t="s">
        <v>6058</v>
      </c>
      <c r="G3325" s="2" t="str">
        <f>HYPERLINK("https://vk.com/wall479208170_102")</f>
        <v>https://vk.com/wall479208170_102</v>
      </c>
      <c r="H3325" t="s">
        <v>6062</v>
      </c>
      <c r="I3325" t="s">
        <v>4372</v>
      </c>
      <c r="J3325" s="2" t="str">
        <f>HYPERLINK("http://vk.com/id479208170")</f>
        <v>http://vk.com/id479208170</v>
      </c>
      <c r="K3325">
        <v>1</v>
      </c>
      <c r="L3325" t="s">
        <v>6064</v>
      </c>
      <c r="M3325">
        <v>19</v>
      </c>
      <c r="N3325" t="s">
        <v>25</v>
      </c>
      <c r="O3325" t="s">
        <v>4372</v>
      </c>
      <c r="P3325" s="2" t="str">
        <f>HYPERLINK("http://vk.com/id479208170")</f>
        <v>http://vk.com/id479208170</v>
      </c>
      <c r="Q3325">
        <v>1</v>
      </c>
      <c r="R3325" t="s">
        <v>6067</v>
      </c>
    </row>
    <row r="3326" spans="1:19" ht="14.25" customHeight="1" x14ac:dyDescent="0.3">
      <c r="A3326" t="s">
        <v>3527</v>
      </c>
      <c r="B3326" t="s">
        <v>4348</v>
      </c>
      <c r="C3326" t="s">
        <v>3538</v>
      </c>
      <c r="D3326" t="s">
        <v>4</v>
      </c>
      <c r="E3326" t="s">
        <v>4045</v>
      </c>
      <c r="F3326" t="s">
        <v>6058</v>
      </c>
      <c r="G3326" s="2" t="str">
        <f>HYPERLINK("https://vk.com/wall216969747_2802")</f>
        <v>https://vk.com/wall216969747_2802</v>
      </c>
      <c r="H3326" t="s">
        <v>6062</v>
      </c>
      <c r="I3326" t="s">
        <v>3806</v>
      </c>
      <c r="J3326" s="2" t="str">
        <f>HYPERLINK("http://vk.com/id216969747")</f>
        <v>http://vk.com/id216969747</v>
      </c>
      <c r="K3326">
        <v>1714</v>
      </c>
      <c r="L3326" t="s">
        <v>6064</v>
      </c>
      <c r="N3326" t="s">
        <v>25</v>
      </c>
      <c r="O3326" t="s">
        <v>3806</v>
      </c>
      <c r="P3326" s="2" t="str">
        <f>HYPERLINK("http://vk.com/id216969747")</f>
        <v>http://vk.com/id216969747</v>
      </c>
      <c r="Q3326">
        <v>1714</v>
      </c>
      <c r="R3326" t="s">
        <v>6067</v>
      </c>
      <c r="S3326" t="s">
        <v>6072</v>
      </c>
    </row>
    <row r="3327" spans="1:19" ht="14.25" customHeight="1" x14ac:dyDescent="0.3">
      <c r="A3327" t="s">
        <v>3527</v>
      </c>
      <c r="B3327" t="s">
        <v>3804</v>
      </c>
      <c r="C3327" t="s">
        <v>3538</v>
      </c>
      <c r="D3327" t="s">
        <v>4</v>
      </c>
      <c r="E3327" t="s">
        <v>3625</v>
      </c>
      <c r="F3327" t="s">
        <v>6058</v>
      </c>
      <c r="G3327" s="2" t="str">
        <f>HYPERLINK("https://vk.com/wall216969747_2827")</f>
        <v>https://vk.com/wall216969747_2827</v>
      </c>
      <c r="H3327" t="s">
        <v>6062</v>
      </c>
      <c r="I3327" t="s">
        <v>3806</v>
      </c>
      <c r="J3327" s="2" t="str">
        <f>HYPERLINK("http://vk.com/id216969747")</f>
        <v>http://vk.com/id216969747</v>
      </c>
      <c r="K3327">
        <v>1714</v>
      </c>
      <c r="L3327" t="s">
        <v>6064</v>
      </c>
      <c r="N3327" t="s">
        <v>25</v>
      </c>
      <c r="O3327" t="s">
        <v>3806</v>
      </c>
      <c r="P3327" s="2" t="str">
        <f>HYPERLINK("http://vk.com/id216969747")</f>
        <v>http://vk.com/id216969747</v>
      </c>
      <c r="Q3327">
        <v>1714</v>
      </c>
      <c r="R3327" t="s">
        <v>6067</v>
      </c>
      <c r="S3327" t="s">
        <v>6072</v>
      </c>
    </row>
    <row r="3328" spans="1:19" ht="14.25" customHeight="1" x14ac:dyDescent="0.3">
      <c r="A3328" t="s">
        <v>2225</v>
      </c>
      <c r="B3328" t="s">
        <v>2221</v>
      </c>
      <c r="C3328" t="s">
        <v>95</v>
      </c>
      <c r="D3328" t="s">
        <v>4</v>
      </c>
      <c r="E3328" t="s">
        <v>3511</v>
      </c>
      <c r="F3328" t="s">
        <v>6058</v>
      </c>
      <c r="G3328" s="2" t="str">
        <f>HYPERLINK("https://vk.com/wall173053486_469")</f>
        <v>https://vk.com/wall173053486_469</v>
      </c>
      <c r="H3328" t="s">
        <v>6062</v>
      </c>
      <c r="I3328" t="s">
        <v>3526</v>
      </c>
      <c r="J3328" s="2" t="str">
        <f>HYPERLINK("http://vk.com/id173053486")</f>
        <v>http://vk.com/id173053486</v>
      </c>
      <c r="K3328">
        <v>30</v>
      </c>
      <c r="L3328" t="s">
        <v>6064</v>
      </c>
      <c r="M3328">
        <v>45</v>
      </c>
      <c r="N3328" t="s">
        <v>25</v>
      </c>
      <c r="O3328" t="s">
        <v>3526</v>
      </c>
      <c r="P3328" s="2" t="str">
        <f>HYPERLINK("http://vk.com/id173053486")</f>
        <v>http://vk.com/id173053486</v>
      </c>
      <c r="Q3328">
        <v>30</v>
      </c>
      <c r="R3328" t="s">
        <v>6067</v>
      </c>
      <c r="S3328" t="s">
        <v>6073</v>
      </c>
    </row>
    <row r="3329" spans="1:19" ht="14.25" customHeight="1" x14ac:dyDescent="0.3">
      <c r="A3329" t="s">
        <v>3527</v>
      </c>
      <c r="B3329" t="s">
        <v>1732</v>
      </c>
      <c r="C3329" t="s">
        <v>3538</v>
      </c>
      <c r="D3329" t="s">
        <v>4</v>
      </c>
      <c r="E3329" t="s">
        <v>4045</v>
      </c>
      <c r="F3329" t="s">
        <v>6058</v>
      </c>
      <c r="G3329" s="2" t="str">
        <f>HYPERLINK("https://vk.com/wall410606071_276")</f>
        <v>https://vk.com/wall410606071_276</v>
      </c>
      <c r="H3329" t="s">
        <v>6062</v>
      </c>
      <c r="I3329" t="s">
        <v>4309</v>
      </c>
      <c r="J3329" s="2" t="str">
        <f>HYPERLINK("http://vk.com/id410606071")</f>
        <v>http://vk.com/id410606071</v>
      </c>
      <c r="L3329" t="s">
        <v>6064</v>
      </c>
      <c r="M3329">
        <v>25</v>
      </c>
      <c r="N3329" t="s">
        <v>25</v>
      </c>
      <c r="O3329" t="s">
        <v>4309</v>
      </c>
      <c r="P3329" s="2" t="str">
        <f>HYPERLINK("http://vk.com/id410606071")</f>
        <v>http://vk.com/id410606071</v>
      </c>
      <c r="R3329" t="s">
        <v>6067</v>
      </c>
    </row>
    <row r="3330" spans="1:19" ht="14.25" customHeight="1" x14ac:dyDescent="0.3">
      <c r="A3330" t="s">
        <v>3527</v>
      </c>
      <c r="B3330" t="s">
        <v>881</v>
      </c>
      <c r="C3330" t="s">
        <v>95</v>
      </c>
      <c r="D3330" t="s">
        <v>4</v>
      </c>
      <c r="E3330" t="s">
        <v>3625</v>
      </c>
      <c r="F3330" t="s">
        <v>6058</v>
      </c>
      <c r="G3330" s="2" t="str">
        <f>HYPERLINK("https://vk.com/wall440341784_776")</f>
        <v>https://vk.com/wall440341784_776</v>
      </c>
      <c r="H3330" t="s">
        <v>6062</v>
      </c>
      <c r="I3330" t="s">
        <v>3856</v>
      </c>
      <c r="J3330" s="2" t="str">
        <f>HYPERLINK("http://vk.com/id440341784")</f>
        <v>http://vk.com/id440341784</v>
      </c>
      <c r="K3330">
        <v>74</v>
      </c>
      <c r="L3330" t="s">
        <v>6064</v>
      </c>
      <c r="N3330" t="s">
        <v>25</v>
      </c>
      <c r="O3330" t="s">
        <v>3856</v>
      </c>
      <c r="P3330" s="2" t="str">
        <f>HYPERLINK("http://vk.com/id440341784")</f>
        <v>http://vk.com/id440341784</v>
      </c>
      <c r="Q3330">
        <v>74</v>
      </c>
      <c r="R3330" t="s">
        <v>6067</v>
      </c>
      <c r="S3330" t="s">
        <v>6072</v>
      </c>
    </row>
    <row r="3331" spans="1:19" ht="14.25" customHeight="1" x14ac:dyDescent="0.3">
      <c r="A3331" t="s">
        <v>1</v>
      </c>
      <c r="B3331" t="s">
        <v>184</v>
      </c>
      <c r="C3331" t="s">
        <v>95</v>
      </c>
      <c r="D3331" t="s">
        <v>185</v>
      </c>
      <c r="E3331" t="s">
        <v>186</v>
      </c>
      <c r="F3331" t="s">
        <v>6059</v>
      </c>
      <c r="G3331" s="2" t="str">
        <f>HYPERLINK("https://vk.com/wall-100879860_88412")</f>
        <v>https://vk.com/wall-100879860_88412</v>
      </c>
      <c r="H3331" t="s">
        <v>6062</v>
      </c>
      <c r="I3331" t="s">
        <v>187</v>
      </c>
      <c r="J3331" s="2" t="str">
        <f>HYPERLINK("http://vk.com/club155709276")</f>
        <v>http://vk.com/club155709276</v>
      </c>
      <c r="K3331">
        <v>899</v>
      </c>
      <c r="L3331" t="s">
        <v>6065</v>
      </c>
      <c r="N3331" t="s">
        <v>25</v>
      </c>
      <c r="O3331" t="s">
        <v>188</v>
      </c>
      <c r="P3331" s="2" t="str">
        <f>HYPERLINK("http://vk.com/club100879860")</f>
        <v>http://vk.com/club100879860</v>
      </c>
      <c r="Q3331">
        <v>38265</v>
      </c>
      <c r="R3331" t="s">
        <v>6067</v>
      </c>
      <c r="S3331" t="s">
        <v>6083</v>
      </c>
    </row>
    <row r="3332" spans="1:19" ht="14.25" customHeight="1" x14ac:dyDescent="0.3">
      <c r="A3332" t="s">
        <v>1</v>
      </c>
      <c r="B3332" t="s">
        <v>189</v>
      </c>
      <c r="C3332" t="s">
        <v>95</v>
      </c>
      <c r="D3332" t="s">
        <v>192</v>
      </c>
      <c r="E3332" t="s">
        <v>186</v>
      </c>
      <c r="F3332" t="s">
        <v>6059</v>
      </c>
      <c r="G3332" s="2" t="str">
        <f>HYPERLINK("https://vk.com/wall-33634073_1703054")</f>
        <v>https://vk.com/wall-33634073_1703054</v>
      </c>
      <c r="H3332" t="s">
        <v>6062</v>
      </c>
      <c r="I3332" t="s">
        <v>187</v>
      </c>
      <c r="J3332" s="2" t="str">
        <f>HYPERLINK("http://vk.com/club155709276")</f>
        <v>http://vk.com/club155709276</v>
      </c>
      <c r="K3332">
        <v>899</v>
      </c>
      <c r="L3332" t="s">
        <v>6065</v>
      </c>
      <c r="N3332" t="s">
        <v>25</v>
      </c>
      <c r="O3332" t="s">
        <v>193</v>
      </c>
      <c r="P3332" s="2" t="str">
        <f>HYPERLINK("http://vk.com/club33634073")</f>
        <v>http://vk.com/club33634073</v>
      </c>
      <c r="Q3332">
        <v>102419</v>
      </c>
      <c r="R3332" t="s">
        <v>6067</v>
      </c>
      <c r="S3332" t="s">
        <v>6083</v>
      </c>
    </row>
    <row r="3333" spans="1:19" ht="14.25" customHeight="1" x14ac:dyDescent="0.3">
      <c r="A3333" t="s">
        <v>1</v>
      </c>
      <c r="B3333" t="s">
        <v>189</v>
      </c>
      <c r="C3333" t="s">
        <v>95</v>
      </c>
      <c r="D3333" t="s">
        <v>194</v>
      </c>
      <c r="E3333" t="s">
        <v>195</v>
      </c>
      <c r="F3333" t="s">
        <v>6059</v>
      </c>
      <c r="G3333" s="2" t="str">
        <f>HYPERLINK("https://vk.com/wall-33634073_1703053")</f>
        <v>https://vk.com/wall-33634073_1703053</v>
      </c>
      <c r="H3333" t="s">
        <v>6062</v>
      </c>
      <c r="I3333" t="s">
        <v>187</v>
      </c>
      <c r="J3333" s="2" t="str">
        <f>HYPERLINK("http://vk.com/club155709276")</f>
        <v>http://vk.com/club155709276</v>
      </c>
      <c r="K3333">
        <v>899</v>
      </c>
      <c r="L3333" t="s">
        <v>6065</v>
      </c>
      <c r="N3333" t="s">
        <v>25</v>
      </c>
      <c r="O3333" t="s">
        <v>193</v>
      </c>
      <c r="P3333" s="2" t="str">
        <f>HYPERLINK("http://vk.com/club33634073")</f>
        <v>http://vk.com/club33634073</v>
      </c>
      <c r="Q3333">
        <v>102419</v>
      </c>
      <c r="R3333" t="s">
        <v>6067</v>
      </c>
      <c r="S3333" t="s">
        <v>6083</v>
      </c>
    </row>
    <row r="3334" spans="1:19" ht="14.25" customHeight="1" x14ac:dyDescent="0.3">
      <c r="A3334" t="s">
        <v>3527</v>
      </c>
      <c r="B3334" t="s">
        <v>4350</v>
      </c>
      <c r="C3334" t="s">
        <v>3538</v>
      </c>
      <c r="D3334" t="s">
        <v>4</v>
      </c>
      <c r="E3334" t="s">
        <v>4045</v>
      </c>
      <c r="F3334" t="s">
        <v>6058</v>
      </c>
      <c r="G3334" s="2" t="str">
        <f>HYPERLINK("https://vk.com/wall387911651_86")</f>
        <v>https://vk.com/wall387911651_86</v>
      </c>
      <c r="H3334" t="s">
        <v>6062</v>
      </c>
      <c r="I3334" t="s">
        <v>4351</v>
      </c>
      <c r="J3334" s="2" t="str">
        <f>HYPERLINK("http://vk.com/id387911651")</f>
        <v>http://vk.com/id387911651</v>
      </c>
      <c r="K3334">
        <v>20</v>
      </c>
      <c r="L3334" t="s">
        <v>6063</v>
      </c>
      <c r="M3334">
        <v>48</v>
      </c>
      <c r="N3334" t="s">
        <v>25</v>
      </c>
      <c r="O3334" t="s">
        <v>4351</v>
      </c>
      <c r="P3334" s="2" t="str">
        <f>HYPERLINK("http://vk.com/id387911651")</f>
        <v>http://vk.com/id387911651</v>
      </c>
      <c r="Q3334">
        <v>20</v>
      </c>
      <c r="R3334" t="s">
        <v>6067</v>
      </c>
      <c r="S3334" t="s">
        <v>6093</v>
      </c>
    </row>
    <row r="3335" spans="1:19" ht="14.25" customHeight="1" x14ac:dyDescent="0.3">
      <c r="A3335" t="s">
        <v>3527</v>
      </c>
      <c r="B3335" t="s">
        <v>3132</v>
      </c>
      <c r="C3335" t="s">
        <v>95</v>
      </c>
      <c r="D3335" t="s">
        <v>4</v>
      </c>
      <c r="E3335" t="s">
        <v>4045</v>
      </c>
      <c r="F3335" t="s">
        <v>6058</v>
      </c>
      <c r="G3335" s="2" t="str">
        <f>HYPERLINK("https://vk.com/wall477815683_54")</f>
        <v>https://vk.com/wall477815683_54</v>
      </c>
      <c r="H3335" t="s">
        <v>6062</v>
      </c>
      <c r="I3335" t="s">
        <v>4052</v>
      </c>
      <c r="J3335" s="2" t="str">
        <f>HYPERLINK("http://vk.com/id477815683")</f>
        <v>http://vk.com/id477815683</v>
      </c>
      <c r="K3335">
        <v>12</v>
      </c>
      <c r="L3335" t="s">
        <v>6064</v>
      </c>
      <c r="M3335">
        <v>27</v>
      </c>
      <c r="N3335" t="s">
        <v>25</v>
      </c>
      <c r="O3335" t="s">
        <v>4052</v>
      </c>
      <c r="P3335" s="2" t="str">
        <f>HYPERLINK("http://vk.com/id477815683")</f>
        <v>http://vk.com/id477815683</v>
      </c>
      <c r="Q3335">
        <v>12</v>
      </c>
      <c r="R3335" t="s">
        <v>6067</v>
      </c>
    </row>
    <row r="3336" spans="1:19" ht="14.25" customHeight="1" x14ac:dyDescent="0.3">
      <c r="A3336" t="s">
        <v>3527</v>
      </c>
      <c r="B3336" t="s">
        <v>915</v>
      </c>
      <c r="C3336" t="s">
        <v>3538</v>
      </c>
      <c r="D3336" t="s">
        <v>4</v>
      </c>
      <c r="E3336" t="s">
        <v>3792</v>
      </c>
      <c r="F3336" t="s">
        <v>6058</v>
      </c>
      <c r="G3336" s="2" t="str">
        <f>HYPERLINK("https://vk.com/wall225512765_284")</f>
        <v>https://vk.com/wall225512765_284</v>
      </c>
      <c r="H3336" t="s">
        <v>6062</v>
      </c>
      <c r="I3336" t="s">
        <v>3936</v>
      </c>
      <c r="J3336" s="2" t="str">
        <f>HYPERLINK("http://vk.com/id225512765")</f>
        <v>http://vk.com/id225512765</v>
      </c>
      <c r="K3336">
        <v>142</v>
      </c>
      <c r="L3336" t="s">
        <v>6064</v>
      </c>
      <c r="N3336" t="s">
        <v>25</v>
      </c>
      <c r="O3336" t="s">
        <v>3936</v>
      </c>
      <c r="P3336" s="2" t="str">
        <f>HYPERLINK("http://vk.com/id225512765")</f>
        <v>http://vk.com/id225512765</v>
      </c>
      <c r="Q3336">
        <v>142</v>
      </c>
      <c r="R3336" t="s">
        <v>6067</v>
      </c>
      <c r="S3336" t="s">
        <v>6072</v>
      </c>
    </row>
    <row r="3337" spans="1:19" ht="14.25" customHeight="1" x14ac:dyDescent="0.3">
      <c r="A3337" t="s">
        <v>3527</v>
      </c>
      <c r="B3337" t="s">
        <v>3914</v>
      </c>
      <c r="C3337" t="s">
        <v>3538</v>
      </c>
      <c r="D3337" t="s">
        <v>4</v>
      </c>
      <c r="E3337" t="s">
        <v>3915</v>
      </c>
      <c r="F3337" t="s">
        <v>6058</v>
      </c>
      <c r="G3337" s="2" t="str">
        <f>HYPERLINK("https://vk.com/wall172166553_2636")</f>
        <v>https://vk.com/wall172166553_2636</v>
      </c>
      <c r="H3337" t="s">
        <v>6062</v>
      </c>
      <c r="I3337" t="s">
        <v>3916</v>
      </c>
      <c r="J3337" s="2" t="str">
        <f>HYPERLINK("http://vk.com/id172166553")</f>
        <v>http://vk.com/id172166553</v>
      </c>
      <c r="K3337">
        <v>451</v>
      </c>
      <c r="L3337" t="s">
        <v>6064</v>
      </c>
      <c r="M3337">
        <v>28</v>
      </c>
      <c r="N3337" t="s">
        <v>25</v>
      </c>
      <c r="O3337" t="s">
        <v>3916</v>
      </c>
      <c r="P3337" s="2" t="str">
        <f>HYPERLINK("http://vk.com/id172166553")</f>
        <v>http://vk.com/id172166553</v>
      </c>
      <c r="Q3337">
        <v>451</v>
      </c>
      <c r="R3337" t="s">
        <v>6067</v>
      </c>
      <c r="S3337" t="s">
        <v>6072</v>
      </c>
    </row>
    <row r="3338" spans="1:19" ht="14.25" customHeight="1" x14ac:dyDescent="0.3">
      <c r="A3338" t="s">
        <v>3527</v>
      </c>
      <c r="B3338" t="s">
        <v>3914</v>
      </c>
      <c r="C3338" t="s">
        <v>3538</v>
      </c>
      <c r="D3338" t="s">
        <v>4</v>
      </c>
      <c r="E3338" t="s">
        <v>509</v>
      </c>
      <c r="F3338" t="s">
        <v>6058</v>
      </c>
      <c r="G3338" s="2" t="str">
        <f>HYPERLINK("https://vk.com/wall172166553_2635")</f>
        <v>https://vk.com/wall172166553_2635</v>
      </c>
      <c r="H3338" t="s">
        <v>6062</v>
      </c>
      <c r="I3338" t="s">
        <v>3916</v>
      </c>
      <c r="J3338" s="2" t="str">
        <f>HYPERLINK("http://vk.com/id172166553")</f>
        <v>http://vk.com/id172166553</v>
      </c>
      <c r="K3338">
        <v>451</v>
      </c>
      <c r="L3338" t="s">
        <v>6064</v>
      </c>
      <c r="M3338">
        <v>28</v>
      </c>
      <c r="N3338" t="s">
        <v>25</v>
      </c>
      <c r="O3338" t="s">
        <v>3916</v>
      </c>
      <c r="P3338" s="2" t="str">
        <f>HYPERLINK("http://vk.com/id172166553")</f>
        <v>http://vk.com/id172166553</v>
      </c>
      <c r="Q3338">
        <v>451</v>
      </c>
      <c r="R3338" t="s">
        <v>6067</v>
      </c>
      <c r="S3338" t="s">
        <v>6072</v>
      </c>
    </row>
    <row r="3339" spans="1:19" ht="14.25" customHeight="1" x14ac:dyDescent="0.3">
      <c r="A3339" t="s">
        <v>3527</v>
      </c>
      <c r="B3339" t="s">
        <v>4336</v>
      </c>
      <c r="C3339" t="s">
        <v>3538</v>
      </c>
      <c r="D3339" t="s">
        <v>4</v>
      </c>
      <c r="E3339" t="s">
        <v>4045</v>
      </c>
      <c r="F3339" t="s">
        <v>6058</v>
      </c>
      <c r="G3339" s="2" t="str">
        <f>HYPERLINK("https://vk.com/wall172466528_1076")</f>
        <v>https://vk.com/wall172466528_1076</v>
      </c>
      <c r="H3339" t="s">
        <v>6062</v>
      </c>
      <c r="I3339" t="s">
        <v>3512</v>
      </c>
      <c r="J3339" s="2" t="str">
        <f>HYPERLINK("http://vk.com/id172466528")</f>
        <v>http://vk.com/id172466528</v>
      </c>
      <c r="K3339">
        <v>145</v>
      </c>
      <c r="L3339" t="s">
        <v>6064</v>
      </c>
      <c r="N3339" t="s">
        <v>25</v>
      </c>
      <c r="O3339" t="s">
        <v>3512</v>
      </c>
      <c r="P3339" s="2" t="str">
        <f>HYPERLINK("http://vk.com/id172466528")</f>
        <v>http://vk.com/id172466528</v>
      </c>
      <c r="Q3339">
        <v>145</v>
      </c>
      <c r="R3339" t="s">
        <v>6067</v>
      </c>
      <c r="S3339" t="s">
        <v>6073</v>
      </c>
    </row>
    <row r="3340" spans="1:19" ht="14.25" customHeight="1" x14ac:dyDescent="0.3">
      <c r="A3340" t="s">
        <v>2225</v>
      </c>
      <c r="B3340" t="s">
        <v>2204</v>
      </c>
      <c r="C3340" t="s">
        <v>95</v>
      </c>
      <c r="D3340" t="s">
        <v>4</v>
      </c>
      <c r="E3340" t="s">
        <v>3511</v>
      </c>
      <c r="F3340" t="s">
        <v>6058</v>
      </c>
      <c r="G3340" s="2" t="str">
        <f>HYPERLINK("https://vk.com/wall172466528_1101")</f>
        <v>https://vk.com/wall172466528_1101</v>
      </c>
      <c r="H3340" t="s">
        <v>6062</v>
      </c>
      <c r="I3340" t="s">
        <v>3512</v>
      </c>
      <c r="J3340" s="2" t="str">
        <f>HYPERLINK("http://vk.com/id172466528")</f>
        <v>http://vk.com/id172466528</v>
      </c>
      <c r="K3340">
        <v>145</v>
      </c>
      <c r="L3340" t="s">
        <v>6064</v>
      </c>
      <c r="N3340" t="s">
        <v>25</v>
      </c>
      <c r="O3340" t="s">
        <v>3512</v>
      </c>
      <c r="P3340" s="2" t="str">
        <f>HYPERLINK("http://vk.com/id172466528")</f>
        <v>http://vk.com/id172466528</v>
      </c>
      <c r="Q3340">
        <v>145</v>
      </c>
      <c r="R3340" t="s">
        <v>6067</v>
      </c>
      <c r="S3340" t="s">
        <v>6073</v>
      </c>
    </row>
    <row r="3341" spans="1:19" ht="14.25" customHeight="1" x14ac:dyDescent="0.3">
      <c r="A3341" t="s">
        <v>1</v>
      </c>
      <c r="B3341" t="s">
        <v>81</v>
      </c>
      <c r="C3341" t="s">
        <v>78</v>
      </c>
      <c r="D3341" t="s">
        <v>4</v>
      </c>
      <c r="E3341" t="s">
        <v>82</v>
      </c>
      <c r="F3341" t="s">
        <v>6056</v>
      </c>
      <c r="G3341" s="2" t="str">
        <f>HYPERLINK("https://vk.com/wall292414170_3073")</f>
        <v>https://vk.com/wall292414170_3073</v>
      </c>
      <c r="H3341" t="s">
        <v>6062</v>
      </c>
      <c r="I3341" t="s">
        <v>83</v>
      </c>
      <c r="J3341" s="2" t="str">
        <f>HYPERLINK("http://vk.com/id292414170")</f>
        <v>http://vk.com/id292414170</v>
      </c>
      <c r="K3341">
        <v>3193</v>
      </c>
      <c r="L3341" t="s">
        <v>6064</v>
      </c>
      <c r="N3341" t="s">
        <v>25</v>
      </c>
      <c r="O3341" t="s">
        <v>83</v>
      </c>
      <c r="P3341" s="2" t="str">
        <f>HYPERLINK("http://vk.com/id292414170")</f>
        <v>http://vk.com/id292414170</v>
      </c>
      <c r="Q3341">
        <v>3193</v>
      </c>
      <c r="R3341" t="s">
        <v>6067</v>
      </c>
      <c r="S3341" t="s">
        <v>6073</v>
      </c>
    </row>
    <row r="3342" spans="1:19" ht="14.25" customHeight="1" x14ac:dyDescent="0.3">
      <c r="A3342" t="s">
        <v>3527</v>
      </c>
      <c r="B3342" t="s">
        <v>4204</v>
      </c>
      <c r="C3342" t="s">
        <v>95</v>
      </c>
      <c r="D3342" t="s">
        <v>4</v>
      </c>
      <c r="E3342" t="s">
        <v>4045</v>
      </c>
      <c r="F3342" t="s">
        <v>6058</v>
      </c>
      <c r="G3342" s="2" t="str">
        <f>HYPERLINK("https://vk.com/wall479907980_156")</f>
        <v>https://vk.com/wall479907980_156</v>
      </c>
      <c r="H3342" t="s">
        <v>6062</v>
      </c>
      <c r="I3342" t="s">
        <v>3902</v>
      </c>
      <c r="J3342" s="2" t="str">
        <f>HYPERLINK("http://vk.com/id479907980")</f>
        <v>http://vk.com/id479907980</v>
      </c>
      <c r="K3342">
        <v>3</v>
      </c>
      <c r="L3342" t="s">
        <v>6064</v>
      </c>
      <c r="M3342">
        <v>17</v>
      </c>
      <c r="N3342" t="s">
        <v>25</v>
      </c>
      <c r="O3342" t="s">
        <v>3902</v>
      </c>
      <c r="P3342" s="2" t="str">
        <f>HYPERLINK("http://vk.com/id479907980")</f>
        <v>http://vk.com/id479907980</v>
      </c>
      <c r="Q3342">
        <v>3</v>
      </c>
      <c r="R3342" t="s">
        <v>6067</v>
      </c>
    </row>
    <row r="3343" spans="1:19" ht="14.25" customHeight="1" x14ac:dyDescent="0.3">
      <c r="A3343" t="s">
        <v>3527</v>
      </c>
      <c r="B3343" t="s">
        <v>3901</v>
      </c>
      <c r="C3343" t="s">
        <v>95</v>
      </c>
      <c r="D3343" t="s">
        <v>4</v>
      </c>
      <c r="E3343" t="s">
        <v>3792</v>
      </c>
      <c r="F3343" t="s">
        <v>6058</v>
      </c>
      <c r="G3343" s="2" t="str">
        <f>HYPERLINK("https://vk.com/wall479907980_170")</f>
        <v>https://vk.com/wall479907980_170</v>
      </c>
      <c r="H3343" t="s">
        <v>6062</v>
      </c>
      <c r="I3343" t="s">
        <v>3902</v>
      </c>
      <c r="J3343" s="2" t="str">
        <f>HYPERLINK("http://vk.com/id479907980")</f>
        <v>http://vk.com/id479907980</v>
      </c>
      <c r="K3343">
        <v>3</v>
      </c>
      <c r="L3343" t="s">
        <v>6064</v>
      </c>
      <c r="M3343">
        <v>17</v>
      </c>
      <c r="N3343" t="s">
        <v>25</v>
      </c>
      <c r="O3343" t="s">
        <v>3902</v>
      </c>
      <c r="P3343" s="2" t="str">
        <f>HYPERLINK("http://vk.com/id479907980")</f>
        <v>http://vk.com/id479907980</v>
      </c>
      <c r="Q3343">
        <v>3</v>
      </c>
      <c r="R3343" t="s">
        <v>6067</v>
      </c>
    </row>
    <row r="3344" spans="1:19" ht="14.25" customHeight="1" x14ac:dyDescent="0.3">
      <c r="A3344" t="s">
        <v>3527</v>
      </c>
      <c r="B3344" t="s">
        <v>3621</v>
      </c>
      <c r="C3344" t="s">
        <v>95</v>
      </c>
      <c r="D3344" t="s">
        <v>4</v>
      </c>
      <c r="E3344" t="s">
        <v>3559</v>
      </c>
      <c r="F3344" t="s">
        <v>6058</v>
      </c>
      <c r="G3344" s="2" t="str">
        <f>HYPERLINK("https://vk.com/wall454376091_251")</f>
        <v>https://vk.com/wall454376091_251</v>
      </c>
      <c r="H3344" t="s">
        <v>6062</v>
      </c>
      <c r="I3344" t="s">
        <v>3622</v>
      </c>
      <c r="J3344" s="2" t="str">
        <f>HYPERLINK("http://vk.com/id454376091")</f>
        <v>http://vk.com/id454376091</v>
      </c>
      <c r="K3344">
        <v>66</v>
      </c>
      <c r="L3344" t="s">
        <v>6063</v>
      </c>
      <c r="M3344">
        <v>15</v>
      </c>
      <c r="N3344" t="s">
        <v>25</v>
      </c>
      <c r="O3344" t="s">
        <v>3622</v>
      </c>
      <c r="P3344" s="2" t="str">
        <f>HYPERLINK("http://vk.com/id454376091")</f>
        <v>http://vk.com/id454376091</v>
      </c>
      <c r="Q3344">
        <v>66</v>
      </c>
      <c r="R3344" t="s">
        <v>6067</v>
      </c>
    </row>
    <row r="3345" spans="1:19" ht="14.25" customHeight="1" x14ac:dyDescent="0.3">
      <c r="A3345" t="s">
        <v>3527</v>
      </c>
      <c r="B3345" t="s">
        <v>4344</v>
      </c>
      <c r="C3345" t="s">
        <v>3538</v>
      </c>
      <c r="D3345" t="s">
        <v>4</v>
      </c>
      <c r="E3345" t="s">
        <v>4045</v>
      </c>
      <c r="F3345" t="s">
        <v>6058</v>
      </c>
      <c r="G3345" s="2" t="str">
        <f>HYPERLINK("https://vk.com/wall435124945_3681")</f>
        <v>https://vk.com/wall435124945_3681</v>
      </c>
      <c r="H3345" t="s">
        <v>6062</v>
      </c>
      <c r="I3345" t="s">
        <v>4345</v>
      </c>
      <c r="J3345" s="2" t="str">
        <f>HYPERLINK("http://vk.com/id435124945")</f>
        <v>http://vk.com/id435124945</v>
      </c>
      <c r="K3345">
        <v>613</v>
      </c>
      <c r="L3345" t="s">
        <v>6063</v>
      </c>
      <c r="M3345">
        <v>27</v>
      </c>
      <c r="N3345" t="s">
        <v>25</v>
      </c>
      <c r="O3345" t="s">
        <v>4345</v>
      </c>
      <c r="P3345" s="2" t="str">
        <f>HYPERLINK("http://vk.com/id435124945")</f>
        <v>http://vk.com/id435124945</v>
      </c>
      <c r="Q3345">
        <v>613</v>
      </c>
      <c r="R3345" t="s">
        <v>6067</v>
      </c>
    </row>
    <row r="3346" spans="1:19" ht="14.25" customHeight="1" x14ac:dyDescent="0.3">
      <c r="A3346" t="s">
        <v>4439</v>
      </c>
      <c r="B3346" t="s">
        <v>2392</v>
      </c>
      <c r="C3346" t="s">
        <v>3538</v>
      </c>
      <c r="D3346" t="s">
        <v>4</v>
      </c>
      <c r="E3346" t="s">
        <v>3820</v>
      </c>
      <c r="F3346" t="s">
        <v>6058</v>
      </c>
      <c r="G3346" s="2" t="str">
        <f>HYPERLINK("https://vk.com/wall18840385_2587")</f>
        <v>https://vk.com/wall18840385_2587</v>
      </c>
      <c r="H3346" t="s">
        <v>6062</v>
      </c>
      <c r="I3346" t="s">
        <v>4481</v>
      </c>
      <c r="J3346" s="2" t="str">
        <f>HYPERLINK("http://vk.com/id18840385")</f>
        <v>http://vk.com/id18840385</v>
      </c>
      <c r="K3346">
        <v>3</v>
      </c>
      <c r="L3346" t="s">
        <v>6063</v>
      </c>
      <c r="M3346">
        <v>26</v>
      </c>
      <c r="N3346" t="s">
        <v>25</v>
      </c>
      <c r="O3346" t="s">
        <v>4481</v>
      </c>
      <c r="P3346" s="2" t="str">
        <f>HYPERLINK("http://vk.com/id18840385")</f>
        <v>http://vk.com/id18840385</v>
      </c>
      <c r="Q3346">
        <v>3</v>
      </c>
      <c r="R3346" t="s">
        <v>6067</v>
      </c>
      <c r="S3346" t="s">
        <v>6072</v>
      </c>
    </row>
    <row r="3347" spans="1:19" ht="14.25" customHeight="1" x14ac:dyDescent="0.3">
      <c r="A3347" t="s">
        <v>1</v>
      </c>
      <c r="B3347" t="s">
        <v>165</v>
      </c>
      <c r="C3347" t="s">
        <v>95</v>
      </c>
      <c r="D3347" t="s">
        <v>4</v>
      </c>
      <c r="E3347" t="s">
        <v>169</v>
      </c>
      <c r="F3347" t="s">
        <v>6056</v>
      </c>
      <c r="G3347" s="2" t="str">
        <f>HYPERLINK("https://vk.com/wall-139169418_965")</f>
        <v>https://vk.com/wall-139169418_965</v>
      </c>
      <c r="H3347" t="s">
        <v>6062</v>
      </c>
      <c r="I3347" t="s">
        <v>170</v>
      </c>
      <c r="J3347" s="2" t="str">
        <f>HYPERLINK("http://vk.com/club139169418")</f>
        <v>http://vk.com/club139169418</v>
      </c>
      <c r="K3347">
        <v>499</v>
      </c>
      <c r="L3347" t="s">
        <v>6065</v>
      </c>
      <c r="N3347" t="s">
        <v>25</v>
      </c>
      <c r="O3347" t="s">
        <v>170</v>
      </c>
      <c r="P3347" s="2" t="str">
        <f>HYPERLINK("http://vk.com/club139169418")</f>
        <v>http://vk.com/club139169418</v>
      </c>
      <c r="Q3347">
        <v>499</v>
      </c>
      <c r="R3347" t="s">
        <v>6067</v>
      </c>
      <c r="S3347" t="s">
        <v>6073</v>
      </c>
    </row>
    <row r="3348" spans="1:19" ht="14.25" customHeight="1" x14ac:dyDescent="0.3">
      <c r="A3348" t="s">
        <v>3527</v>
      </c>
      <c r="B3348" t="s">
        <v>3245</v>
      </c>
      <c r="C3348" t="s">
        <v>95</v>
      </c>
      <c r="D3348" t="s">
        <v>4</v>
      </c>
      <c r="E3348" t="s">
        <v>4045</v>
      </c>
      <c r="F3348" t="s">
        <v>6058</v>
      </c>
      <c r="G3348" s="2" t="str">
        <f>HYPERLINK("https://vk.com/wall473437848_321")</f>
        <v>https://vk.com/wall473437848_321</v>
      </c>
      <c r="H3348" t="s">
        <v>6062</v>
      </c>
      <c r="I3348" t="s">
        <v>4176</v>
      </c>
      <c r="J3348" s="2" t="str">
        <f>HYPERLINK("http://vk.com/id473437848")</f>
        <v>http://vk.com/id473437848</v>
      </c>
      <c r="K3348">
        <v>854</v>
      </c>
      <c r="L3348" t="s">
        <v>6064</v>
      </c>
      <c r="M3348">
        <v>24</v>
      </c>
      <c r="N3348" t="s">
        <v>25</v>
      </c>
      <c r="O3348" t="s">
        <v>4176</v>
      </c>
      <c r="P3348" s="2" t="str">
        <f>HYPERLINK("http://vk.com/id473437848")</f>
        <v>http://vk.com/id473437848</v>
      </c>
      <c r="Q3348">
        <v>854</v>
      </c>
      <c r="R3348" t="s">
        <v>6067</v>
      </c>
      <c r="S3348" t="s">
        <v>6072</v>
      </c>
    </row>
    <row r="3349" spans="1:19" ht="14.25" customHeight="1" x14ac:dyDescent="0.3">
      <c r="A3349" t="s">
        <v>3527</v>
      </c>
      <c r="B3349" t="s">
        <v>2376</v>
      </c>
      <c r="C3349" t="s">
        <v>95</v>
      </c>
      <c r="D3349" t="s">
        <v>4</v>
      </c>
      <c r="E3349" t="s">
        <v>3511</v>
      </c>
      <c r="F3349" t="s">
        <v>6058</v>
      </c>
      <c r="G3349" s="2" t="str">
        <f>HYPERLINK("https://vk.com/wall480775076_24")</f>
        <v>https://vk.com/wall480775076_24</v>
      </c>
      <c r="H3349" t="s">
        <v>6062</v>
      </c>
      <c r="I3349" t="s">
        <v>3648</v>
      </c>
      <c r="J3349" s="2" t="str">
        <f>HYPERLINK("http://vk.com/id480775076")</f>
        <v>http://vk.com/id480775076</v>
      </c>
      <c r="K3349">
        <v>0</v>
      </c>
      <c r="L3349" t="s">
        <v>6064</v>
      </c>
      <c r="M3349">
        <v>49</v>
      </c>
      <c r="N3349" t="s">
        <v>25</v>
      </c>
      <c r="O3349" t="s">
        <v>3648</v>
      </c>
      <c r="P3349" s="2" t="str">
        <f>HYPERLINK("http://vk.com/id480775076")</f>
        <v>http://vk.com/id480775076</v>
      </c>
      <c r="Q3349">
        <v>0</v>
      </c>
      <c r="R3349" t="s">
        <v>6067</v>
      </c>
      <c r="S3349" t="s">
        <v>6072</v>
      </c>
    </row>
    <row r="3350" spans="1:19" ht="14.25" customHeight="1" x14ac:dyDescent="0.3">
      <c r="A3350" t="s">
        <v>4995</v>
      </c>
      <c r="B3350" t="s">
        <v>1787</v>
      </c>
      <c r="C3350" t="s">
        <v>3538</v>
      </c>
      <c r="D3350" t="s">
        <v>4</v>
      </c>
      <c r="E3350" t="s">
        <v>5319</v>
      </c>
      <c r="F3350" t="s">
        <v>6056</v>
      </c>
      <c r="G3350" s="2" t="str">
        <f>HYPERLINK("https://vk.com/wall259419509_2471")</f>
        <v>https://vk.com/wall259419509_2471</v>
      </c>
      <c r="H3350" t="s">
        <v>6062</v>
      </c>
      <c r="I3350" t="s">
        <v>5320</v>
      </c>
      <c r="J3350" s="2" t="str">
        <f>HYPERLINK("http://vk.com/id259419509")</f>
        <v>http://vk.com/id259419509</v>
      </c>
      <c r="K3350">
        <v>546</v>
      </c>
      <c r="L3350" t="s">
        <v>6064</v>
      </c>
      <c r="M3350">
        <v>18</v>
      </c>
      <c r="N3350" t="s">
        <v>25</v>
      </c>
      <c r="O3350" t="s">
        <v>5320</v>
      </c>
      <c r="P3350" s="2" t="str">
        <f>HYPERLINK("http://vk.com/id259419509")</f>
        <v>http://vk.com/id259419509</v>
      </c>
      <c r="Q3350">
        <v>546</v>
      </c>
      <c r="R3350" t="s">
        <v>6067</v>
      </c>
      <c r="S3350" t="s">
        <v>6073</v>
      </c>
    </row>
    <row r="3351" spans="1:19" ht="14.25" customHeight="1" x14ac:dyDescent="0.3">
      <c r="A3351" t="s">
        <v>3527</v>
      </c>
      <c r="B3351" t="s">
        <v>890</v>
      </c>
      <c r="C3351" t="s">
        <v>95</v>
      </c>
      <c r="D3351" t="s">
        <v>4</v>
      </c>
      <c r="E3351" t="s">
        <v>3792</v>
      </c>
      <c r="F3351" t="s">
        <v>6058</v>
      </c>
      <c r="G3351" s="2" t="str">
        <f>HYPERLINK("https://vk.com/wall393400039_954")</f>
        <v>https://vk.com/wall393400039_954</v>
      </c>
      <c r="H3351" t="s">
        <v>6062</v>
      </c>
      <c r="I3351" t="s">
        <v>3868</v>
      </c>
      <c r="J3351" s="2" t="str">
        <f>HYPERLINK("http://vk.com/id393400039")</f>
        <v>http://vk.com/id393400039</v>
      </c>
      <c r="K3351">
        <v>474</v>
      </c>
      <c r="L3351" t="s">
        <v>6064</v>
      </c>
      <c r="M3351">
        <v>26</v>
      </c>
      <c r="N3351" t="s">
        <v>25</v>
      </c>
      <c r="O3351" t="s">
        <v>3868</v>
      </c>
      <c r="P3351" s="2" t="str">
        <f>HYPERLINK("http://vk.com/id393400039")</f>
        <v>http://vk.com/id393400039</v>
      </c>
      <c r="Q3351">
        <v>474</v>
      </c>
      <c r="R3351" t="s">
        <v>6067</v>
      </c>
    </row>
    <row r="3352" spans="1:19" ht="14.25" customHeight="1" x14ac:dyDescent="0.3">
      <c r="A3352" t="s">
        <v>3527</v>
      </c>
      <c r="B3352" t="s">
        <v>3968</v>
      </c>
      <c r="C3352" t="s">
        <v>95</v>
      </c>
      <c r="D3352" t="s">
        <v>4</v>
      </c>
      <c r="E3352" t="s">
        <v>3970</v>
      </c>
      <c r="F3352" t="s">
        <v>6056</v>
      </c>
      <c r="G3352" s="2" t="str">
        <f>HYPERLINK("https://vk.com/wall-30230486_293084")</f>
        <v>https://vk.com/wall-30230486_293084</v>
      </c>
      <c r="H3352" t="s">
        <v>6062</v>
      </c>
      <c r="I3352" t="s">
        <v>2806</v>
      </c>
      <c r="J3352" s="2" t="str">
        <f>HYPERLINK("http://vk.com/club30230486")</f>
        <v>http://vk.com/club30230486</v>
      </c>
      <c r="K3352">
        <v>87201</v>
      </c>
      <c r="L3352" t="s">
        <v>6065</v>
      </c>
      <c r="N3352" t="s">
        <v>25</v>
      </c>
      <c r="O3352" t="s">
        <v>2806</v>
      </c>
      <c r="P3352" s="2" t="str">
        <f>HYPERLINK("http://vk.com/club30230486")</f>
        <v>http://vk.com/club30230486</v>
      </c>
      <c r="Q3352">
        <v>87201</v>
      </c>
      <c r="R3352" t="s">
        <v>6067</v>
      </c>
    </row>
    <row r="3353" spans="1:19" ht="14.25" customHeight="1" x14ac:dyDescent="0.3">
      <c r="A3353" t="s">
        <v>4439</v>
      </c>
      <c r="B3353" t="s">
        <v>3908</v>
      </c>
      <c r="C3353" t="s">
        <v>3538</v>
      </c>
      <c r="D3353" t="s">
        <v>4</v>
      </c>
      <c r="E3353" t="s">
        <v>509</v>
      </c>
      <c r="F3353" t="s">
        <v>6058</v>
      </c>
      <c r="G3353" s="2" t="str">
        <f>HYPERLINK("https://vk.com/wall29554590_1296")</f>
        <v>https://vk.com/wall29554590_1296</v>
      </c>
      <c r="H3353" t="s">
        <v>6062</v>
      </c>
      <c r="I3353" t="s">
        <v>4572</v>
      </c>
      <c r="J3353" s="2" t="str">
        <f>HYPERLINK("http://vk.com/id29554590")</f>
        <v>http://vk.com/id29554590</v>
      </c>
      <c r="K3353">
        <v>698</v>
      </c>
      <c r="L3353" t="s">
        <v>6064</v>
      </c>
      <c r="M3353">
        <v>35</v>
      </c>
      <c r="N3353" t="s">
        <v>25</v>
      </c>
      <c r="O3353" t="s">
        <v>4572</v>
      </c>
      <c r="P3353" s="2" t="str">
        <f>HYPERLINK("http://vk.com/id29554590")</f>
        <v>http://vk.com/id29554590</v>
      </c>
      <c r="Q3353">
        <v>698</v>
      </c>
      <c r="R3353" t="s">
        <v>6067</v>
      </c>
      <c r="S3353" t="s">
        <v>6073</v>
      </c>
    </row>
    <row r="3354" spans="1:19" ht="14.25" customHeight="1" x14ac:dyDescent="0.3">
      <c r="A3354" t="s">
        <v>3527</v>
      </c>
      <c r="B3354" t="s">
        <v>2981</v>
      </c>
      <c r="C3354" t="s">
        <v>95</v>
      </c>
      <c r="D3354" t="s">
        <v>4</v>
      </c>
      <c r="E3354" t="s">
        <v>3820</v>
      </c>
      <c r="F3354" t="s">
        <v>6058</v>
      </c>
      <c r="G3354" s="2" t="str">
        <f>HYPERLINK("https://vk.com/wall357015231_13")</f>
        <v>https://vk.com/wall357015231_13</v>
      </c>
      <c r="H3354" t="s">
        <v>6062</v>
      </c>
      <c r="I3354" t="s">
        <v>3855</v>
      </c>
      <c r="J3354" s="2" t="str">
        <f>HYPERLINK("http://vk.com/id357015231")</f>
        <v>http://vk.com/id357015231</v>
      </c>
      <c r="K3354">
        <v>0</v>
      </c>
      <c r="L3354" t="s">
        <v>6064</v>
      </c>
      <c r="M3354">
        <v>31</v>
      </c>
      <c r="N3354" t="s">
        <v>25</v>
      </c>
      <c r="O3354" t="s">
        <v>3855</v>
      </c>
      <c r="P3354" s="2" t="str">
        <f>HYPERLINK("http://vk.com/id357015231")</f>
        <v>http://vk.com/id357015231</v>
      </c>
      <c r="Q3354">
        <v>0</v>
      </c>
      <c r="R3354" t="s">
        <v>6067</v>
      </c>
      <c r="S3354" t="s">
        <v>6092</v>
      </c>
    </row>
    <row r="3355" spans="1:19" ht="14.25" customHeight="1" x14ac:dyDescent="0.3">
      <c r="A3355" t="s">
        <v>3527</v>
      </c>
      <c r="B3355" t="s">
        <v>4213</v>
      </c>
      <c r="C3355" t="s">
        <v>95</v>
      </c>
      <c r="D3355" t="s">
        <v>4</v>
      </c>
      <c r="E3355" t="s">
        <v>4045</v>
      </c>
      <c r="F3355" t="s">
        <v>6058</v>
      </c>
      <c r="G3355" s="2" t="str">
        <f>HYPERLINK("https://vk.com/wall437992117_938")</f>
        <v>https://vk.com/wall437992117_938</v>
      </c>
      <c r="H3355" t="s">
        <v>6062</v>
      </c>
      <c r="I3355" t="s">
        <v>3847</v>
      </c>
      <c r="J3355" s="2" t="str">
        <f>HYPERLINK("http://vk.com/id437992117")</f>
        <v>http://vk.com/id437992117</v>
      </c>
      <c r="K3355">
        <v>238</v>
      </c>
      <c r="L3355" t="s">
        <v>6064</v>
      </c>
      <c r="M3355">
        <v>46</v>
      </c>
      <c r="N3355" t="s">
        <v>25</v>
      </c>
      <c r="O3355" t="s">
        <v>3847</v>
      </c>
      <c r="P3355" s="2" t="str">
        <f>HYPERLINK("http://vk.com/id437992117")</f>
        <v>http://vk.com/id437992117</v>
      </c>
      <c r="Q3355">
        <v>238</v>
      </c>
      <c r="R3355" t="s">
        <v>6067</v>
      </c>
      <c r="S3355" t="s">
        <v>6072</v>
      </c>
    </row>
    <row r="3356" spans="1:19" ht="14.25" customHeight="1" x14ac:dyDescent="0.3">
      <c r="A3356" t="s">
        <v>3527</v>
      </c>
      <c r="B3356" t="s">
        <v>843</v>
      </c>
      <c r="C3356" t="s">
        <v>95</v>
      </c>
      <c r="D3356" t="s">
        <v>4</v>
      </c>
      <c r="E3356" t="s">
        <v>3706</v>
      </c>
      <c r="F3356" t="s">
        <v>6058</v>
      </c>
      <c r="G3356" s="2" t="str">
        <f>HYPERLINK("https://vk.com/wall437992117_953")</f>
        <v>https://vk.com/wall437992117_953</v>
      </c>
      <c r="H3356" t="s">
        <v>6062</v>
      </c>
      <c r="I3356" t="s">
        <v>3847</v>
      </c>
      <c r="J3356" s="2" t="str">
        <f>HYPERLINK("http://vk.com/id437992117")</f>
        <v>http://vk.com/id437992117</v>
      </c>
      <c r="K3356">
        <v>238</v>
      </c>
      <c r="L3356" t="s">
        <v>6064</v>
      </c>
      <c r="M3356">
        <v>46</v>
      </c>
      <c r="N3356" t="s">
        <v>25</v>
      </c>
      <c r="O3356" t="s">
        <v>3847</v>
      </c>
      <c r="P3356" s="2" t="str">
        <f>HYPERLINK("http://vk.com/id437992117")</f>
        <v>http://vk.com/id437992117</v>
      </c>
      <c r="Q3356">
        <v>238</v>
      </c>
      <c r="R3356" t="s">
        <v>6067</v>
      </c>
      <c r="S3356" t="s">
        <v>6072</v>
      </c>
    </row>
    <row r="3357" spans="1:19" ht="14.25" customHeight="1" x14ac:dyDescent="0.3">
      <c r="A3357" t="s">
        <v>3527</v>
      </c>
      <c r="B3357" t="s">
        <v>890</v>
      </c>
      <c r="C3357" t="s">
        <v>3538</v>
      </c>
      <c r="D3357" t="s">
        <v>4</v>
      </c>
      <c r="E3357" t="s">
        <v>3706</v>
      </c>
      <c r="F3357" t="s">
        <v>6058</v>
      </c>
      <c r="G3357" s="2" t="str">
        <f>HYPERLINK("https://vk.com/wall158890919_414")</f>
        <v>https://vk.com/wall158890919_414</v>
      </c>
      <c r="H3357" t="s">
        <v>6062</v>
      </c>
      <c r="I3357" t="s">
        <v>3869</v>
      </c>
      <c r="J3357" s="2" t="str">
        <f>HYPERLINK("http://vk.com/id158890919")</f>
        <v>http://vk.com/id158890919</v>
      </c>
      <c r="K3357">
        <v>605</v>
      </c>
      <c r="L3357" t="s">
        <v>6063</v>
      </c>
      <c r="M3357">
        <v>28</v>
      </c>
      <c r="N3357" t="s">
        <v>25</v>
      </c>
      <c r="O3357" t="s">
        <v>3869</v>
      </c>
      <c r="P3357" s="2" t="str">
        <f>HYPERLINK("http://vk.com/id158890919")</f>
        <v>http://vk.com/id158890919</v>
      </c>
      <c r="Q3357">
        <v>605</v>
      </c>
      <c r="R3357" t="s">
        <v>6067</v>
      </c>
      <c r="S3357" t="s">
        <v>6092</v>
      </c>
    </row>
    <row r="3358" spans="1:19" ht="14.25" customHeight="1" x14ac:dyDescent="0.3">
      <c r="A3358" t="s">
        <v>3527</v>
      </c>
      <c r="B3358" t="s">
        <v>3011</v>
      </c>
      <c r="C3358" t="s">
        <v>3538</v>
      </c>
      <c r="D3358" t="s">
        <v>4</v>
      </c>
      <c r="E3358" t="s">
        <v>3792</v>
      </c>
      <c r="F3358" t="s">
        <v>6058</v>
      </c>
      <c r="G3358" s="2" t="str">
        <f>HYPERLINK("https://vk.com/wall428156994_1354")</f>
        <v>https://vk.com/wall428156994_1354</v>
      </c>
      <c r="H3358" t="s">
        <v>6062</v>
      </c>
      <c r="I3358" t="s">
        <v>3513</v>
      </c>
      <c r="J3358" s="2" t="str">
        <f>HYPERLINK("http://vk.com/id428156994")</f>
        <v>http://vk.com/id428156994</v>
      </c>
      <c r="K3358">
        <v>386</v>
      </c>
      <c r="L3358" t="s">
        <v>6064</v>
      </c>
      <c r="N3358" t="s">
        <v>25</v>
      </c>
      <c r="O3358" t="s">
        <v>3513</v>
      </c>
      <c r="P3358" s="2" t="str">
        <f>HYPERLINK("http://vk.com/id428156994")</f>
        <v>http://vk.com/id428156994</v>
      </c>
      <c r="Q3358">
        <v>386</v>
      </c>
      <c r="R3358" t="s">
        <v>6067</v>
      </c>
      <c r="S3358" t="s">
        <v>6072</v>
      </c>
    </row>
    <row r="3359" spans="1:19" ht="14.25" customHeight="1" x14ac:dyDescent="0.3">
      <c r="A3359" t="s">
        <v>2225</v>
      </c>
      <c r="B3359" t="s">
        <v>621</v>
      </c>
      <c r="C3359" t="s">
        <v>95</v>
      </c>
      <c r="D3359" t="s">
        <v>4</v>
      </c>
      <c r="E3359" t="s">
        <v>3511</v>
      </c>
      <c r="F3359" t="s">
        <v>6058</v>
      </c>
      <c r="G3359" s="2" t="str">
        <f>HYPERLINK("https://vk.com/wall428156994_1362")</f>
        <v>https://vk.com/wall428156994_1362</v>
      </c>
      <c r="H3359" t="s">
        <v>6062</v>
      </c>
      <c r="I3359" t="s">
        <v>3513</v>
      </c>
      <c r="J3359" s="2" t="str">
        <f>HYPERLINK("http://vk.com/id428156994")</f>
        <v>http://vk.com/id428156994</v>
      </c>
      <c r="K3359">
        <v>386</v>
      </c>
      <c r="L3359" t="s">
        <v>6064</v>
      </c>
      <c r="N3359" t="s">
        <v>25</v>
      </c>
      <c r="O3359" t="s">
        <v>3513</v>
      </c>
      <c r="P3359" s="2" t="str">
        <f>HYPERLINK("http://vk.com/id428156994")</f>
        <v>http://vk.com/id428156994</v>
      </c>
      <c r="Q3359">
        <v>386</v>
      </c>
      <c r="R3359" t="s">
        <v>6067</v>
      </c>
      <c r="S3359" t="s">
        <v>6072</v>
      </c>
    </row>
    <row r="3360" spans="1:19" ht="14.25" customHeight="1" x14ac:dyDescent="0.3">
      <c r="A3360" t="s">
        <v>3527</v>
      </c>
      <c r="B3360" t="s">
        <v>1264</v>
      </c>
      <c r="C3360" t="s">
        <v>95</v>
      </c>
      <c r="D3360" t="s">
        <v>4</v>
      </c>
      <c r="E3360" t="s">
        <v>4045</v>
      </c>
      <c r="F3360" t="s">
        <v>6058</v>
      </c>
      <c r="G3360" s="2" t="str">
        <f>HYPERLINK("https://vk.com/wall328259336_1220")</f>
        <v>https://vk.com/wall328259336_1220</v>
      </c>
      <c r="H3360" t="s">
        <v>6062</v>
      </c>
      <c r="I3360" t="s">
        <v>4132</v>
      </c>
      <c r="J3360" s="2" t="str">
        <f>HYPERLINK("http://vk.com/id328259336")</f>
        <v>http://vk.com/id328259336</v>
      </c>
      <c r="L3360" t="s">
        <v>6063</v>
      </c>
      <c r="N3360" t="s">
        <v>25</v>
      </c>
      <c r="O3360" t="s">
        <v>4132</v>
      </c>
      <c r="P3360" s="2" t="str">
        <f>HYPERLINK("http://vk.com/id328259336")</f>
        <v>http://vk.com/id328259336</v>
      </c>
      <c r="R3360" t="s">
        <v>6067</v>
      </c>
      <c r="S3360" t="s">
        <v>6072</v>
      </c>
    </row>
    <row r="3361" spans="1:19" ht="14.25" customHeight="1" x14ac:dyDescent="0.3">
      <c r="A3361" t="s">
        <v>3527</v>
      </c>
      <c r="B3361" t="s">
        <v>2298</v>
      </c>
      <c r="C3361" t="s">
        <v>95</v>
      </c>
      <c r="D3361" t="s">
        <v>4</v>
      </c>
      <c r="E3361" t="s">
        <v>3517</v>
      </c>
      <c r="F3361" t="s">
        <v>6058</v>
      </c>
      <c r="G3361" s="2" t="str">
        <f>HYPERLINK("https://vk.com/wall322972031_1465")</f>
        <v>https://vk.com/wall322972031_1465</v>
      </c>
      <c r="H3361" t="s">
        <v>6062</v>
      </c>
      <c r="I3361" t="s">
        <v>3599</v>
      </c>
      <c r="J3361" s="2" t="str">
        <f>HYPERLINK("http://vk.com/id322972031")</f>
        <v>http://vk.com/id322972031</v>
      </c>
      <c r="K3361">
        <v>656</v>
      </c>
      <c r="L3361" t="s">
        <v>6064</v>
      </c>
      <c r="M3361">
        <v>21</v>
      </c>
      <c r="N3361" t="s">
        <v>25</v>
      </c>
      <c r="O3361" t="s">
        <v>3599</v>
      </c>
      <c r="P3361" s="2" t="str">
        <f>HYPERLINK("http://vk.com/id322972031")</f>
        <v>http://vk.com/id322972031</v>
      </c>
      <c r="Q3361">
        <v>656</v>
      </c>
      <c r="R3361" t="s">
        <v>6067</v>
      </c>
      <c r="S3361" t="s">
        <v>6072</v>
      </c>
    </row>
    <row r="3362" spans="1:19" ht="14.25" customHeight="1" x14ac:dyDescent="0.3">
      <c r="A3362" t="s">
        <v>3527</v>
      </c>
      <c r="B3362" t="s">
        <v>664</v>
      </c>
      <c r="C3362" t="s">
        <v>95</v>
      </c>
      <c r="D3362" t="s">
        <v>4</v>
      </c>
      <c r="E3362" t="s">
        <v>3511</v>
      </c>
      <c r="F3362" t="s">
        <v>6058</v>
      </c>
      <c r="G3362" s="2" t="str">
        <f>HYPERLINK("https://vk.com/wall480179971_108")</f>
        <v>https://vk.com/wall480179971_108</v>
      </c>
      <c r="H3362" t="s">
        <v>6062</v>
      </c>
      <c r="I3362" t="s">
        <v>3567</v>
      </c>
      <c r="J3362" s="2" t="str">
        <f>HYPERLINK("http://vk.com/id480179971")</f>
        <v>http://vk.com/id480179971</v>
      </c>
      <c r="K3362">
        <v>0</v>
      </c>
      <c r="L3362" t="s">
        <v>6063</v>
      </c>
      <c r="M3362">
        <v>37</v>
      </c>
      <c r="N3362" t="s">
        <v>25</v>
      </c>
      <c r="O3362" t="s">
        <v>3567</v>
      </c>
      <c r="P3362" s="2" t="str">
        <f>HYPERLINK("http://vk.com/id480179971")</f>
        <v>http://vk.com/id480179971</v>
      </c>
      <c r="Q3362">
        <v>0</v>
      </c>
      <c r="R3362" t="s">
        <v>6067</v>
      </c>
    </row>
    <row r="3363" spans="1:19" ht="14.25" customHeight="1" x14ac:dyDescent="0.3">
      <c r="A3363" t="s">
        <v>2225</v>
      </c>
      <c r="B3363" t="s">
        <v>2226</v>
      </c>
      <c r="C3363" t="s">
        <v>95</v>
      </c>
      <c r="D3363" t="s">
        <v>4</v>
      </c>
      <c r="E3363" t="s">
        <v>2227</v>
      </c>
      <c r="F3363" t="s">
        <v>6056</v>
      </c>
      <c r="G3363" s="2" t="str">
        <f>HYPERLINK("https://vk.com/wall201027839_2336")</f>
        <v>https://vk.com/wall201027839_2336</v>
      </c>
      <c r="H3363" t="s">
        <v>6062</v>
      </c>
      <c r="I3363" t="s">
        <v>2228</v>
      </c>
      <c r="J3363" s="2" t="str">
        <f>HYPERLINK("http://vk.com/id201027839")</f>
        <v>http://vk.com/id201027839</v>
      </c>
      <c r="K3363">
        <v>525</v>
      </c>
      <c r="L3363" t="s">
        <v>6063</v>
      </c>
      <c r="N3363" t="s">
        <v>25</v>
      </c>
      <c r="O3363" t="s">
        <v>2228</v>
      </c>
      <c r="P3363" s="2" t="str">
        <f>HYPERLINK("http://vk.com/id201027839")</f>
        <v>http://vk.com/id201027839</v>
      </c>
      <c r="Q3363">
        <v>525</v>
      </c>
      <c r="R3363" t="s">
        <v>6067</v>
      </c>
      <c r="S3363" t="s">
        <v>6073</v>
      </c>
    </row>
    <row r="3364" spans="1:19" ht="14.25" customHeight="1" x14ac:dyDescent="0.3">
      <c r="A3364" t="s">
        <v>3527</v>
      </c>
      <c r="B3364" t="s">
        <v>709</v>
      </c>
      <c r="C3364" t="s">
        <v>95</v>
      </c>
      <c r="D3364" t="s">
        <v>4</v>
      </c>
      <c r="E3364" t="s">
        <v>3511</v>
      </c>
      <c r="F3364" t="s">
        <v>6058</v>
      </c>
      <c r="G3364" s="2" t="str">
        <f>HYPERLINK("https://vk.com/wall448194089_290")</f>
        <v>https://vk.com/wall448194089_290</v>
      </c>
      <c r="H3364" t="s">
        <v>6062</v>
      </c>
      <c r="I3364" t="s">
        <v>3616</v>
      </c>
      <c r="J3364" s="2" t="str">
        <f>HYPERLINK("http://vk.com/id448194089")</f>
        <v>http://vk.com/id448194089</v>
      </c>
      <c r="K3364">
        <v>1</v>
      </c>
      <c r="L3364" t="s">
        <v>6063</v>
      </c>
      <c r="M3364">
        <v>27</v>
      </c>
      <c r="N3364" t="s">
        <v>25</v>
      </c>
      <c r="O3364" t="s">
        <v>3616</v>
      </c>
      <c r="P3364" s="2" t="str">
        <f>HYPERLINK("http://vk.com/id448194089")</f>
        <v>http://vk.com/id448194089</v>
      </c>
      <c r="Q3364">
        <v>1</v>
      </c>
      <c r="R3364" t="s">
        <v>6067</v>
      </c>
    </row>
    <row r="3365" spans="1:19" ht="14.25" customHeight="1" x14ac:dyDescent="0.3">
      <c r="A3365" t="s">
        <v>3527</v>
      </c>
      <c r="B3365" t="s">
        <v>288</v>
      </c>
      <c r="C3365" t="s">
        <v>3538</v>
      </c>
      <c r="D3365" t="s">
        <v>4</v>
      </c>
      <c r="E3365" t="s">
        <v>4045</v>
      </c>
      <c r="F3365" t="s">
        <v>6058</v>
      </c>
      <c r="G3365" s="2" t="str">
        <f>HYPERLINK("https://vk.com/wall427701153_38")</f>
        <v>https://vk.com/wall427701153_38</v>
      </c>
      <c r="H3365" t="s">
        <v>6062</v>
      </c>
      <c r="I3365" t="s">
        <v>4282</v>
      </c>
      <c r="J3365" s="2" t="str">
        <f>HYPERLINK("http://vk.com/id427701153")</f>
        <v>http://vk.com/id427701153</v>
      </c>
      <c r="K3365">
        <v>0</v>
      </c>
      <c r="L3365" t="s">
        <v>6063</v>
      </c>
      <c r="M3365">
        <v>64</v>
      </c>
      <c r="N3365" t="s">
        <v>25</v>
      </c>
      <c r="O3365" t="s">
        <v>4282</v>
      </c>
      <c r="P3365" s="2" t="str">
        <f>HYPERLINK("http://vk.com/id427701153")</f>
        <v>http://vk.com/id427701153</v>
      </c>
      <c r="Q3365">
        <v>0</v>
      </c>
      <c r="R3365" t="s">
        <v>6067</v>
      </c>
    </row>
    <row r="3366" spans="1:19" ht="14.25" customHeight="1" x14ac:dyDescent="0.3">
      <c r="A3366" t="s">
        <v>2225</v>
      </c>
      <c r="B3366" t="s">
        <v>2261</v>
      </c>
      <c r="C3366" t="s">
        <v>95</v>
      </c>
      <c r="D3366" t="s">
        <v>4</v>
      </c>
      <c r="E3366" t="s">
        <v>2262</v>
      </c>
      <c r="F3366" t="s">
        <v>6056</v>
      </c>
      <c r="G3366" s="2" t="str">
        <f>HYPERLINK("https://vk.com/wall115433256_1832")</f>
        <v>https://vk.com/wall115433256_1832</v>
      </c>
      <c r="H3366" t="s">
        <v>6062</v>
      </c>
      <c r="I3366" t="s">
        <v>2263</v>
      </c>
      <c r="J3366" s="2" t="str">
        <f>HYPERLINK("http://vk.com/id115433256")</f>
        <v>http://vk.com/id115433256</v>
      </c>
      <c r="K3366">
        <v>522</v>
      </c>
      <c r="L3366" t="s">
        <v>6063</v>
      </c>
      <c r="N3366" t="s">
        <v>25</v>
      </c>
      <c r="O3366" t="s">
        <v>2263</v>
      </c>
      <c r="P3366" s="2" t="str">
        <f>HYPERLINK("http://vk.com/id115433256")</f>
        <v>http://vk.com/id115433256</v>
      </c>
      <c r="Q3366">
        <v>522</v>
      </c>
      <c r="R3366" t="s">
        <v>6067</v>
      </c>
      <c r="S3366" t="s">
        <v>6073</v>
      </c>
    </row>
    <row r="3367" spans="1:19" ht="14.25" customHeight="1" x14ac:dyDescent="0.3">
      <c r="A3367" t="s">
        <v>629</v>
      </c>
      <c r="B3367" t="s">
        <v>260</v>
      </c>
      <c r="C3367" t="s">
        <v>95</v>
      </c>
      <c r="D3367" t="s">
        <v>4</v>
      </c>
      <c r="E3367" t="s">
        <v>1470</v>
      </c>
      <c r="F3367" t="s">
        <v>6056</v>
      </c>
      <c r="G3367" s="2" t="str">
        <f>HYPERLINK("https://vk.com/wall56466375_335")</f>
        <v>https://vk.com/wall56466375_335</v>
      </c>
      <c r="H3367" t="s">
        <v>6062</v>
      </c>
      <c r="I3367" t="s">
        <v>1471</v>
      </c>
      <c r="J3367" s="2" t="str">
        <f>HYPERLINK("http://vk.com/id56466375")</f>
        <v>http://vk.com/id56466375</v>
      </c>
      <c r="K3367">
        <v>727</v>
      </c>
      <c r="L3367" t="s">
        <v>6063</v>
      </c>
      <c r="N3367" t="s">
        <v>25</v>
      </c>
      <c r="O3367" t="s">
        <v>1471</v>
      </c>
      <c r="P3367" s="2" t="str">
        <f>HYPERLINK("http://vk.com/id56466375")</f>
        <v>http://vk.com/id56466375</v>
      </c>
      <c r="Q3367">
        <v>727</v>
      </c>
      <c r="R3367" t="s">
        <v>6067</v>
      </c>
      <c r="S3367" t="s">
        <v>6073</v>
      </c>
    </row>
    <row r="3368" spans="1:19" ht="14.25" customHeight="1" x14ac:dyDescent="0.3">
      <c r="A3368" t="s">
        <v>629</v>
      </c>
      <c r="B3368" t="s">
        <v>970</v>
      </c>
      <c r="C3368" t="s">
        <v>95</v>
      </c>
      <c r="D3368" t="s">
        <v>4</v>
      </c>
      <c r="E3368" t="s">
        <v>971</v>
      </c>
      <c r="F3368" t="s">
        <v>6056</v>
      </c>
      <c r="G3368" s="2" t="str">
        <f>HYPERLINK("https://vk.com/wall9344398_1931")</f>
        <v>https://vk.com/wall9344398_1931</v>
      </c>
      <c r="H3368" t="s">
        <v>6062</v>
      </c>
      <c r="I3368" t="s">
        <v>972</v>
      </c>
      <c r="J3368" s="2" t="str">
        <f>HYPERLINK("http://vk.com/id9344398")</f>
        <v>http://vk.com/id9344398</v>
      </c>
      <c r="K3368">
        <v>121</v>
      </c>
      <c r="L3368" t="s">
        <v>6063</v>
      </c>
      <c r="M3368">
        <v>33</v>
      </c>
      <c r="N3368" t="s">
        <v>25</v>
      </c>
      <c r="O3368" t="s">
        <v>972</v>
      </c>
      <c r="P3368" s="2" t="str">
        <f>HYPERLINK("http://vk.com/id9344398")</f>
        <v>http://vk.com/id9344398</v>
      </c>
      <c r="Q3368">
        <v>121</v>
      </c>
      <c r="R3368" t="s">
        <v>6067</v>
      </c>
      <c r="S3368" t="s">
        <v>6073</v>
      </c>
    </row>
    <row r="3369" spans="1:19" ht="14.25" customHeight="1" x14ac:dyDescent="0.3">
      <c r="A3369" t="s">
        <v>3527</v>
      </c>
      <c r="B3369" t="s">
        <v>2588</v>
      </c>
      <c r="C3369" t="s">
        <v>3538</v>
      </c>
      <c r="D3369" t="s">
        <v>4</v>
      </c>
      <c r="E3369" t="s">
        <v>3559</v>
      </c>
      <c r="F3369" t="s">
        <v>6058</v>
      </c>
      <c r="G3369" s="2" t="str">
        <f>HYPERLINK("https://vk.com/wall282493380_105")</f>
        <v>https://vk.com/wall282493380_105</v>
      </c>
      <c r="H3369" t="s">
        <v>6062</v>
      </c>
      <c r="I3369" t="s">
        <v>3675</v>
      </c>
      <c r="J3369" s="2" t="str">
        <f>HYPERLINK("http://vk.com/id282493380")</f>
        <v>http://vk.com/id282493380</v>
      </c>
      <c r="K3369">
        <v>136</v>
      </c>
      <c r="L3369" t="s">
        <v>6063</v>
      </c>
      <c r="M3369">
        <v>23</v>
      </c>
      <c r="N3369" t="s">
        <v>25</v>
      </c>
      <c r="O3369" t="s">
        <v>3675</v>
      </c>
      <c r="P3369" s="2" t="str">
        <f>HYPERLINK("http://vk.com/id282493380")</f>
        <v>http://vk.com/id282493380</v>
      </c>
      <c r="Q3369">
        <v>136</v>
      </c>
      <c r="R3369" t="s">
        <v>6067</v>
      </c>
      <c r="S3369" t="s">
        <v>6072</v>
      </c>
    </row>
    <row r="3370" spans="1:19" ht="14.25" customHeight="1" x14ac:dyDescent="0.3">
      <c r="A3370" t="s">
        <v>3527</v>
      </c>
      <c r="B3370" t="s">
        <v>2556</v>
      </c>
      <c r="C3370" t="s">
        <v>95</v>
      </c>
      <c r="D3370" t="s">
        <v>4</v>
      </c>
      <c r="E3370" t="s">
        <v>3559</v>
      </c>
      <c r="F3370" t="s">
        <v>6058</v>
      </c>
      <c r="G3370" s="2" t="str">
        <f>HYPERLINK("https://vk.com/wall474097489_130")</f>
        <v>https://vk.com/wall474097489_130</v>
      </c>
      <c r="H3370" t="s">
        <v>6062</v>
      </c>
      <c r="I3370" t="s">
        <v>3669</v>
      </c>
      <c r="J3370" s="2" t="str">
        <f>HYPERLINK("http://vk.com/id474097489")</f>
        <v>http://vk.com/id474097489</v>
      </c>
      <c r="K3370">
        <v>95</v>
      </c>
      <c r="L3370" t="s">
        <v>6063</v>
      </c>
      <c r="M3370">
        <v>15</v>
      </c>
      <c r="N3370" t="s">
        <v>25</v>
      </c>
      <c r="O3370" t="s">
        <v>3669</v>
      </c>
      <c r="P3370" s="2" t="str">
        <f>HYPERLINK("http://vk.com/id474097489")</f>
        <v>http://vk.com/id474097489</v>
      </c>
      <c r="Q3370">
        <v>95</v>
      </c>
      <c r="R3370" t="s">
        <v>6067</v>
      </c>
      <c r="S3370" t="s">
        <v>6073</v>
      </c>
    </row>
    <row r="3371" spans="1:19" ht="14.25" customHeight="1" x14ac:dyDescent="0.3">
      <c r="A3371" t="s">
        <v>3527</v>
      </c>
      <c r="B3371" t="s">
        <v>959</v>
      </c>
      <c r="C3371" t="s">
        <v>95</v>
      </c>
      <c r="D3371" t="s">
        <v>4</v>
      </c>
      <c r="E3371" t="s">
        <v>3625</v>
      </c>
      <c r="F3371" t="s">
        <v>6058</v>
      </c>
      <c r="G3371" s="2" t="str">
        <f>HYPERLINK("https://vk.com/wall474097489_125")</f>
        <v>https://vk.com/wall474097489_125</v>
      </c>
      <c r="H3371" t="s">
        <v>6062</v>
      </c>
      <c r="I3371" t="s">
        <v>3669</v>
      </c>
      <c r="J3371" s="2" t="str">
        <f>HYPERLINK("http://vk.com/id474097489")</f>
        <v>http://vk.com/id474097489</v>
      </c>
      <c r="K3371">
        <v>95</v>
      </c>
      <c r="L3371" t="s">
        <v>6063</v>
      </c>
      <c r="M3371">
        <v>15</v>
      </c>
      <c r="N3371" t="s">
        <v>25</v>
      </c>
      <c r="O3371" t="s">
        <v>3669</v>
      </c>
      <c r="P3371" s="2" t="str">
        <f>HYPERLINK("http://vk.com/id474097489")</f>
        <v>http://vk.com/id474097489</v>
      </c>
      <c r="Q3371">
        <v>95</v>
      </c>
      <c r="R3371" t="s">
        <v>6067</v>
      </c>
      <c r="S3371" t="s">
        <v>6073</v>
      </c>
    </row>
    <row r="3372" spans="1:19" ht="14.25" customHeight="1" x14ac:dyDescent="0.3">
      <c r="A3372" t="s">
        <v>3527</v>
      </c>
      <c r="B3372" t="s">
        <v>907</v>
      </c>
      <c r="C3372" t="s">
        <v>95</v>
      </c>
      <c r="D3372" t="s">
        <v>4</v>
      </c>
      <c r="E3372" t="s">
        <v>3706</v>
      </c>
      <c r="F3372" t="s">
        <v>6058</v>
      </c>
      <c r="G3372" s="2" t="str">
        <f>HYPERLINK("https://vk.com/wall467080821_754")</f>
        <v>https://vk.com/wall467080821_754</v>
      </c>
      <c r="H3372" t="s">
        <v>6062</v>
      </c>
      <c r="I3372" t="s">
        <v>3541</v>
      </c>
      <c r="J3372" s="2" t="str">
        <f>HYPERLINK("http://vk.com/id467080821")</f>
        <v>http://vk.com/id467080821</v>
      </c>
      <c r="K3372">
        <v>74</v>
      </c>
      <c r="L3372" t="s">
        <v>6063</v>
      </c>
      <c r="M3372">
        <v>24</v>
      </c>
      <c r="N3372" t="s">
        <v>25</v>
      </c>
      <c r="O3372" t="s">
        <v>3541</v>
      </c>
      <c r="P3372" s="2" t="str">
        <f>HYPERLINK("http://vk.com/id467080821")</f>
        <v>http://vk.com/id467080821</v>
      </c>
      <c r="Q3372">
        <v>74</v>
      </c>
      <c r="R3372" t="s">
        <v>6067</v>
      </c>
    </row>
    <row r="3373" spans="1:19" ht="14.25" customHeight="1" x14ac:dyDescent="0.3">
      <c r="A3373" t="s">
        <v>3527</v>
      </c>
      <c r="B3373" t="s">
        <v>3540</v>
      </c>
      <c r="C3373" t="s">
        <v>95</v>
      </c>
      <c r="D3373" t="s">
        <v>4</v>
      </c>
      <c r="E3373" t="s">
        <v>3511</v>
      </c>
      <c r="F3373" t="s">
        <v>6058</v>
      </c>
      <c r="G3373" s="2" t="str">
        <f>HYPERLINK("https://vk.com/wall467080821_758")</f>
        <v>https://vk.com/wall467080821_758</v>
      </c>
      <c r="H3373" t="s">
        <v>6062</v>
      </c>
      <c r="I3373" t="s">
        <v>3541</v>
      </c>
      <c r="J3373" s="2" t="str">
        <f>HYPERLINK("http://vk.com/id467080821")</f>
        <v>http://vk.com/id467080821</v>
      </c>
      <c r="K3373">
        <v>74</v>
      </c>
      <c r="L3373" t="s">
        <v>6063</v>
      </c>
      <c r="M3373">
        <v>24</v>
      </c>
      <c r="N3373" t="s">
        <v>25</v>
      </c>
      <c r="O3373" t="s">
        <v>3541</v>
      </c>
      <c r="P3373" s="2" t="str">
        <f>HYPERLINK("http://vk.com/id467080821")</f>
        <v>http://vk.com/id467080821</v>
      </c>
      <c r="Q3373">
        <v>74</v>
      </c>
      <c r="R3373" t="s">
        <v>6067</v>
      </c>
    </row>
    <row r="3374" spans="1:19" ht="14.25" customHeight="1" x14ac:dyDescent="0.3">
      <c r="A3374" t="s">
        <v>3527</v>
      </c>
      <c r="B3374" t="s">
        <v>468</v>
      </c>
      <c r="C3374" t="s">
        <v>3538</v>
      </c>
      <c r="D3374" t="s">
        <v>4</v>
      </c>
      <c r="E3374" t="s">
        <v>4045</v>
      </c>
      <c r="F3374" t="s">
        <v>6058</v>
      </c>
      <c r="G3374" s="2" t="str">
        <f>HYPERLINK("https://vk.com/wall309203749_1275")</f>
        <v>https://vk.com/wall309203749_1275</v>
      </c>
      <c r="H3374" t="s">
        <v>6062</v>
      </c>
      <c r="I3374" t="s">
        <v>3891</v>
      </c>
      <c r="J3374" s="2" t="str">
        <f>HYPERLINK("http://vk.com/id309203749")</f>
        <v>http://vk.com/id309203749</v>
      </c>
      <c r="K3374">
        <v>116</v>
      </c>
      <c r="L3374" t="s">
        <v>6063</v>
      </c>
      <c r="N3374" t="s">
        <v>25</v>
      </c>
      <c r="O3374" t="s">
        <v>3891</v>
      </c>
      <c r="P3374" s="2" t="str">
        <f>HYPERLINK("http://vk.com/id309203749")</f>
        <v>http://vk.com/id309203749</v>
      </c>
      <c r="Q3374">
        <v>116</v>
      </c>
      <c r="R3374" t="s">
        <v>6067</v>
      </c>
      <c r="S3374" t="s">
        <v>6072</v>
      </c>
    </row>
    <row r="3375" spans="1:19" ht="14.25" customHeight="1" x14ac:dyDescent="0.3">
      <c r="A3375" t="s">
        <v>3527</v>
      </c>
      <c r="B3375" t="s">
        <v>3889</v>
      </c>
      <c r="C3375" t="s">
        <v>3538</v>
      </c>
      <c r="D3375" t="s">
        <v>4</v>
      </c>
      <c r="E3375" t="s">
        <v>3706</v>
      </c>
      <c r="F3375" t="s">
        <v>6058</v>
      </c>
      <c r="G3375" s="2" t="str">
        <f>HYPERLINK("https://vk.com/wall309203749_1285")</f>
        <v>https://vk.com/wall309203749_1285</v>
      </c>
      <c r="H3375" t="s">
        <v>6062</v>
      </c>
      <c r="I3375" t="s">
        <v>3891</v>
      </c>
      <c r="J3375" s="2" t="str">
        <f>HYPERLINK("http://vk.com/id309203749")</f>
        <v>http://vk.com/id309203749</v>
      </c>
      <c r="K3375">
        <v>116</v>
      </c>
      <c r="L3375" t="s">
        <v>6063</v>
      </c>
      <c r="N3375" t="s">
        <v>25</v>
      </c>
      <c r="O3375" t="s">
        <v>3891</v>
      </c>
      <c r="P3375" s="2" t="str">
        <f>HYPERLINK("http://vk.com/id309203749")</f>
        <v>http://vk.com/id309203749</v>
      </c>
      <c r="Q3375">
        <v>116</v>
      </c>
      <c r="R3375" t="s">
        <v>6067</v>
      </c>
      <c r="S3375" t="s">
        <v>6072</v>
      </c>
    </row>
    <row r="3376" spans="1:19" ht="14.25" customHeight="1" x14ac:dyDescent="0.3">
      <c r="A3376" t="s">
        <v>3527</v>
      </c>
      <c r="B3376" t="s">
        <v>947</v>
      </c>
      <c r="C3376" t="s">
        <v>95</v>
      </c>
      <c r="D3376" t="s">
        <v>4</v>
      </c>
      <c r="E3376" t="s">
        <v>3792</v>
      </c>
      <c r="F3376" t="s">
        <v>6058</v>
      </c>
      <c r="G3376" s="2" t="str">
        <f>HYPERLINK("https://vk.com/wall478536363_150")</f>
        <v>https://vk.com/wall478536363_150</v>
      </c>
      <c r="H3376" t="s">
        <v>6062</v>
      </c>
      <c r="I3376" t="s">
        <v>3965</v>
      </c>
      <c r="J3376" s="2" t="str">
        <f>HYPERLINK("http://vk.com/id478536363")</f>
        <v>http://vk.com/id478536363</v>
      </c>
      <c r="K3376">
        <v>2</v>
      </c>
      <c r="L3376" t="s">
        <v>6064</v>
      </c>
      <c r="M3376">
        <v>23</v>
      </c>
      <c r="N3376" t="s">
        <v>25</v>
      </c>
      <c r="O3376" t="s">
        <v>3965</v>
      </c>
      <c r="P3376" s="2" t="str">
        <f>HYPERLINK("http://vk.com/id478536363")</f>
        <v>http://vk.com/id478536363</v>
      </c>
      <c r="Q3376">
        <v>2</v>
      </c>
      <c r="R3376" t="s">
        <v>6067</v>
      </c>
      <c r="S3376" t="s">
        <v>6072</v>
      </c>
    </row>
    <row r="3377" spans="1:19" ht="14.25" customHeight="1" x14ac:dyDescent="0.3">
      <c r="A3377" t="s">
        <v>3527</v>
      </c>
      <c r="B3377" t="s">
        <v>1810</v>
      </c>
      <c r="C3377" t="s">
        <v>3538</v>
      </c>
      <c r="D3377" t="s">
        <v>4</v>
      </c>
      <c r="E3377" t="s">
        <v>4045</v>
      </c>
      <c r="F3377" t="s">
        <v>6058</v>
      </c>
      <c r="G3377" s="2" t="str">
        <f>HYPERLINK("https://vk.com/wall332422530_673")</f>
        <v>https://vk.com/wall332422530_673</v>
      </c>
      <c r="H3377" t="s">
        <v>6062</v>
      </c>
      <c r="I3377" t="s">
        <v>4324</v>
      </c>
      <c r="J3377" s="2" t="str">
        <f>HYPERLINK("http://vk.com/id332422530")</f>
        <v>http://vk.com/id332422530</v>
      </c>
      <c r="K3377">
        <v>848</v>
      </c>
      <c r="L3377" t="s">
        <v>6063</v>
      </c>
      <c r="N3377" t="s">
        <v>25</v>
      </c>
      <c r="O3377" t="s">
        <v>4324</v>
      </c>
      <c r="P3377" s="2" t="str">
        <f>HYPERLINK("http://vk.com/id332422530")</f>
        <v>http://vk.com/id332422530</v>
      </c>
      <c r="Q3377">
        <v>848</v>
      </c>
      <c r="R3377" t="s">
        <v>6067</v>
      </c>
      <c r="S3377" t="s">
        <v>6072</v>
      </c>
    </row>
    <row r="3378" spans="1:19" ht="14.25" customHeight="1" x14ac:dyDescent="0.3">
      <c r="A3378" t="s">
        <v>3527</v>
      </c>
      <c r="B3378" t="s">
        <v>4397</v>
      </c>
      <c r="C3378" t="s">
        <v>3538</v>
      </c>
      <c r="D3378" t="s">
        <v>4</v>
      </c>
      <c r="E3378" t="s">
        <v>4045</v>
      </c>
      <c r="F3378" t="s">
        <v>6058</v>
      </c>
      <c r="G3378" s="2" t="str">
        <f>HYPERLINK("https://vk.com/wall467140605_817")</f>
        <v>https://vk.com/wall467140605_817</v>
      </c>
      <c r="H3378" t="s">
        <v>6062</v>
      </c>
      <c r="I3378" t="s">
        <v>4398</v>
      </c>
      <c r="J3378" s="2" t="str">
        <f>HYPERLINK("http://vk.com/id467140605")</f>
        <v>http://vk.com/id467140605</v>
      </c>
      <c r="K3378">
        <v>15</v>
      </c>
      <c r="L3378" t="s">
        <v>6064</v>
      </c>
      <c r="M3378">
        <v>19</v>
      </c>
      <c r="N3378" t="s">
        <v>25</v>
      </c>
      <c r="O3378" t="s">
        <v>4398</v>
      </c>
      <c r="P3378" s="2" t="str">
        <f>HYPERLINK("http://vk.com/id467140605")</f>
        <v>http://vk.com/id467140605</v>
      </c>
      <c r="Q3378">
        <v>15</v>
      </c>
      <c r="R3378" t="s">
        <v>6067</v>
      </c>
      <c r="S3378" t="s">
        <v>6072</v>
      </c>
    </row>
    <row r="3379" spans="1:19" ht="14.25" customHeight="1" x14ac:dyDescent="0.3">
      <c r="A3379" t="s">
        <v>3527</v>
      </c>
      <c r="B3379" t="s">
        <v>2913</v>
      </c>
      <c r="C3379" t="s">
        <v>95</v>
      </c>
      <c r="D3379" t="s">
        <v>4</v>
      </c>
      <c r="E3379" t="s">
        <v>3706</v>
      </c>
      <c r="F3379" t="s">
        <v>6058</v>
      </c>
      <c r="G3379" s="2" t="str">
        <f>HYPERLINK("https://vk.com/wall390656462_41")</f>
        <v>https://vk.com/wall390656462_41</v>
      </c>
      <c r="H3379" t="s">
        <v>6062</v>
      </c>
      <c r="I3379" t="s">
        <v>3730</v>
      </c>
      <c r="J3379" s="2" t="str">
        <f>HYPERLINK("http://vk.com/id390656462")</f>
        <v>http://vk.com/id390656462</v>
      </c>
      <c r="K3379">
        <v>15</v>
      </c>
      <c r="L3379" t="s">
        <v>6064</v>
      </c>
      <c r="M3379">
        <v>39</v>
      </c>
      <c r="N3379" t="s">
        <v>25</v>
      </c>
      <c r="O3379" t="s">
        <v>3730</v>
      </c>
      <c r="P3379" s="2" t="str">
        <f>HYPERLINK("http://vk.com/id390656462")</f>
        <v>http://vk.com/id390656462</v>
      </c>
      <c r="Q3379">
        <v>15</v>
      </c>
      <c r="R3379" t="s">
        <v>6067</v>
      </c>
      <c r="S3379" t="s">
        <v>6072</v>
      </c>
    </row>
    <row r="3380" spans="1:19" ht="14.25" customHeight="1" x14ac:dyDescent="0.3">
      <c r="A3380" t="s">
        <v>5409</v>
      </c>
      <c r="B3380" t="s">
        <v>579</v>
      </c>
      <c r="C3380" t="s">
        <v>3538</v>
      </c>
      <c r="D3380" t="s">
        <v>4</v>
      </c>
      <c r="E3380" t="s">
        <v>3915</v>
      </c>
      <c r="F3380" t="s">
        <v>6058</v>
      </c>
      <c r="G3380" s="2" t="str">
        <f>HYPERLINK("https://vk.com/wall411271427_1180")</f>
        <v>https://vk.com/wall411271427_1180</v>
      </c>
      <c r="H3380" t="s">
        <v>6062</v>
      </c>
      <c r="I3380" t="s">
        <v>6011</v>
      </c>
      <c r="J3380" s="2" t="str">
        <f>HYPERLINK("http://vk.com/id411271427")</f>
        <v>http://vk.com/id411271427</v>
      </c>
      <c r="K3380">
        <v>885</v>
      </c>
      <c r="L3380" t="s">
        <v>6064</v>
      </c>
      <c r="M3380">
        <v>27</v>
      </c>
      <c r="N3380" t="s">
        <v>25</v>
      </c>
      <c r="O3380" t="s">
        <v>6011</v>
      </c>
      <c r="P3380" s="2" t="str">
        <f>HYPERLINK("http://vk.com/id411271427")</f>
        <v>http://vk.com/id411271427</v>
      </c>
      <c r="Q3380">
        <v>885</v>
      </c>
      <c r="R3380" t="s">
        <v>6067</v>
      </c>
      <c r="S3380" t="s">
        <v>6073</v>
      </c>
    </row>
    <row r="3381" spans="1:19" ht="14.25" customHeight="1" x14ac:dyDescent="0.3">
      <c r="A3381" t="s">
        <v>3527</v>
      </c>
      <c r="B3381" t="s">
        <v>2741</v>
      </c>
      <c r="C3381" t="s">
        <v>95</v>
      </c>
      <c r="D3381" t="s">
        <v>4</v>
      </c>
      <c r="E3381" t="s">
        <v>3625</v>
      </c>
      <c r="F3381" t="s">
        <v>6058</v>
      </c>
      <c r="G3381" s="2" t="str">
        <f>HYPERLINK("https://vk.com/wall241789349_1157")</f>
        <v>https://vk.com/wall241789349_1157</v>
      </c>
      <c r="H3381" t="s">
        <v>6062</v>
      </c>
      <c r="I3381" t="s">
        <v>3708</v>
      </c>
      <c r="J3381" s="2" t="str">
        <f>HYPERLINK("http://vk.com/id241789349")</f>
        <v>http://vk.com/id241789349</v>
      </c>
      <c r="K3381">
        <v>636</v>
      </c>
      <c r="L3381" t="s">
        <v>6064</v>
      </c>
      <c r="N3381" t="s">
        <v>25</v>
      </c>
      <c r="O3381" t="s">
        <v>3708</v>
      </c>
      <c r="P3381" s="2" t="str">
        <f>HYPERLINK("http://vk.com/id241789349")</f>
        <v>http://vk.com/id241789349</v>
      </c>
      <c r="Q3381">
        <v>636</v>
      </c>
      <c r="R3381" t="s">
        <v>6067</v>
      </c>
      <c r="S3381" t="s">
        <v>6072</v>
      </c>
    </row>
    <row r="3382" spans="1:19" ht="14.25" customHeight="1" x14ac:dyDescent="0.3">
      <c r="A3382" t="s">
        <v>3527</v>
      </c>
      <c r="B3382" t="s">
        <v>3864</v>
      </c>
      <c r="C3382" t="s">
        <v>3538</v>
      </c>
      <c r="D3382" t="s">
        <v>4</v>
      </c>
      <c r="E3382" t="s">
        <v>3792</v>
      </c>
      <c r="F3382" t="s">
        <v>6058</v>
      </c>
      <c r="G3382" s="2" t="str">
        <f>HYPERLINK("https://vk.com/wall249695996_488")</f>
        <v>https://vk.com/wall249695996_488</v>
      </c>
      <c r="H3382" t="s">
        <v>6062</v>
      </c>
      <c r="I3382" t="s">
        <v>3866</v>
      </c>
      <c r="J3382" s="2" t="str">
        <f>HYPERLINK("http://vk.com/id249695996")</f>
        <v>http://vk.com/id249695996</v>
      </c>
      <c r="K3382">
        <v>110</v>
      </c>
      <c r="L3382" t="s">
        <v>6064</v>
      </c>
      <c r="M3382">
        <v>13</v>
      </c>
      <c r="N3382" t="s">
        <v>25</v>
      </c>
      <c r="O3382" t="s">
        <v>3866</v>
      </c>
      <c r="P3382" s="2" t="str">
        <f>HYPERLINK("http://vk.com/id249695996")</f>
        <v>http://vk.com/id249695996</v>
      </c>
      <c r="Q3382">
        <v>110</v>
      </c>
      <c r="R3382" t="s">
        <v>6067</v>
      </c>
      <c r="S3382" t="s">
        <v>6073</v>
      </c>
    </row>
    <row r="3383" spans="1:19" ht="14.25" customHeight="1" x14ac:dyDescent="0.3">
      <c r="A3383" t="s">
        <v>3527</v>
      </c>
      <c r="B3383" t="s">
        <v>3723</v>
      </c>
      <c r="C3383" t="s">
        <v>3538</v>
      </c>
      <c r="D3383" t="s">
        <v>4</v>
      </c>
      <c r="E3383" t="s">
        <v>3706</v>
      </c>
      <c r="F3383" t="s">
        <v>6058</v>
      </c>
      <c r="G3383" s="2" t="str">
        <f>HYPERLINK("https://vk.com/wall196130885_1176")</f>
        <v>https://vk.com/wall196130885_1176</v>
      </c>
      <c r="H3383" t="s">
        <v>6062</v>
      </c>
      <c r="I3383" t="s">
        <v>3725</v>
      </c>
      <c r="J3383" s="2" t="str">
        <f>HYPERLINK("http://vk.com/id196130885")</f>
        <v>http://vk.com/id196130885</v>
      </c>
      <c r="K3383">
        <v>69</v>
      </c>
      <c r="L3383" t="s">
        <v>6064</v>
      </c>
      <c r="M3383">
        <v>34</v>
      </c>
      <c r="N3383" t="s">
        <v>25</v>
      </c>
      <c r="O3383" t="s">
        <v>3725</v>
      </c>
      <c r="P3383" s="2" t="str">
        <f>HYPERLINK("http://vk.com/id196130885")</f>
        <v>http://vk.com/id196130885</v>
      </c>
      <c r="Q3383">
        <v>69</v>
      </c>
      <c r="R3383" t="s">
        <v>6067</v>
      </c>
      <c r="S3383" t="s">
        <v>6073</v>
      </c>
    </row>
    <row r="3384" spans="1:19" ht="14.25" customHeight="1" x14ac:dyDescent="0.3">
      <c r="A3384" t="s">
        <v>629</v>
      </c>
      <c r="B3384" t="s">
        <v>848</v>
      </c>
      <c r="C3384" t="s">
        <v>95</v>
      </c>
      <c r="D3384" t="s">
        <v>4</v>
      </c>
      <c r="E3384" t="s">
        <v>850</v>
      </c>
      <c r="F3384" t="s">
        <v>6056</v>
      </c>
      <c r="G3384" s="2" t="str">
        <f>HYPERLINK("https://vk.com/wall70328661_4903")</f>
        <v>https://vk.com/wall70328661_4903</v>
      </c>
      <c r="H3384" t="s">
        <v>6062</v>
      </c>
      <c r="I3384" t="s">
        <v>851</v>
      </c>
      <c r="J3384" s="2" t="str">
        <f>HYPERLINK("http://vk.com/id70328661")</f>
        <v>http://vk.com/id70328661</v>
      </c>
      <c r="K3384">
        <v>356</v>
      </c>
      <c r="L3384" t="s">
        <v>6064</v>
      </c>
      <c r="M3384">
        <v>17</v>
      </c>
      <c r="N3384" t="s">
        <v>25</v>
      </c>
      <c r="O3384" t="s">
        <v>851</v>
      </c>
      <c r="P3384" s="2" t="str">
        <f>HYPERLINK("http://vk.com/id70328661")</f>
        <v>http://vk.com/id70328661</v>
      </c>
      <c r="Q3384">
        <v>356</v>
      </c>
      <c r="R3384" t="s">
        <v>6067</v>
      </c>
      <c r="S3384" t="s">
        <v>6073</v>
      </c>
    </row>
    <row r="3385" spans="1:19" ht="14.25" customHeight="1" x14ac:dyDescent="0.3">
      <c r="A3385" t="s">
        <v>3527</v>
      </c>
      <c r="B3385" t="s">
        <v>3783</v>
      </c>
      <c r="C3385" t="s">
        <v>3538</v>
      </c>
      <c r="D3385" t="s">
        <v>4</v>
      </c>
      <c r="E3385" t="s">
        <v>3625</v>
      </c>
      <c r="F3385" t="s">
        <v>6058</v>
      </c>
      <c r="G3385" s="2" t="str">
        <f>HYPERLINK("https://vk.com/wall388097206_590")</f>
        <v>https://vk.com/wall388097206_590</v>
      </c>
      <c r="H3385" t="s">
        <v>6062</v>
      </c>
      <c r="I3385" t="s">
        <v>3784</v>
      </c>
      <c r="J3385" s="2" t="str">
        <f>HYPERLINK("http://vk.com/id388097206")</f>
        <v>http://vk.com/id388097206</v>
      </c>
      <c r="K3385">
        <v>189</v>
      </c>
      <c r="L3385" t="s">
        <v>6064</v>
      </c>
      <c r="M3385">
        <v>28</v>
      </c>
      <c r="N3385" t="s">
        <v>25</v>
      </c>
      <c r="O3385" t="s">
        <v>3784</v>
      </c>
      <c r="P3385" s="2" t="str">
        <f>HYPERLINK("http://vk.com/id388097206")</f>
        <v>http://vk.com/id388097206</v>
      </c>
      <c r="Q3385">
        <v>189</v>
      </c>
      <c r="R3385" t="s">
        <v>6067</v>
      </c>
      <c r="S3385" t="s">
        <v>6072</v>
      </c>
    </row>
    <row r="3386" spans="1:19" ht="14.25" customHeight="1" x14ac:dyDescent="0.3">
      <c r="A3386" t="s">
        <v>3527</v>
      </c>
      <c r="B3386" t="s">
        <v>900</v>
      </c>
      <c r="C3386" t="s">
        <v>3538</v>
      </c>
      <c r="D3386" t="s">
        <v>4</v>
      </c>
      <c r="E3386" t="s">
        <v>3706</v>
      </c>
      <c r="F3386" t="s">
        <v>6058</v>
      </c>
      <c r="G3386" s="2" t="str">
        <f>HYPERLINK("https://vk.com/wall392763737_738")</f>
        <v>https://vk.com/wall392763737_738</v>
      </c>
      <c r="H3386" t="s">
        <v>6062</v>
      </c>
      <c r="I3386" t="s">
        <v>3671</v>
      </c>
      <c r="J3386" s="2" t="str">
        <f>HYPERLINK("http://vk.com/id392763737")</f>
        <v>http://vk.com/id392763737</v>
      </c>
      <c r="K3386">
        <v>218</v>
      </c>
      <c r="L3386" t="s">
        <v>6064</v>
      </c>
      <c r="M3386">
        <v>17</v>
      </c>
      <c r="N3386" t="s">
        <v>25</v>
      </c>
      <c r="O3386" t="s">
        <v>3671</v>
      </c>
      <c r="P3386" s="2" t="str">
        <f>HYPERLINK("http://vk.com/id392763737")</f>
        <v>http://vk.com/id392763737</v>
      </c>
      <c r="Q3386">
        <v>218</v>
      </c>
      <c r="R3386" t="s">
        <v>6067</v>
      </c>
      <c r="S3386" t="s">
        <v>6073</v>
      </c>
    </row>
    <row r="3387" spans="1:19" ht="14.25" customHeight="1" x14ac:dyDescent="0.3">
      <c r="A3387" t="s">
        <v>3527</v>
      </c>
      <c r="B3387" t="s">
        <v>2573</v>
      </c>
      <c r="C3387" t="s">
        <v>3538</v>
      </c>
      <c r="D3387" t="s">
        <v>4</v>
      </c>
      <c r="E3387" t="s">
        <v>3511</v>
      </c>
      <c r="F3387" t="s">
        <v>6058</v>
      </c>
      <c r="G3387" s="2" t="str">
        <f>HYPERLINK("https://vk.com/wall392763737_740")</f>
        <v>https://vk.com/wall392763737_740</v>
      </c>
      <c r="H3387" t="s">
        <v>6062</v>
      </c>
      <c r="I3387" t="s">
        <v>3671</v>
      </c>
      <c r="J3387" s="2" t="str">
        <f>HYPERLINK("http://vk.com/id392763737")</f>
        <v>http://vk.com/id392763737</v>
      </c>
      <c r="K3387">
        <v>218</v>
      </c>
      <c r="L3387" t="s">
        <v>6064</v>
      </c>
      <c r="M3387">
        <v>17</v>
      </c>
      <c r="N3387" t="s">
        <v>25</v>
      </c>
      <c r="O3387" t="s">
        <v>3671</v>
      </c>
      <c r="P3387" s="2" t="str">
        <f>HYPERLINK("http://vk.com/id392763737")</f>
        <v>http://vk.com/id392763737</v>
      </c>
      <c r="Q3387">
        <v>218</v>
      </c>
      <c r="R3387" t="s">
        <v>6067</v>
      </c>
      <c r="S3387" t="s">
        <v>6073</v>
      </c>
    </row>
    <row r="3388" spans="1:19" ht="14.25" customHeight="1" x14ac:dyDescent="0.3">
      <c r="A3388" t="s">
        <v>2225</v>
      </c>
      <c r="B3388" t="s">
        <v>3011</v>
      </c>
      <c r="C3388" t="s">
        <v>95</v>
      </c>
      <c r="D3388" t="s">
        <v>4</v>
      </c>
      <c r="E3388" t="s">
        <v>3012</v>
      </c>
      <c r="F3388" t="s">
        <v>6058</v>
      </c>
      <c r="G3388" s="2" t="str">
        <f>HYPERLINK("https://vk.com/wall235968441_195")</f>
        <v>https://vk.com/wall235968441_195</v>
      </c>
      <c r="H3388" t="s">
        <v>6062</v>
      </c>
      <c r="I3388" t="s">
        <v>3013</v>
      </c>
      <c r="J3388" s="2" t="str">
        <f>HYPERLINK("http://vk.com/id235968441")</f>
        <v>http://vk.com/id235968441</v>
      </c>
      <c r="K3388">
        <v>50</v>
      </c>
      <c r="L3388" t="s">
        <v>6063</v>
      </c>
      <c r="N3388" t="s">
        <v>25</v>
      </c>
      <c r="O3388" t="s">
        <v>3013</v>
      </c>
      <c r="P3388" s="2" t="str">
        <f>HYPERLINK("http://vk.com/id235968441")</f>
        <v>http://vk.com/id235968441</v>
      </c>
      <c r="Q3388">
        <v>50</v>
      </c>
      <c r="R3388" t="s">
        <v>6067</v>
      </c>
      <c r="S3388" t="s">
        <v>6072</v>
      </c>
    </row>
    <row r="3389" spans="1:19" ht="14.25" customHeight="1" x14ac:dyDescent="0.3">
      <c r="A3389" t="s">
        <v>629</v>
      </c>
      <c r="B3389" t="s">
        <v>654</v>
      </c>
      <c r="C3389" t="s">
        <v>95</v>
      </c>
      <c r="D3389" t="s">
        <v>4</v>
      </c>
      <c r="E3389" t="s">
        <v>656</v>
      </c>
      <c r="F3389" t="s">
        <v>6056</v>
      </c>
      <c r="G3389" s="2" t="str">
        <f>HYPERLINK("https://vk.com/wall26227604_10497")</f>
        <v>https://vk.com/wall26227604_10497</v>
      </c>
      <c r="H3389" t="s">
        <v>6062</v>
      </c>
      <c r="I3389" t="s">
        <v>655</v>
      </c>
      <c r="J3389" s="2" t="str">
        <f>HYPERLINK("http://vk.com/id26227604")</f>
        <v>http://vk.com/id26227604</v>
      </c>
      <c r="K3389">
        <v>4319</v>
      </c>
      <c r="L3389" t="s">
        <v>6063</v>
      </c>
      <c r="M3389">
        <v>35</v>
      </c>
      <c r="N3389" t="s">
        <v>25</v>
      </c>
      <c r="O3389" t="s">
        <v>655</v>
      </c>
      <c r="P3389" s="2" t="str">
        <f>HYPERLINK("http://vk.com/id26227604")</f>
        <v>http://vk.com/id26227604</v>
      </c>
      <c r="Q3389">
        <v>4319</v>
      </c>
      <c r="R3389" t="s">
        <v>6067</v>
      </c>
      <c r="S3389" t="s">
        <v>6073</v>
      </c>
    </row>
    <row r="3390" spans="1:19" ht="14.25" customHeight="1" x14ac:dyDescent="0.3">
      <c r="A3390" t="s">
        <v>3527</v>
      </c>
      <c r="B3390" t="s">
        <v>4409</v>
      </c>
      <c r="C3390" t="s">
        <v>3538</v>
      </c>
      <c r="D3390" t="s">
        <v>4</v>
      </c>
      <c r="E3390" t="s">
        <v>4045</v>
      </c>
      <c r="F3390" t="s">
        <v>6058</v>
      </c>
      <c r="G3390" s="2" t="str">
        <f>HYPERLINK("https://vk.com/wall282081631_540")</f>
        <v>https://vk.com/wall282081631_540</v>
      </c>
      <c r="H3390" t="s">
        <v>6062</v>
      </c>
      <c r="I3390" t="s">
        <v>4410</v>
      </c>
      <c r="J3390" s="2" t="str">
        <f>HYPERLINK("http://vk.com/id282081631")</f>
        <v>http://vk.com/id282081631</v>
      </c>
      <c r="K3390">
        <v>355</v>
      </c>
      <c r="L3390" t="s">
        <v>6063</v>
      </c>
      <c r="M3390">
        <v>22</v>
      </c>
      <c r="N3390" t="s">
        <v>25</v>
      </c>
      <c r="O3390" t="s">
        <v>4410</v>
      </c>
      <c r="P3390" s="2" t="str">
        <f>HYPERLINK("http://vk.com/id282081631")</f>
        <v>http://vk.com/id282081631</v>
      </c>
      <c r="Q3390">
        <v>355</v>
      </c>
      <c r="R3390" t="s">
        <v>6067</v>
      </c>
      <c r="S3390" t="s">
        <v>6092</v>
      </c>
    </row>
    <row r="3391" spans="1:19" ht="14.25" customHeight="1" x14ac:dyDescent="0.3">
      <c r="A3391" t="s">
        <v>3527</v>
      </c>
      <c r="B3391" t="s">
        <v>3832</v>
      </c>
      <c r="C3391" t="s">
        <v>3538</v>
      </c>
      <c r="D3391" t="s">
        <v>4</v>
      </c>
      <c r="E3391" t="s">
        <v>3706</v>
      </c>
      <c r="F3391" t="s">
        <v>6058</v>
      </c>
      <c r="G3391" s="2" t="str">
        <f>HYPERLINK("https://vk.com/wall322063188_1240")</f>
        <v>https://vk.com/wall322063188_1240</v>
      </c>
      <c r="H3391" t="s">
        <v>6062</v>
      </c>
      <c r="I3391" t="s">
        <v>3833</v>
      </c>
      <c r="J3391" s="2" t="str">
        <f>HYPERLINK("http://vk.com/id322063188")</f>
        <v>http://vk.com/id322063188</v>
      </c>
      <c r="K3391">
        <v>278</v>
      </c>
      <c r="L3391" t="s">
        <v>6064</v>
      </c>
      <c r="M3391">
        <v>27</v>
      </c>
      <c r="N3391" t="s">
        <v>25</v>
      </c>
      <c r="O3391" t="s">
        <v>3833</v>
      </c>
      <c r="P3391" s="2" t="str">
        <f>HYPERLINK("http://vk.com/id322063188")</f>
        <v>http://vk.com/id322063188</v>
      </c>
      <c r="Q3391">
        <v>278</v>
      </c>
      <c r="R3391" t="s">
        <v>6067</v>
      </c>
      <c r="S3391" t="s">
        <v>6073</v>
      </c>
    </row>
    <row r="3392" spans="1:19" ht="14.25" customHeight="1" x14ac:dyDescent="0.3">
      <c r="A3392" t="s">
        <v>3527</v>
      </c>
      <c r="B3392" t="s">
        <v>3036</v>
      </c>
      <c r="C3392" t="s">
        <v>3538</v>
      </c>
      <c r="D3392" t="s">
        <v>4</v>
      </c>
      <c r="E3392" t="s">
        <v>3820</v>
      </c>
      <c r="F3392" t="s">
        <v>6058</v>
      </c>
      <c r="G3392" s="2" t="str">
        <f>HYPERLINK("https://vk.com/wall210912286_1630")</f>
        <v>https://vk.com/wall210912286_1630</v>
      </c>
      <c r="H3392" t="s">
        <v>6062</v>
      </c>
      <c r="I3392" t="s">
        <v>3921</v>
      </c>
      <c r="J3392" s="2" t="str">
        <f>HYPERLINK("http://vk.com/id210912286")</f>
        <v>http://vk.com/id210912286</v>
      </c>
      <c r="K3392">
        <v>724</v>
      </c>
      <c r="L3392" t="s">
        <v>6064</v>
      </c>
      <c r="M3392">
        <v>19</v>
      </c>
      <c r="N3392" t="s">
        <v>25</v>
      </c>
      <c r="O3392" t="s">
        <v>3921</v>
      </c>
      <c r="P3392" s="2" t="str">
        <f>HYPERLINK("http://vk.com/id210912286")</f>
        <v>http://vk.com/id210912286</v>
      </c>
      <c r="Q3392">
        <v>724</v>
      </c>
      <c r="R3392" t="s">
        <v>6067</v>
      </c>
      <c r="S3392" t="s">
        <v>6092</v>
      </c>
    </row>
    <row r="3393" spans="1:19" ht="14.25" customHeight="1" x14ac:dyDescent="0.3">
      <c r="A3393" t="s">
        <v>3527</v>
      </c>
      <c r="B3393" t="s">
        <v>947</v>
      </c>
      <c r="C3393" t="s">
        <v>95</v>
      </c>
      <c r="D3393" t="s">
        <v>4</v>
      </c>
      <c r="E3393" t="s">
        <v>3820</v>
      </c>
      <c r="F3393" t="s">
        <v>6058</v>
      </c>
      <c r="G3393" s="2" t="str">
        <f>HYPERLINK("https://vk.com/wall480085699_34")</f>
        <v>https://vk.com/wall480085699_34</v>
      </c>
      <c r="H3393" t="s">
        <v>6062</v>
      </c>
      <c r="I3393" t="s">
        <v>3966</v>
      </c>
      <c r="J3393" s="2" t="str">
        <f>HYPERLINK("http://vk.com/id480085699")</f>
        <v>http://vk.com/id480085699</v>
      </c>
      <c r="K3393">
        <v>0</v>
      </c>
      <c r="L3393" t="s">
        <v>6063</v>
      </c>
      <c r="M3393">
        <v>29</v>
      </c>
      <c r="N3393" t="s">
        <v>25</v>
      </c>
      <c r="O3393" t="s">
        <v>3966</v>
      </c>
      <c r="P3393" s="2" t="str">
        <f>HYPERLINK("http://vk.com/id480085699")</f>
        <v>http://vk.com/id480085699</v>
      </c>
      <c r="Q3393">
        <v>0</v>
      </c>
      <c r="R3393" t="s">
        <v>6067</v>
      </c>
    </row>
    <row r="3394" spans="1:19" ht="14.25" customHeight="1" x14ac:dyDescent="0.3">
      <c r="A3394" t="s">
        <v>3527</v>
      </c>
      <c r="B3394" t="s">
        <v>2259</v>
      </c>
      <c r="C3394" t="s">
        <v>95</v>
      </c>
      <c r="D3394" t="s">
        <v>4</v>
      </c>
      <c r="E3394" t="s">
        <v>3511</v>
      </c>
      <c r="F3394" t="s">
        <v>6058</v>
      </c>
      <c r="G3394" s="2" t="str">
        <f>HYPERLINK("https://vk.com/wall17709785_981")</f>
        <v>https://vk.com/wall17709785_981</v>
      </c>
      <c r="H3394" t="s">
        <v>6062</v>
      </c>
      <c r="I3394" t="s">
        <v>3547</v>
      </c>
      <c r="J3394" s="2" t="str">
        <f>HYPERLINK("http://vk.com/id17709785")</f>
        <v>http://vk.com/id17709785</v>
      </c>
      <c r="K3394">
        <v>282</v>
      </c>
      <c r="L3394" t="s">
        <v>6064</v>
      </c>
      <c r="M3394">
        <v>26</v>
      </c>
      <c r="N3394" t="s">
        <v>25</v>
      </c>
      <c r="O3394" t="s">
        <v>3547</v>
      </c>
      <c r="P3394" s="2" t="str">
        <f>HYPERLINK("http://vk.com/id17709785")</f>
        <v>http://vk.com/id17709785</v>
      </c>
      <c r="Q3394">
        <v>282</v>
      </c>
      <c r="R3394" t="s">
        <v>6067</v>
      </c>
      <c r="S3394" t="s">
        <v>6073</v>
      </c>
    </row>
    <row r="3395" spans="1:19" ht="14.25" customHeight="1" x14ac:dyDescent="0.3">
      <c r="A3395" t="s">
        <v>3527</v>
      </c>
      <c r="B3395" t="s">
        <v>4214</v>
      </c>
      <c r="C3395" t="s">
        <v>3538</v>
      </c>
      <c r="D3395" t="s">
        <v>4</v>
      </c>
      <c r="E3395" t="s">
        <v>4045</v>
      </c>
      <c r="F3395" t="s">
        <v>6058</v>
      </c>
      <c r="G3395" s="2" t="str">
        <f>HYPERLINK("https://vk.com/wall90522289_508")</f>
        <v>https://vk.com/wall90522289_508</v>
      </c>
      <c r="H3395" t="s">
        <v>6062</v>
      </c>
      <c r="I3395" t="s">
        <v>4215</v>
      </c>
      <c r="J3395" s="2" t="str">
        <f>HYPERLINK("http://vk.com/id90522289")</f>
        <v>http://vk.com/id90522289</v>
      </c>
      <c r="L3395" t="s">
        <v>6064</v>
      </c>
      <c r="M3395">
        <v>43</v>
      </c>
      <c r="N3395" t="s">
        <v>25</v>
      </c>
      <c r="O3395" t="s">
        <v>4215</v>
      </c>
      <c r="P3395" s="2" t="str">
        <f>HYPERLINK("http://vk.com/id90522289")</f>
        <v>http://vk.com/id90522289</v>
      </c>
      <c r="R3395" t="s">
        <v>6067</v>
      </c>
      <c r="S3395" t="s">
        <v>6073</v>
      </c>
    </row>
    <row r="3396" spans="1:19" ht="14.25" customHeight="1" x14ac:dyDescent="0.3">
      <c r="A3396" t="s">
        <v>4439</v>
      </c>
      <c r="B3396" t="s">
        <v>4746</v>
      </c>
      <c r="C3396" t="s">
        <v>3538</v>
      </c>
      <c r="D3396" t="s">
        <v>4</v>
      </c>
      <c r="E3396" t="s">
        <v>4748</v>
      </c>
      <c r="F3396" t="s">
        <v>6056</v>
      </c>
      <c r="G3396" s="2" t="str">
        <f>HYPERLINK("https://vk.com/wall103333075_8293")</f>
        <v>https://vk.com/wall103333075_8293</v>
      </c>
      <c r="H3396" t="s">
        <v>6062</v>
      </c>
      <c r="I3396" t="s">
        <v>4749</v>
      </c>
      <c r="J3396" s="2" t="str">
        <f>HYPERLINK("http://vk.com/id103333075")</f>
        <v>http://vk.com/id103333075</v>
      </c>
      <c r="K3396">
        <v>762</v>
      </c>
      <c r="L3396" t="s">
        <v>6064</v>
      </c>
      <c r="N3396" t="s">
        <v>25</v>
      </c>
      <c r="O3396" t="s">
        <v>4749</v>
      </c>
      <c r="P3396" s="2" t="str">
        <f>HYPERLINK("http://vk.com/id103333075")</f>
        <v>http://vk.com/id103333075</v>
      </c>
      <c r="Q3396">
        <v>762</v>
      </c>
      <c r="R3396" t="s">
        <v>6067</v>
      </c>
      <c r="S3396" t="s">
        <v>6073</v>
      </c>
    </row>
    <row r="3397" spans="1:19" ht="14.25" customHeight="1" x14ac:dyDescent="0.3">
      <c r="A3397" t="s">
        <v>4439</v>
      </c>
      <c r="B3397" t="s">
        <v>4746</v>
      </c>
      <c r="C3397" t="s">
        <v>3538</v>
      </c>
      <c r="D3397" t="s">
        <v>4</v>
      </c>
      <c r="E3397" t="s">
        <v>4748</v>
      </c>
      <c r="F3397" t="s">
        <v>6056</v>
      </c>
      <c r="G3397" s="2" t="str">
        <f>HYPERLINK("https://vk.com/wall103333075_8292")</f>
        <v>https://vk.com/wall103333075_8292</v>
      </c>
      <c r="H3397" t="s">
        <v>6062</v>
      </c>
      <c r="I3397" t="s">
        <v>4749</v>
      </c>
      <c r="J3397" s="2" t="str">
        <f>HYPERLINK("http://vk.com/id103333075")</f>
        <v>http://vk.com/id103333075</v>
      </c>
      <c r="K3397">
        <v>762</v>
      </c>
      <c r="L3397" t="s">
        <v>6064</v>
      </c>
      <c r="N3397" t="s">
        <v>25</v>
      </c>
      <c r="O3397" t="s">
        <v>4749</v>
      </c>
      <c r="P3397" s="2" t="str">
        <f>HYPERLINK("http://vk.com/id103333075")</f>
        <v>http://vk.com/id103333075</v>
      </c>
      <c r="Q3397">
        <v>762</v>
      </c>
      <c r="R3397" t="s">
        <v>6067</v>
      </c>
      <c r="S3397" t="s">
        <v>6073</v>
      </c>
    </row>
    <row r="3398" spans="1:19" ht="14.25" customHeight="1" x14ac:dyDescent="0.3">
      <c r="A3398" t="s">
        <v>3527</v>
      </c>
      <c r="B3398" t="s">
        <v>1105</v>
      </c>
      <c r="C3398" t="s">
        <v>95</v>
      </c>
      <c r="D3398" t="s">
        <v>4</v>
      </c>
      <c r="E3398" t="s">
        <v>4045</v>
      </c>
      <c r="F3398" t="s">
        <v>6058</v>
      </c>
      <c r="G3398" s="2" t="str">
        <f>HYPERLINK("https://vk.com/wall467679407_48")</f>
        <v>https://vk.com/wall467679407_48</v>
      </c>
      <c r="H3398" t="s">
        <v>6062</v>
      </c>
      <c r="I3398" t="s">
        <v>1803</v>
      </c>
      <c r="J3398" s="2" t="str">
        <f>HYPERLINK("http://vk.com/id467679407")</f>
        <v>http://vk.com/id467679407</v>
      </c>
      <c r="K3398">
        <v>57</v>
      </c>
      <c r="L3398" t="s">
        <v>6064</v>
      </c>
      <c r="M3398">
        <v>32</v>
      </c>
      <c r="N3398" t="s">
        <v>25</v>
      </c>
      <c r="O3398" t="s">
        <v>1803</v>
      </c>
      <c r="P3398" s="2" t="str">
        <f>HYPERLINK("http://vk.com/id467679407")</f>
        <v>http://vk.com/id467679407</v>
      </c>
      <c r="Q3398">
        <v>57</v>
      </c>
      <c r="R3398" t="s">
        <v>6067</v>
      </c>
    </row>
    <row r="3399" spans="1:19" ht="14.25" customHeight="1" x14ac:dyDescent="0.3">
      <c r="A3399" t="s">
        <v>4995</v>
      </c>
      <c r="B3399" t="s">
        <v>484</v>
      </c>
      <c r="C3399" t="s">
        <v>3538</v>
      </c>
      <c r="D3399" t="s">
        <v>4</v>
      </c>
      <c r="E3399" t="s">
        <v>3915</v>
      </c>
      <c r="F3399" t="s">
        <v>6058</v>
      </c>
      <c r="G3399" s="2" t="str">
        <f>HYPERLINK("https://vk.com/wall338284204_10743")</f>
        <v>https://vk.com/wall338284204_10743</v>
      </c>
      <c r="H3399" t="s">
        <v>6062</v>
      </c>
      <c r="I3399" t="s">
        <v>5345</v>
      </c>
      <c r="J3399" s="2" t="str">
        <f>HYPERLINK("http://vk.com/id338284204")</f>
        <v>http://vk.com/id338284204</v>
      </c>
      <c r="K3399">
        <v>1951</v>
      </c>
      <c r="L3399" t="s">
        <v>6064</v>
      </c>
      <c r="N3399" t="s">
        <v>25</v>
      </c>
      <c r="O3399" t="s">
        <v>5345</v>
      </c>
      <c r="P3399" s="2" t="str">
        <f>HYPERLINK("http://vk.com/id338284204")</f>
        <v>http://vk.com/id338284204</v>
      </c>
      <c r="Q3399">
        <v>1951</v>
      </c>
      <c r="R3399" t="s">
        <v>6067</v>
      </c>
      <c r="S3399" t="s">
        <v>6073</v>
      </c>
    </row>
    <row r="3400" spans="1:19" ht="14.25" customHeight="1" x14ac:dyDescent="0.3">
      <c r="A3400" t="s">
        <v>3527</v>
      </c>
      <c r="B3400" t="s">
        <v>345</v>
      </c>
      <c r="C3400" t="s">
        <v>3538</v>
      </c>
      <c r="D3400" t="s">
        <v>4</v>
      </c>
      <c r="E3400" t="s">
        <v>4045</v>
      </c>
      <c r="F3400" t="s">
        <v>6058</v>
      </c>
      <c r="G3400" s="2" t="str">
        <f>HYPERLINK("https://vk.com/wall261721968_92")</f>
        <v>https://vk.com/wall261721968_92</v>
      </c>
      <c r="H3400" t="s">
        <v>6062</v>
      </c>
      <c r="I3400" t="s">
        <v>4289</v>
      </c>
      <c r="J3400" s="2" t="str">
        <f>HYPERLINK("http://vk.com/id261721968")</f>
        <v>http://vk.com/id261721968</v>
      </c>
      <c r="K3400">
        <v>9</v>
      </c>
      <c r="L3400" t="s">
        <v>6063</v>
      </c>
      <c r="N3400" t="s">
        <v>25</v>
      </c>
      <c r="O3400" t="s">
        <v>4289</v>
      </c>
      <c r="P3400" s="2" t="str">
        <f>HYPERLINK("http://vk.com/id261721968")</f>
        <v>http://vk.com/id261721968</v>
      </c>
      <c r="Q3400">
        <v>9</v>
      </c>
      <c r="R3400" t="s">
        <v>6067</v>
      </c>
    </row>
    <row r="3401" spans="1:19" ht="14.25" customHeight="1" x14ac:dyDescent="0.3">
      <c r="A3401" t="s">
        <v>4995</v>
      </c>
      <c r="B3401" t="s">
        <v>5390</v>
      </c>
      <c r="C3401" t="s">
        <v>3538</v>
      </c>
      <c r="D3401" t="s">
        <v>4</v>
      </c>
      <c r="E3401" t="s">
        <v>5391</v>
      </c>
      <c r="F3401" t="s">
        <v>6056</v>
      </c>
      <c r="G3401" s="2" t="str">
        <f>HYPERLINK("https://vk.com/wall470171735_83")</f>
        <v>https://vk.com/wall470171735_83</v>
      </c>
      <c r="H3401" t="s">
        <v>6062</v>
      </c>
      <c r="I3401" t="s">
        <v>5392</v>
      </c>
      <c r="J3401" s="2" t="str">
        <f>HYPERLINK("http://vk.com/id470171735")</f>
        <v>http://vk.com/id470171735</v>
      </c>
      <c r="K3401">
        <v>13</v>
      </c>
      <c r="L3401" t="s">
        <v>6063</v>
      </c>
      <c r="M3401">
        <v>21</v>
      </c>
      <c r="N3401" t="s">
        <v>25</v>
      </c>
      <c r="O3401" t="s">
        <v>5392</v>
      </c>
      <c r="P3401" s="2" t="str">
        <f>HYPERLINK("http://vk.com/id470171735")</f>
        <v>http://vk.com/id470171735</v>
      </c>
      <c r="Q3401">
        <v>13</v>
      </c>
      <c r="R3401" t="s">
        <v>6067</v>
      </c>
      <c r="S3401" t="s">
        <v>6074</v>
      </c>
    </row>
    <row r="3402" spans="1:19" ht="14.25" customHeight="1" x14ac:dyDescent="0.3">
      <c r="A3402" t="s">
        <v>3527</v>
      </c>
      <c r="B3402" t="s">
        <v>1074</v>
      </c>
      <c r="C3402" t="s">
        <v>95</v>
      </c>
      <c r="D3402" t="s">
        <v>4</v>
      </c>
      <c r="E3402" t="s">
        <v>4045</v>
      </c>
      <c r="F3402" t="s">
        <v>6058</v>
      </c>
      <c r="G3402" s="2" t="str">
        <f>HYPERLINK("https://vk.com/wall390373884_751")</f>
        <v>https://vk.com/wall390373884_751</v>
      </c>
      <c r="H3402" t="s">
        <v>6062</v>
      </c>
      <c r="I3402" t="s">
        <v>4077</v>
      </c>
      <c r="J3402" s="2" t="str">
        <f>HYPERLINK("http://vk.com/id390373884")</f>
        <v>http://vk.com/id390373884</v>
      </c>
      <c r="K3402">
        <v>301</v>
      </c>
      <c r="L3402" t="s">
        <v>6063</v>
      </c>
      <c r="M3402">
        <v>32</v>
      </c>
      <c r="N3402" t="s">
        <v>25</v>
      </c>
      <c r="O3402" t="s">
        <v>4077</v>
      </c>
      <c r="P3402" s="2" t="str">
        <f>HYPERLINK("http://vk.com/id390373884")</f>
        <v>http://vk.com/id390373884</v>
      </c>
      <c r="Q3402">
        <v>301</v>
      </c>
      <c r="R3402" t="s">
        <v>6067</v>
      </c>
      <c r="S3402" t="s">
        <v>6072</v>
      </c>
    </row>
    <row r="3403" spans="1:19" ht="14.25" customHeight="1" x14ac:dyDescent="0.3">
      <c r="A3403" t="s">
        <v>3527</v>
      </c>
      <c r="B3403" t="s">
        <v>4356</v>
      </c>
      <c r="C3403" t="s">
        <v>3538</v>
      </c>
      <c r="D3403" t="s">
        <v>4</v>
      </c>
      <c r="E3403" t="s">
        <v>4045</v>
      </c>
      <c r="F3403" t="s">
        <v>6058</v>
      </c>
      <c r="G3403" s="2" t="str">
        <f>HYPERLINK("https://vk.com/wall267035783_2102")</f>
        <v>https://vk.com/wall267035783_2102</v>
      </c>
      <c r="H3403" t="s">
        <v>6062</v>
      </c>
      <c r="I3403" t="s">
        <v>3539</v>
      </c>
      <c r="J3403" s="2" t="str">
        <f>HYPERLINK("http://vk.com/id267035783")</f>
        <v>http://vk.com/id267035783</v>
      </c>
      <c r="K3403">
        <v>543</v>
      </c>
      <c r="L3403" t="s">
        <v>6063</v>
      </c>
      <c r="M3403">
        <v>30</v>
      </c>
      <c r="N3403" t="s">
        <v>25</v>
      </c>
      <c r="O3403" t="s">
        <v>3539</v>
      </c>
      <c r="P3403" s="2" t="str">
        <f>HYPERLINK("http://vk.com/id267035783")</f>
        <v>http://vk.com/id267035783</v>
      </c>
      <c r="Q3403">
        <v>543</v>
      </c>
      <c r="R3403" t="s">
        <v>6067</v>
      </c>
      <c r="S3403" t="s">
        <v>6072</v>
      </c>
    </row>
    <row r="3404" spans="1:19" ht="14.25" customHeight="1" x14ac:dyDescent="0.3">
      <c r="A3404" t="s">
        <v>3527</v>
      </c>
      <c r="B3404" t="s">
        <v>838</v>
      </c>
      <c r="C3404" t="s">
        <v>3538</v>
      </c>
      <c r="D3404" t="s">
        <v>4</v>
      </c>
      <c r="E3404" t="s">
        <v>3792</v>
      </c>
      <c r="F3404" t="s">
        <v>6058</v>
      </c>
      <c r="G3404" s="2" t="str">
        <f>HYPERLINK("https://vk.com/wall267035783_2136")</f>
        <v>https://vk.com/wall267035783_2136</v>
      </c>
      <c r="H3404" t="s">
        <v>6062</v>
      </c>
      <c r="I3404" t="s">
        <v>3539</v>
      </c>
      <c r="J3404" s="2" t="str">
        <f>HYPERLINK("http://vk.com/id267035783")</f>
        <v>http://vk.com/id267035783</v>
      </c>
      <c r="K3404">
        <v>543</v>
      </c>
      <c r="L3404" t="s">
        <v>6063</v>
      </c>
      <c r="M3404">
        <v>30</v>
      </c>
      <c r="N3404" t="s">
        <v>25</v>
      </c>
      <c r="O3404" t="s">
        <v>3539</v>
      </c>
      <c r="P3404" s="2" t="str">
        <f>HYPERLINK("http://vk.com/id267035783")</f>
        <v>http://vk.com/id267035783</v>
      </c>
      <c r="Q3404">
        <v>543</v>
      </c>
      <c r="R3404" t="s">
        <v>6067</v>
      </c>
      <c r="S3404" t="s">
        <v>6072</v>
      </c>
    </row>
    <row r="3405" spans="1:19" ht="14.25" customHeight="1" x14ac:dyDescent="0.3">
      <c r="A3405" t="s">
        <v>3527</v>
      </c>
      <c r="B3405" t="s">
        <v>2967</v>
      </c>
      <c r="C3405" t="s">
        <v>3538</v>
      </c>
      <c r="D3405" t="s">
        <v>4</v>
      </c>
      <c r="E3405" t="s">
        <v>3706</v>
      </c>
      <c r="F3405" t="s">
        <v>6058</v>
      </c>
      <c r="G3405" s="2" t="str">
        <f>HYPERLINK("https://vk.com/wall267035783_2137")</f>
        <v>https://vk.com/wall267035783_2137</v>
      </c>
      <c r="H3405" t="s">
        <v>6062</v>
      </c>
      <c r="I3405" t="s">
        <v>3539</v>
      </c>
      <c r="J3405" s="2" t="str">
        <f>HYPERLINK("http://vk.com/id267035783")</f>
        <v>http://vk.com/id267035783</v>
      </c>
      <c r="K3405">
        <v>543</v>
      </c>
      <c r="L3405" t="s">
        <v>6063</v>
      </c>
      <c r="M3405">
        <v>30</v>
      </c>
      <c r="N3405" t="s">
        <v>25</v>
      </c>
      <c r="O3405" t="s">
        <v>3539</v>
      </c>
      <c r="P3405" s="2" t="str">
        <f>HYPERLINK("http://vk.com/id267035783")</f>
        <v>http://vk.com/id267035783</v>
      </c>
      <c r="Q3405">
        <v>543</v>
      </c>
      <c r="R3405" t="s">
        <v>6067</v>
      </c>
      <c r="S3405" t="s">
        <v>6072</v>
      </c>
    </row>
    <row r="3406" spans="1:19" ht="14.25" customHeight="1" x14ac:dyDescent="0.3">
      <c r="A3406" t="s">
        <v>3527</v>
      </c>
      <c r="B3406" t="s">
        <v>970</v>
      </c>
      <c r="C3406" t="s">
        <v>3538</v>
      </c>
      <c r="D3406" t="s">
        <v>4</v>
      </c>
      <c r="E3406" t="s">
        <v>3625</v>
      </c>
      <c r="F3406" t="s">
        <v>6058</v>
      </c>
      <c r="G3406" s="2" t="str">
        <f>HYPERLINK("https://vk.com/wall267035783_2127")</f>
        <v>https://vk.com/wall267035783_2127</v>
      </c>
      <c r="H3406" t="s">
        <v>6062</v>
      </c>
      <c r="I3406" t="s">
        <v>3539</v>
      </c>
      <c r="J3406" s="2" t="str">
        <f>HYPERLINK("http://vk.com/id267035783")</f>
        <v>http://vk.com/id267035783</v>
      </c>
      <c r="K3406">
        <v>543</v>
      </c>
      <c r="L3406" t="s">
        <v>6063</v>
      </c>
      <c r="M3406">
        <v>30</v>
      </c>
      <c r="N3406" t="s">
        <v>25</v>
      </c>
      <c r="O3406" t="s">
        <v>3539</v>
      </c>
      <c r="P3406" s="2" t="str">
        <f>HYPERLINK("http://vk.com/id267035783")</f>
        <v>http://vk.com/id267035783</v>
      </c>
      <c r="Q3406">
        <v>543</v>
      </c>
      <c r="R3406" t="s">
        <v>6067</v>
      </c>
      <c r="S3406" t="s">
        <v>6072</v>
      </c>
    </row>
    <row r="3407" spans="1:19" ht="14.25" customHeight="1" x14ac:dyDescent="0.3">
      <c r="A3407" t="s">
        <v>3527</v>
      </c>
      <c r="B3407" t="s">
        <v>3537</v>
      </c>
      <c r="C3407" t="s">
        <v>3538</v>
      </c>
      <c r="D3407" t="s">
        <v>4</v>
      </c>
      <c r="E3407" t="s">
        <v>3511</v>
      </c>
      <c r="F3407" t="s">
        <v>6058</v>
      </c>
      <c r="G3407" s="2" t="str">
        <f>HYPERLINK("https://vk.com/wall267035783_2149")</f>
        <v>https://vk.com/wall267035783_2149</v>
      </c>
      <c r="H3407" t="s">
        <v>6062</v>
      </c>
      <c r="I3407" t="s">
        <v>3539</v>
      </c>
      <c r="J3407" s="2" t="str">
        <f>HYPERLINK("http://vk.com/id267035783")</f>
        <v>http://vk.com/id267035783</v>
      </c>
      <c r="K3407">
        <v>543</v>
      </c>
      <c r="L3407" t="s">
        <v>6063</v>
      </c>
      <c r="M3407">
        <v>30</v>
      </c>
      <c r="N3407" t="s">
        <v>25</v>
      </c>
      <c r="O3407" t="s">
        <v>3539</v>
      </c>
      <c r="P3407" s="2" t="str">
        <f>HYPERLINK("http://vk.com/id267035783")</f>
        <v>http://vk.com/id267035783</v>
      </c>
      <c r="Q3407">
        <v>543</v>
      </c>
      <c r="R3407" t="s">
        <v>6067</v>
      </c>
      <c r="S3407" t="s">
        <v>6072</v>
      </c>
    </row>
    <row r="3408" spans="1:19" ht="14.25" customHeight="1" x14ac:dyDescent="0.3">
      <c r="A3408" t="s">
        <v>3527</v>
      </c>
      <c r="B3408" t="s">
        <v>1062</v>
      </c>
      <c r="C3408" t="s">
        <v>95</v>
      </c>
      <c r="D3408" t="s">
        <v>4</v>
      </c>
      <c r="E3408" t="s">
        <v>4045</v>
      </c>
      <c r="F3408" t="s">
        <v>6058</v>
      </c>
      <c r="G3408" s="2" t="str">
        <f>HYPERLINK("https://vk.com/wall474755258_959")</f>
        <v>https://vk.com/wall474755258_959</v>
      </c>
      <c r="H3408" t="s">
        <v>6062</v>
      </c>
      <c r="I3408" t="s">
        <v>4061</v>
      </c>
      <c r="J3408" s="2" t="str">
        <f>HYPERLINK("http://vk.com/id474755258")</f>
        <v>http://vk.com/id474755258</v>
      </c>
      <c r="K3408">
        <v>196</v>
      </c>
      <c r="L3408" t="s">
        <v>6063</v>
      </c>
      <c r="M3408">
        <v>21</v>
      </c>
      <c r="N3408" t="s">
        <v>25</v>
      </c>
      <c r="O3408" t="s">
        <v>4061</v>
      </c>
      <c r="P3408" s="2" t="str">
        <f>HYPERLINK("http://vk.com/id474755258")</f>
        <v>http://vk.com/id474755258</v>
      </c>
      <c r="Q3408">
        <v>196</v>
      </c>
      <c r="R3408" t="s">
        <v>6067</v>
      </c>
    </row>
    <row r="3409" spans="1:19" ht="14.25" customHeight="1" x14ac:dyDescent="0.3">
      <c r="A3409" t="s">
        <v>3527</v>
      </c>
      <c r="B3409" t="s">
        <v>1360</v>
      </c>
      <c r="C3409" t="s">
        <v>95</v>
      </c>
      <c r="D3409" t="s">
        <v>4</v>
      </c>
      <c r="E3409" t="s">
        <v>4184</v>
      </c>
      <c r="F3409" t="s">
        <v>6056</v>
      </c>
      <c r="G3409" s="2" t="str">
        <f>HYPERLINK("https://vk.com/wall-71045799_33270")</f>
        <v>https://vk.com/wall-71045799_33270</v>
      </c>
      <c r="H3409" t="s">
        <v>6062</v>
      </c>
      <c r="I3409" t="s">
        <v>4185</v>
      </c>
      <c r="J3409" s="2" t="str">
        <f>HYPERLINK("http://vk.com/club71045799")</f>
        <v>http://vk.com/club71045799</v>
      </c>
      <c r="K3409">
        <v>5372</v>
      </c>
      <c r="L3409" t="s">
        <v>6065</v>
      </c>
      <c r="N3409" t="s">
        <v>25</v>
      </c>
      <c r="O3409" t="s">
        <v>4185</v>
      </c>
      <c r="P3409" s="2" t="str">
        <f>HYPERLINK("http://vk.com/club71045799")</f>
        <v>http://vk.com/club71045799</v>
      </c>
      <c r="Q3409">
        <v>5372</v>
      </c>
      <c r="R3409" t="s">
        <v>6067</v>
      </c>
    </row>
    <row r="3410" spans="1:19" ht="14.25" customHeight="1" x14ac:dyDescent="0.3">
      <c r="A3410" t="s">
        <v>629</v>
      </c>
      <c r="B3410" t="s">
        <v>936</v>
      </c>
      <c r="C3410" t="s">
        <v>95</v>
      </c>
      <c r="D3410" t="s">
        <v>4</v>
      </c>
      <c r="E3410" t="s">
        <v>937</v>
      </c>
      <c r="F3410" t="s">
        <v>6056</v>
      </c>
      <c r="G3410" s="2" t="str">
        <f>HYPERLINK("https://vk.com/wall17094646_2711")</f>
        <v>https://vk.com/wall17094646_2711</v>
      </c>
      <c r="H3410" t="s">
        <v>6062</v>
      </c>
      <c r="I3410" t="s">
        <v>938</v>
      </c>
      <c r="J3410" s="2" t="str">
        <f>HYPERLINK("http://vk.com/id17094646")</f>
        <v>http://vk.com/id17094646</v>
      </c>
      <c r="K3410">
        <v>284</v>
      </c>
      <c r="L3410" t="s">
        <v>6063</v>
      </c>
      <c r="N3410" t="s">
        <v>25</v>
      </c>
      <c r="O3410" t="s">
        <v>938</v>
      </c>
      <c r="P3410" s="2" t="str">
        <f>HYPERLINK("http://vk.com/id17094646")</f>
        <v>http://vk.com/id17094646</v>
      </c>
      <c r="Q3410">
        <v>284</v>
      </c>
      <c r="R3410" t="s">
        <v>6067</v>
      </c>
    </row>
    <row r="3411" spans="1:19" ht="14.25" customHeight="1" x14ac:dyDescent="0.3">
      <c r="A3411" t="s">
        <v>2225</v>
      </c>
      <c r="B3411" t="s">
        <v>3017</v>
      </c>
      <c r="C3411" t="s">
        <v>95</v>
      </c>
      <c r="D3411" t="s">
        <v>4</v>
      </c>
      <c r="E3411" t="s">
        <v>3012</v>
      </c>
      <c r="F3411" t="s">
        <v>6058</v>
      </c>
      <c r="G3411" s="2" t="str">
        <f>HYPERLINK("https://vk.com/wall-122761999_1905")</f>
        <v>https://vk.com/wall-122761999_1905</v>
      </c>
      <c r="H3411" t="s">
        <v>6062</v>
      </c>
      <c r="I3411" t="s">
        <v>3019</v>
      </c>
      <c r="J3411" s="2" t="str">
        <f>HYPERLINK("http://vk.com/club122761999")</f>
        <v>http://vk.com/club122761999</v>
      </c>
      <c r="K3411">
        <v>1322</v>
      </c>
      <c r="L3411" t="s">
        <v>6065</v>
      </c>
      <c r="N3411" t="s">
        <v>25</v>
      </c>
      <c r="O3411" t="s">
        <v>3019</v>
      </c>
      <c r="P3411" s="2" t="str">
        <f>HYPERLINK("http://vk.com/club122761999")</f>
        <v>http://vk.com/club122761999</v>
      </c>
      <c r="Q3411">
        <v>1322</v>
      </c>
      <c r="R3411" t="s">
        <v>6067</v>
      </c>
      <c r="S3411" t="s">
        <v>6073</v>
      </c>
    </row>
    <row r="3412" spans="1:19" ht="14.25" customHeight="1" x14ac:dyDescent="0.3">
      <c r="A3412" t="s">
        <v>3527</v>
      </c>
      <c r="B3412" t="s">
        <v>2596</v>
      </c>
      <c r="C3412" t="s">
        <v>3538</v>
      </c>
      <c r="D3412" t="s">
        <v>4</v>
      </c>
      <c r="E3412" t="s">
        <v>3625</v>
      </c>
      <c r="F3412" t="s">
        <v>6058</v>
      </c>
      <c r="G3412" s="2" t="str">
        <f>HYPERLINK("https://vk.com/wall15668496_6891")</f>
        <v>https://vk.com/wall15668496_6891</v>
      </c>
      <c r="H3412" t="s">
        <v>6062</v>
      </c>
      <c r="I3412" t="s">
        <v>3676</v>
      </c>
      <c r="J3412" s="2" t="str">
        <f>HYPERLINK("http://vk.com/id15668496")</f>
        <v>http://vk.com/id15668496</v>
      </c>
      <c r="K3412">
        <v>2671</v>
      </c>
      <c r="L3412" t="s">
        <v>6064</v>
      </c>
      <c r="N3412" t="s">
        <v>25</v>
      </c>
      <c r="O3412" t="s">
        <v>3676</v>
      </c>
      <c r="P3412" s="2" t="str">
        <f>HYPERLINK("http://vk.com/id15668496")</f>
        <v>http://vk.com/id15668496</v>
      </c>
      <c r="Q3412">
        <v>2671</v>
      </c>
      <c r="R3412" t="s">
        <v>6067</v>
      </c>
      <c r="S3412" t="s">
        <v>6077</v>
      </c>
    </row>
    <row r="3413" spans="1:19" ht="14.25" customHeight="1" x14ac:dyDescent="0.3">
      <c r="A3413" t="s">
        <v>3527</v>
      </c>
      <c r="B3413" t="s">
        <v>3918</v>
      </c>
      <c r="C3413" t="s">
        <v>3538</v>
      </c>
      <c r="D3413" t="s">
        <v>4</v>
      </c>
      <c r="E3413" t="s">
        <v>3820</v>
      </c>
      <c r="F3413" t="s">
        <v>6058</v>
      </c>
      <c r="G3413" s="2" t="str">
        <f>HYPERLINK("https://vk.com/wall398188600_146")</f>
        <v>https://vk.com/wall398188600_146</v>
      </c>
      <c r="H3413" t="s">
        <v>6062</v>
      </c>
      <c r="I3413" t="s">
        <v>3920</v>
      </c>
      <c r="J3413" s="2" t="str">
        <f>HYPERLINK("http://vk.com/id398188600")</f>
        <v>http://vk.com/id398188600</v>
      </c>
      <c r="K3413">
        <v>7</v>
      </c>
      <c r="L3413" t="s">
        <v>6064</v>
      </c>
      <c r="N3413" t="s">
        <v>25</v>
      </c>
      <c r="O3413" t="s">
        <v>3920</v>
      </c>
      <c r="P3413" s="2" t="str">
        <f>HYPERLINK("http://vk.com/id398188600")</f>
        <v>http://vk.com/id398188600</v>
      </c>
      <c r="Q3413">
        <v>7</v>
      </c>
      <c r="R3413" t="s">
        <v>6067</v>
      </c>
      <c r="S3413" t="s">
        <v>6072</v>
      </c>
    </row>
    <row r="3414" spans="1:19" ht="14.25" customHeight="1" x14ac:dyDescent="0.3">
      <c r="A3414" t="s">
        <v>3527</v>
      </c>
      <c r="B3414" t="s">
        <v>1368</v>
      </c>
      <c r="C3414" t="s">
        <v>95</v>
      </c>
      <c r="D3414" t="s">
        <v>4</v>
      </c>
      <c r="E3414" t="s">
        <v>4045</v>
      </c>
      <c r="F3414" t="s">
        <v>6058</v>
      </c>
      <c r="G3414" s="2" t="str">
        <f>HYPERLINK("https://vk.com/wall162911267_589")</f>
        <v>https://vk.com/wall162911267_589</v>
      </c>
      <c r="H3414" t="s">
        <v>6062</v>
      </c>
      <c r="I3414" t="s">
        <v>4190</v>
      </c>
      <c r="J3414" s="2" t="str">
        <f>HYPERLINK("http://vk.com/id162911267")</f>
        <v>http://vk.com/id162911267</v>
      </c>
      <c r="K3414">
        <v>191</v>
      </c>
      <c r="L3414" t="s">
        <v>6063</v>
      </c>
      <c r="N3414" t="s">
        <v>25</v>
      </c>
      <c r="O3414" t="s">
        <v>4190</v>
      </c>
      <c r="P3414" s="2" t="str">
        <f>HYPERLINK("http://vk.com/id162911267")</f>
        <v>http://vk.com/id162911267</v>
      </c>
      <c r="Q3414">
        <v>191</v>
      </c>
      <c r="R3414" t="s">
        <v>6067</v>
      </c>
      <c r="S3414" t="s">
        <v>6073</v>
      </c>
    </row>
    <row r="3415" spans="1:19" ht="14.25" customHeight="1" x14ac:dyDescent="0.3">
      <c r="A3415" t="s">
        <v>3527</v>
      </c>
      <c r="B3415" t="s">
        <v>2924</v>
      </c>
      <c r="C3415" t="s">
        <v>95</v>
      </c>
      <c r="D3415" t="s">
        <v>4</v>
      </c>
      <c r="E3415" t="s">
        <v>3706</v>
      </c>
      <c r="F3415" t="s">
        <v>6058</v>
      </c>
      <c r="G3415" s="2" t="str">
        <f>HYPERLINK("https://vk.com/wall477676915_41")</f>
        <v>https://vk.com/wall477676915_41</v>
      </c>
      <c r="H3415" t="s">
        <v>6062</v>
      </c>
      <c r="I3415" t="s">
        <v>3753</v>
      </c>
      <c r="J3415" s="2" t="str">
        <f>HYPERLINK("http://vk.com/id477676915")</f>
        <v>http://vk.com/id477676915</v>
      </c>
      <c r="K3415">
        <v>0</v>
      </c>
      <c r="L3415" t="s">
        <v>6063</v>
      </c>
      <c r="M3415">
        <v>26</v>
      </c>
      <c r="N3415" t="s">
        <v>25</v>
      </c>
      <c r="O3415" t="s">
        <v>3753</v>
      </c>
      <c r="P3415" s="2" t="str">
        <f>HYPERLINK("http://vk.com/id477676915")</f>
        <v>http://vk.com/id477676915</v>
      </c>
      <c r="Q3415">
        <v>0</v>
      </c>
      <c r="R3415" t="s">
        <v>6067</v>
      </c>
    </row>
    <row r="3416" spans="1:19" ht="14.25" customHeight="1" x14ac:dyDescent="0.3">
      <c r="A3416" t="s">
        <v>4995</v>
      </c>
      <c r="B3416" t="s">
        <v>3537</v>
      </c>
      <c r="C3416" t="s">
        <v>3538</v>
      </c>
      <c r="D3416" t="s">
        <v>4</v>
      </c>
      <c r="E3416" t="s">
        <v>5006</v>
      </c>
      <c r="F3416" t="s">
        <v>6056</v>
      </c>
      <c r="G3416" s="2" t="str">
        <f>HYPERLINK("https://vk.com/wall122025778_6595")</f>
        <v>https://vk.com/wall122025778_6595</v>
      </c>
      <c r="H3416" t="s">
        <v>6062</v>
      </c>
      <c r="I3416" t="s">
        <v>5007</v>
      </c>
      <c r="J3416" s="2" t="str">
        <f>HYPERLINK("http://vk.com/id122025778")</f>
        <v>http://vk.com/id122025778</v>
      </c>
      <c r="K3416">
        <v>510</v>
      </c>
      <c r="L3416" t="s">
        <v>6063</v>
      </c>
      <c r="N3416" t="s">
        <v>25</v>
      </c>
      <c r="O3416" t="s">
        <v>5007</v>
      </c>
      <c r="P3416" s="2" t="str">
        <f>HYPERLINK("http://vk.com/id122025778")</f>
        <v>http://vk.com/id122025778</v>
      </c>
      <c r="Q3416">
        <v>510</v>
      </c>
      <c r="R3416" t="s">
        <v>6067</v>
      </c>
      <c r="S3416" t="s">
        <v>6073</v>
      </c>
    </row>
    <row r="3417" spans="1:19" ht="14.25" customHeight="1" x14ac:dyDescent="0.3">
      <c r="A3417" t="s">
        <v>5409</v>
      </c>
      <c r="B3417" t="s">
        <v>3067</v>
      </c>
      <c r="C3417" t="s">
        <v>3538</v>
      </c>
      <c r="D3417" t="s">
        <v>4</v>
      </c>
      <c r="E3417" t="s">
        <v>5609</v>
      </c>
      <c r="F3417" t="s">
        <v>6058</v>
      </c>
      <c r="G3417" s="2" t="str">
        <f>HYPERLINK("https://vk.com/wall372375851_1667")</f>
        <v>https://vk.com/wall372375851_1667</v>
      </c>
      <c r="H3417" t="s">
        <v>6062</v>
      </c>
      <c r="I3417" t="s">
        <v>5610</v>
      </c>
      <c r="J3417" s="2" t="str">
        <f>HYPERLINK("http://vk.com/id372375851")</f>
        <v>http://vk.com/id372375851</v>
      </c>
      <c r="K3417">
        <v>201</v>
      </c>
      <c r="L3417" t="s">
        <v>6063</v>
      </c>
      <c r="M3417">
        <v>21</v>
      </c>
      <c r="N3417" t="s">
        <v>25</v>
      </c>
      <c r="O3417" t="s">
        <v>5610</v>
      </c>
      <c r="P3417" s="2" t="str">
        <f>HYPERLINK("http://vk.com/id372375851")</f>
        <v>http://vk.com/id372375851</v>
      </c>
      <c r="Q3417">
        <v>201</v>
      </c>
      <c r="R3417" t="s">
        <v>6067</v>
      </c>
      <c r="S3417" t="s">
        <v>6073</v>
      </c>
    </row>
    <row r="3418" spans="1:19" ht="14.25" customHeight="1" x14ac:dyDescent="0.3">
      <c r="A3418" t="s">
        <v>3527</v>
      </c>
      <c r="B3418" t="s">
        <v>250</v>
      </c>
      <c r="C3418" t="s">
        <v>3538</v>
      </c>
      <c r="D3418" t="s">
        <v>4</v>
      </c>
      <c r="E3418" t="s">
        <v>4045</v>
      </c>
      <c r="F3418" t="s">
        <v>6058</v>
      </c>
      <c r="G3418" s="2" t="str">
        <f>HYPERLINK("https://vk.com/wall269654829_955")</f>
        <v>https://vk.com/wall269654829_955</v>
      </c>
      <c r="H3418" t="s">
        <v>6062</v>
      </c>
      <c r="I3418" t="s">
        <v>4270</v>
      </c>
      <c r="J3418" s="2" t="str">
        <f>HYPERLINK("http://vk.com/id269654829")</f>
        <v>http://vk.com/id269654829</v>
      </c>
      <c r="K3418">
        <v>202</v>
      </c>
      <c r="L3418" t="s">
        <v>6064</v>
      </c>
      <c r="M3418">
        <v>24</v>
      </c>
      <c r="N3418" t="s">
        <v>25</v>
      </c>
      <c r="O3418" t="s">
        <v>4270</v>
      </c>
      <c r="P3418" s="2" t="str">
        <f>HYPERLINK("http://vk.com/id269654829")</f>
        <v>http://vk.com/id269654829</v>
      </c>
      <c r="Q3418">
        <v>202</v>
      </c>
      <c r="R3418" t="s">
        <v>6067</v>
      </c>
      <c r="S3418" t="s">
        <v>6073</v>
      </c>
    </row>
    <row r="3419" spans="1:19" ht="14.25" customHeight="1" x14ac:dyDescent="0.3">
      <c r="A3419" t="s">
        <v>3527</v>
      </c>
      <c r="B3419" t="s">
        <v>4157</v>
      </c>
      <c r="C3419" t="s">
        <v>95</v>
      </c>
      <c r="D3419" t="s">
        <v>4</v>
      </c>
      <c r="E3419" t="s">
        <v>4045</v>
      </c>
      <c r="F3419" t="s">
        <v>6058</v>
      </c>
      <c r="G3419" s="2" t="str">
        <f>HYPERLINK("https://vk.com/wall422649967_3672")</f>
        <v>https://vk.com/wall422649967_3672</v>
      </c>
      <c r="H3419" t="s">
        <v>6062</v>
      </c>
      <c r="I3419" t="s">
        <v>4158</v>
      </c>
      <c r="J3419" s="2" t="str">
        <f>HYPERLINK("http://vk.com/id422649967")</f>
        <v>http://vk.com/id422649967</v>
      </c>
      <c r="K3419">
        <v>1103</v>
      </c>
      <c r="L3419" t="s">
        <v>6064</v>
      </c>
      <c r="N3419" t="s">
        <v>25</v>
      </c>
      <c r="O3419" t="s">
        <v>4158</v>
      </c>
      <c r="P3419" s="2" t="str">
        <f>HYPERLINK("http://vk.com/id422649967")</f>
        <v>http://vk.com/id422649967</v>
      </c>
      <c r="Q3419">
        <v>1103</v>
      </c>
      <c r="R3419" t="s">
        <v>6067</v>
      </c>
    </row>
    <row r="3420" spans="1:19" ht="14.25" customHeight="1" x14ac:dyDescent="0.3">
      <c r="A3420" t="s">
        <v>3527</v>
      </c>
      <c r="B3420" t="s">
        <v>3988</v>
      </c>
      <c r="C3420" t="s">
        <v>95</v>
      </c>
      <c r="D3420" t="s">
        <v>4</v>
      </c>
      <c r="E3420" t="s">
        <v>3792</v>
      </c>
      <c r="F3420" t="s">
        <v>6058</v>
      </c>
      <c r="G3420" s="2" t="str">
        <f>HYPERLINK("https://vk.com/wall478090289_135")</f>
        <v>https://vk.com/wall478090289_135</v>
      </c>
      <c r="H3420" t="s">
        <v>6062</v>
      </c>
      <c r="I3420" t="s">
        <v>3990</v>
      </c>
      <c r="J3420" s="2" t="str">
        <f>HYPERLINK("http://vk.com/id478090289")</f>
        <v>http://vk.com/id478090289</v>
      </c>
      <c r="K3420">
        <v>0</v>
      </c>
      <c r="L3420" t="s">
        <v>6064</v>
      </c>
      <c r="M3420">
        <v>21</v>
      </c>
      <c r="N3420" t="s">
        <v>25</v>
      </c>
      <c r="O3420" t="s">
        <v>3990</v>
      </c>
      <c r="P3420" s="2" t="str">
        <f>HYPERLINK("http://vk.com/id478090289")</f>
        <v>http://vk.com/id478090289</v>
      </c>
      <c r="Q3420">
        <v>0</v>
      </c>
      <c r="R3420" t="s">
        <v>6067</v>
      </c>
    </row>
    <row r="3421" spans="1:19" ht="14.25" customHeight="1" x14ac:dyDescent="0.3">
      <c r="A3421" t="s">
        <v>3527</v>
      </c>
      <c r="B3421" t="s">
        <v>1608</v>
      </c>
      <c r="C3421" t="s">
        <v>3538</v>
      </c>
      <c r="D3421" t="s">
        <v>4</v>
      </c>
      <c r="E3421" t="s">
        <v>4045</v>
      </c>
      <c r="F3421" t="s">
        <v>6058</v>
      </c>
      <c r="G3421" s="2" t="str">
        <f>HYPERLINK("https://vk.com/wall151241715_3589")</f>
        <v>https://vk.com/wall151241715_3589</v>
      </c>
      <c r="H3421" t="s">
        <v>6062</v>
      </c>
      <c r="I3421" t="s">
        <v>3577</v>
      </c>
      <c r="J3421" s="2" t="str">
        <f>HYPERLINK("http://vk.com/id151241715")</f>
        <v>http://vk.com/id151241715</v>
      </c>
      <c r="K3421">
        <v>418</v>
      </c>
      <c r="L3421" t="s">
        <v>6064</v>
      </c>
      <c r="N3421" t="s">
        <v>25</v>
      </c>
      <c r="O3421" t="s">
        <v>3577</v>
      </c>
      <c r="P3421" s="2" t="str">
        <f>HYPERLINK("http://vk.com/id151241715")</f>
        <v>http://vk.com/id151241715</v>
      </c>
      <c r="Q3421">
        <v>418</v>
      </c>
      <c r="R3421" t="s">
        <v>6067</v>
      </c>
      <c r="S3421" t="s">
        <v>6073</v>
      </c>
    </row>
    <row r="3422" spans="1:19" ht="14.25" customHeight="1" x14ac:dyDescent="0.3">
      <c r="A3422" t="s">
        <v>3527</v>
      </c>
      <c r="B3422" t="s">
        <v>689</v>
      </c>
      <c r="C3422" t="s">
        <v>95</v>
      </c>
      <c r="D3422" t="s">
        <v>4</v>
      </c>
      <c r="E3422" t="s">
        <v>3517</v>
      </c>
      <c r="F3422" t="s">
        <v>6058</v>
      </c>
      <c r="G3422" s="2" t="str">
        <f>HYPERLINK("https://vk.com/wall151241715_3611")</f>
        <v>https://vk.com/wall151241715_3611</v>
      </c>
      <c r="H3422" t="s">
        <v>6062</v>
      </c>
      <c r="I3422" t="s">
        <v>3577</v>
      </c>
      <c r="J3422" s="2" t="str">
        <f>HYPERLINK("http://vk.com/id151241715")</f>
        <v>http://vk.com/id151241715</v>
      </c>
      <c r="K3422">
        <v>418</v>
      </c>
      <c r="L3422" t="s">
        <v>6064</v>
      </c>
      <c r="N3422" t="s">
        <v>25</v>
      </c>
      <c r="O3422" t="s">
        <v>3577</v>
      </c>
      <c r="P3422" s="2" t="str">
        <f>HYPERLINK("http://vk.com/id151241715")</f>
        <v>http://vk.com/id151241715</v>
      </c>
      <c r="Q3422">
        <v>418</v>
      </c>
      <c r="R3422" t="s">
        <v>6067</v>
      </c>
      <c r="S3422" t="s">
        <v>6073</v>
      </c>
    </row>
    <row r="3423" spans="1:19" ht="14.25" customHeight="1" x14ac:dyDescent="0.3">
      <c r="A3423" t="s">
        <v>3527</v>
      </c>
      <c r="B3423" t="s">
        <v>4271</v>
      </c>
      <c r="C3423" t="s">
        <v>3538</v>
      </c>
      <c r="D3423" t="s">
        <v>4</v>
      </c>
      <c r="E3423" t="s">
        <v>4045</v>
      </c>
      <c r="F3423" t="s">
        <v>6058</v>
      </c>
      <c r="G3423" s="2" t="str">
        <f>HYPERLINK("https://vk.com/wall447469766_545")</f>
        <v>https://vk.com/wall447469766_545</v>
      </c>
      <c r="H3423" t="s">
        <v>6062</v>
      </c>
      <c r="I3423" t="s">
        <v>4272</v>
      </c>
      <c r="J3423" s="2" t="str">
        <f>HYPERLINK("http://vk.com/id447469766")</f>
        <v>http://vk.com/id447469766</v>
      </c>
      <c r="K3423">
        <v>52</v>
      </c>
      <c r="L3423" t="s">
        <v>6064</v>
      </c>
      <c r="N3423" t="s">
        <v>25</v>
      </c>
      <c r="O3423" t="s">
        <v>4272</v>
      </c>
      <c r="P3423" s="2" t="str">
        <f>HYPERLINK("http://vk.com/id447469766")</f>
        <v>http://vk.com/id447469766</v>
      </c>
      <c r="Q3423">
        <v>52</v>
      </c>
      <c r="R3423" t="s">
        <v>6067</v>
      </c>
    </row>
    <row r="3424" spans="1:19" ht="14.25" customHeight="1" x14ac:dyDescent="0.3">
      <c r="A3424" t="s">
        <v>3527</v>
      </c>
      <c r="B3424" t="s">
        <v>3740</v>
      </c>
      <c r="C3424" t="s">
        <v>3538</v>
      </c>
      <c r="D3424" t="s">
        <v>4</v>
      </c>
      <c r="E3424" t="s">
        <v>3706</v>
      </c>
      <c r="F3424" t="s">
        <v>6058</v>
      </c>
      <c r="G3424" s="2" t="str">
        <f>HYPERLINK("https://vk.com/wall145828832_42")</f>
        <v>https://vk.com/wall145828832_42</v>
      </c>
      <c r="H3424" t="s">
        <v>6062</v>
      </c>
      <c r="I3424" t="s">
        <v>3744</v>
      </c>
      <c r="J3424" s="2" t="str">
        <f>HYPERLINK("http://vk.com/id145828832")</f>
        <v>http://vk.com/id145828832</v>
      </c>
      <c r="K3424">
        <v>8</v>
      </c>
      <c r="L3424" t="s">
        <v>6064</v>
      </c>
      <c r="M3424">
        <v>56</v>
      </c>
      <c r="N3424" t="s">
        <v>25</v>
      </c>
      <c r="O3424" t="s">
        <v>3744</v>
      </c>
      <c r="P3424" s="2" t="str">
        <f>HYPERLINK("http://vk.com/id145828832")</f>
        <v>http://vk.com/id145828832</v>
      </c>
      <c r="Q3424">
        <v>8</v>
      </c>
      <c r="R3424" t="s">
        <v>6067</v>
      </c>
      <c r="S3424" t="s">
        <v>6072</v>
      </c>
    </row>
    <row r="3425" spans="1:19" ht="14.25" customHeight="1" x14ac:dyDescent="0.3">
      <c r="A3425" t="s">
        <v>3527</v>
      </c>
      <c r="B3425" t="s">
        <v>982</v>
      </c>
      <c r="C3425" t="s">
        <v>95</v>
      </c>
      <c r="D3425" t="s">
        <v>4</v>
      </c>
      <c r="E3425" t="s">
        <v>3820</v>
      </c>
      <c r="F3425" t="s">
        <v>6058</v>
      </c>
      <c r="G3425" s="2" t="str">
        <f>HYPERLINK("https://vk.com/wall438426599_65")</f>
        <v>https://vk.com/wall438426599_65</v>
      </c>
      <c r="H3425" t="s">
        <v>6062</v>
      </c>
      <c r="I3425" t="s">
        <v>4021</v>
      </c>
      <c r="J3425" s="2" t="str">
        <f>HYPERLINK("http://vk.com/id438426599")</f>
        <v>http://vk.com/id438426599</v>
      </c>
      <c r="K3425">
        <v>294</v>
      </c>
      <c r="L3425" t="s">
        <v>6064</v>
      </c>
      <c r="N3425" t="s">
        <v>25</v>
      </c>
      <c r="O3425" t="s">
        <v>4021</v>
      </c>
      <c r="P3425" s="2" t="str">
        <f>HYPERLINK("http://vk.com/id438426599")</f>
        <v>http://vk.com/id438426599</v>
      </c>
      <c r="Q3425">
        <v>294</v>
      </c>
      <c r="R3425" t="s">
        <v>6067</v>
      </c>
      <c r="S3425" t="s">
        <v>6072</v>
      </c>
    </row>
    <row r="3426" spans="1:19" ht="14.25" customHeight="1" x14ac:dyDescent="0.3">
      <c r="A3426" t="s">
        <v>3527</v>
      </c>
      <c r="B3426" t="s">
        <v>3897</v>
      </c>
      <c r="C3426" t="s">
        <v>3538</v>
      </c>
      <c r="D3426" t="s">
        <v>4</v>
      </c>
      <c r="E3426" t="s">
        <v>3792</v>
      </c>
      <c r="F3426" t="s">
        <v>6058</v>
      </c>
      <c r="G3426" s="2" t="str">
        <f>HYPERLINK("https://vk.com/wall411213847_107")</f>
        <v>https://vk.com/wall411213847_107</v>
      </c>
      <c r="H3426" t="s">
        <v>6062</v>
      </c>
      <c r="I3426" t="s">
        <v>3898</v>
      </c>
      <c r="J3426" s="2" t="str">
        <f>HYPERLINK("http://vk.com/id411213847")</f>
        <v>http://vk.com/id411213847</v>
      </c>
      <c r="K3426">
        <v>16</v>
      </c>
      <c r="L3426" t="s">
        <v>6064</v>
      </c>
      <c r="N3426" t="s">
        <v>25</v>
      </c>
      <c r="O3426" t="s">
        <v>3898</v>
      </c>
      <c r="P3426" s="2" t="str">
        <f>HYPERLINK("http://vk.com/id411213847")</f>
        <v>http://vk.com/id411213847</v>
      </c>
      <c r="Q3426">
        <v>16</v>
      </c>
      <c r="R3426" t="s">
        <v>6067</v>
      </c>
      <c r="S3426" t="s">
        <v>6092</v>
      </c>
    </row>
    <row r="3427" spans="1:19" ht="14.25" customHeight="1" x14ac:dyDescent="0.3">
      <c r="A3427" t="s">
        <v>3527</v>
      </c>
      <c r="B3427" t="s">
        <v>954</v>
      </c>
      <c r="C3427" t="s">
        <v>95</v>
      </c>
      <c r="D3427" t="s">
        <v>4</v>
      </c>
      <c r="E3427" t="s">
        <v>3706</v>
      </c>
      <c r="F3427" t="s">
        <v>6058</v>
      </c>
      <c r="G3427" s="2" t="str">
        <f>HYPERLINK("https://vk.com/wall195662228_240")</f>
        <v>https://vk.com/wall195662228_240</v>
      </c>
      <c r="H3427" t="s">
        <v>6062</v>
      </c>
      <c r="I3427" t="s">
        <v>3556</v>
      </c>
      <c r="J3427" s="2" t="str">
        <f>HYPERLINK("http://vk.com/id195662228")</f>
        <v>http://vk.com/id195662228</v>
      </c>
      <c r="K3427">
        <v>39</v>
      </c>
      <c r="L3427" t="s">
        <v>6064</v>
      </c>
      <c r="N3427" t="s">
        <v>25</v>
      </c>
      <c r="O3427" t="s">
        <v>3556</v>
      </c>
      <c r="P3427" s="2" t="str">
        <f>HYPERLINK("http://vk.com/id195662228")</f>
        <v>http://vk.com/id195662228</v>
      </c>
      <c r="Q3427">
        <v>39</v>
      </c>
      <c r="R3427" t="s">
        <v>6067</v>
      </c>
      <c r="S3427" t="s">
        <v>6073</v>
      </c>
    </row>
    <row r="3428" spans="1:19" ht="14.25" customHeight="1" x14ac:dyDescent="0.3">
      <c r="A3428" t="s">
        <v>3527</v>
      </c>
      <c r="B3428" t="s">
        <v>659</v>
      </c>
      <c r="C3428" t="s">
        <v>95</v>
      </c>
      <c r="D3428" t="s">
        <v>4</v>
      </c>
      <c r="E3428" t="s">
        <v>3517</v>
      </c>
      <c r="F3428" t="s">
        <v>6058</v>
      </c>
      <c r="G3428" s="2" t="str">
        <f>HYPERLINK("https://vk.com/wall195662228_251")</f>
        <v>https://vk.com/wall195662228_251</v>
      </c>
      <c r="H3428" t="s">
        <v>6062</v>
      </c>
      <c r="I3428" t="s">
        <v>3556</v>
      </c>
      <c r="J3428" s="2" t="str">
        <f>HYPERLINK("http://vk.com/id195662228")</f>
        <v>http://vk.com/id195662228</v>
      </c>
      <c r="K3428">
        <v>39</v>
      </c>
      <c r="L3428" t="s">
        <v>6064</v>
      </c>
      <c r="N3428" t="s">
        <v>25</v>
      </c>
      <c r="O3428" t="s">
        <v>3556</v>
      </c>
      <c r="P3428" s="2" t="str">
        <f>HYPERLINK("http://vk.com/id195662228")</f>
        <v>http://vk.com/id195662228</v>
      </c>
      <c r="Q3428">
        <v>39</v>
      </c>
      <c r="R3428" t="s">
        <v>6067</v>
      </c>
      <c r="S3428" t="s">
        <v>6073</v>
      </c>
    </row>
    <row r="3429" spans="1:19" ht="14.25" customHeight="1" x14ac:dyDescent="0.3">
      <c r="A3429" t="s">
        <v>3527</v>
      </c>
      <c r="B3429" t="s">
        <v>728</v>
      </c>
      <c r="C3429" t="s">
        <v>95</v>
      </c>
      <c r="D3429" t="s">
        <v>4</v>
      </c>
      <c r="E3429" t="s">
        <v>3511</v>
      </c>
      <c r="F3429" t="s">
        <v>6058</v>
      </c>
      <c r="G3429" s="2" t="str">
        <f>HYPERLINK("https://vk.com/wall195662228_245")</f>
        <v>https://vk.com/wall195662228_245</v>
      </c>
      <c r="H3429" t="s">
        <v>6062</v>
      </c>
      <c r="I3429" t="s">
        <v>3556</v>
      </c>
      <c r="J3429" s="2" t="str">
        <f>HYPERLINK("http://vk.com/id195662228")</f>
        <v>http://vk.com/id195662228</v>
      </c>
      <c r="K3429">
        <v>39</v>
      </c>
      <c r="L3429" t="s">
        <v>6064</v>
      </c>
      <c r="N3429" t="s">
        <v>25</v>
      </c>
      <c r="O3429" t="s">
        <v>3556</v>
      </c>
      <c r="P3429" s="2" t="str">
        <f>HYPERLINK("http://vk.com/id195662228")</f>
        <v>http://vk.com/id195662228</v>
      </c>
      <c r="Q3429">
        <v>39</v>
      </c>
      <c r="R3429" t="s">
        <v>6067</v>
      </c>
      <c r="S3429" t="s">
        <v>6073</v>
      </c>
    </row>
    <row r="3430" spans="1:19" ht="14.25" customHeight="1" x14ac:dyDescent="0.3">
      <c r="A3430" t="s">
        <v>3527</v>
      </c>
      <c r="B3430" t="s">
        <v>286</v>
      </c>
      <c r="C3430" t="s">
        <v>3538</v>
      </c>
      <c r="D3430" t="s">
        <v>4</v>
      </c>
      <c r="E3430" t="s">
        <v>4045</v>
      </c>
      <c r="F3430" t="s">
        <v>6058</v>
      </c>
      <c r="G3430" s="2" t="str">
        <f>HYPERLINK("https://vk.com/wall450815427_1015")</f>
        <v>https://vk.com/wall450815427_1015</v>
      </c>
      <c r="H3430" t="s">
        <v>6062</v>
      </c>
      <c r="I3430" t="s">
        <v>3974</v>
      </c>
      <c r="J3430" s="2" t="str">
        <f>HYPERLINK("http://vk.com/id450815427")</f>
        <v>http://vk.com/id450815427</v>
      </c>
      <c r="K3430">
        <v>119</v>
      </c>
      <c r="L3430" t="s">
        <v>6064</v>
      </c>
      <c r="M3430">
        <v>37</v>
      </c>
      <c r="N3430" t="s">
        <v>25</v>
      </c>
      <c r="O3430" t="s">
        <v>3974</v>
      </c>
      <c r="P3430" s="2" t="str">
        <f>HYPERLINK("http://vk.com/id450815427")</f>
        <v>http://vk.com/id450815427</v>
      </c>
      <c r="Q3430">
        <v>119</v>
      </c>
      <c r="R3430" t="s">
        <v>6067</v>
      </c>
    </row>
    <row r="3431" spans="1:19" ht="14.25" customHeight="1" x14ac:dyDescent="0.3">
      <c r="A3431" t="s">
        <v>3527</v>
      </c>
      <c r="B3431" t="s">
        <v>3060</v>
      </c>
      <c r="C3431" t="s">
        <v>95</v>
      </c>
      <c r="D3431" t="s">
        <v>4</v>
      </c>
      <c r="E3431" t="s">
        <v>3820</v>
      </c>
      <c r="F3431" t="s">
        <v>6058</v>
      </c>
      <c r="G3431" s="2" t="str">
        <f>HYPERLINK("https://vk.com/wall450815427_1027")</f>
        <v>https://vk.com/wall450815427_1027</v>
      </c>
      <c r="H3431" t="s">
        <v>6062</v>
      </c>
      <c r="I3431" t="s">
        <v>3974</v>
      </c>
      <c r="J3431" s="2" t="str">
        <f>HYPERLINK("http://vk.com/id450815427")</f>
        <v>http://vk.com/id450815427</v>
      </c>
      <c r="K3431">
        <v>119</v>
      </c>
      <c r="L3431" t="s">
        <v>6064</v>
      </c>
      <c r="M3431">
        <v>37</v>
      </c>
      <c r="N3431" t="s">
        <v>25</v>
      </c>
      <c r="O3431" t="s">
        <v>3974</v>
      </c>
      <c r="P3431" s="2" t="str">
        <f>HYPERLINK("http://vk.com/id450815427")</f>
        <v>http://vk.com/id450815427</v>
      </c>
      <c r="Q3431">
        <v>119</v>
      </c>
      <c r="R3431" t="s">
        <v>6067</v>
      </c>
    </row>
    <row r="3432" spans="1:19" ht="14.25" customHeight="1" x14ac:dyDescent="0.3">
      <c r="A3432" t="s">
        <v>2225</v>
      </c>
      <c r="B3432" t="s">
        <v>3516</v>
      </c>
      <c r="C3432" t="s">
        <v>95</v>
      </c>
      <c r="D3432" t="s">
        <v>4</v>
      </c>
      <c r="E3432" t="s">
        <v>3517</v>
      </c>
      <c r="F3432" t="s">
        <v>6058</v>
      </c>
      <c r="G3432" s="2" t="str">
        <f>HYPERLINK("https://vk.com/wall467076207_278")</f>
        <v>https://vk.com/wall467076207_278</v>
      </c>
      <c r="H3432" t="s">
        <v>6062</v>
      </c>
      <c r="I3432" t="s">
        <v>3518</v>
      </c>
      <c r="J3432" s="2" t="str">
        <f>HYPERLINK("http://vk.com/id467076207")</f>
        <v>http://vk.com/id467076207</v>
      </c>
      <c r="K3432">
        <v>41</v>
      </c>
      <c r="L3432" t="s">
        <v>6063</v>
      </c>
      <c r="M3432">
        <v>24</v>
      </c>
      <c r="N3432" t="s">
        <v>25</v>
      </c>
      <c r="O3432" t="s">
        <v>3518</v>
      </c>
      <c r="P3432" s="2" t="str">
        <f>HYPERLINK("http://vk.com/id467076207")</f>
        <v>http://vk.com/id467076207</v>
      </c>
      <c r="Q3432">
        <v>41</v>
      </c>
      <c r="R3432" t="s">
        <v>6067</v>
      </c>
    </row>
    <row r="3433" spans="1:19" ht="14.25" customHeight="1" x14ac:dyDescent="0.3">
      <c r="A3433" t="s">
        <v>5409</v>
      </c>
      <c r="B3433" t="s">
        <v>869</v>
      </c>
      <c r="C3433" t="s">
        <v>3538</v>
      </c>
      <c r="D3433" t="s">
        <v>4</v>
      </c>
      <c r="E3433" t="s">
        <v>5548</v>
      </c>
      <c r="F3433" t="s">
        <v>6056</v>
      </c>
      <c r="G3433" s="2" t="str">
        <f>HYPERLINK("https://vk.com/wall221259391_1294")</f>
        <v>https://vk.com/wall221259391_1294</v>
      </c>
      <c r="H3433" t="s">
        <v>6062</v>
      </c>
      <c r="I3433" t="s">
        <v>5550</v>
      </c>
      <c r="J3433" s="2" t="str">
        <f>HYPERLINK("http://vk.com/id221259391")</f>
        <v>http://vk.com/id221259391</v>
      </c>
      <c r="K3433">
        <v>351</v>
      </c>
      <c r="L3433" t="s">
        <v>6063</v>
      </c>
      <c r="N3433" t="s">
        <v>25</v>
      </c>
      <c r="O3433" t="s">
        <v>5550</v>
      </c>
      <c r="P3433" s="2" t="str">
        <f>HYPERLINK("http://vk.com/id221259391")</f>
        <v>http://vk.com/id221259391</v>
      </c>
      <c r="Q3433">
        <v>351</v>
      </c>
      <c r="R3433" t="s">
        <v>6067</v>
      </c>
      <c r="S3433" t="s">
        <v>6073</v>
      </c>
    </row>
    <row r="3434" spans="1:19" ht="14.25" customHeight="1" x14ac:dyDescent="0.3">
      <c r="A3434" t="s">
        <v>3527</v>
      </c>
      <c r="B3434" t="s">
        <v>4407</v>
      </c>
      <c r="C3434" t="s">
        <v>3538</v>
      </c>
      <c r="D3434" t="s">
        <v>4</v>
      </c>
      <c r="E3434" t="s">
        <v>4045</v>
      </c>
      <c r="F3434" t="s">
        <v>6058</v>
      </c>
      <c r="G3434" s="2" t="str">
        <f>HYPERLINK("https://vk.com/wall466553791_758")</f>
        <v>https://vk.com/wall466553791_758</v>
      </c>
      <c r="H3434" t="s">
        <v>6062</v>
      </c>
      <c r="I3434" t="s">
        <v>4408</v>
      </c>
      <c r="J3434" s="2" t="str">
        <f>HYPERLINK("http://vk.com/id466553791")</f>
        <v>http://vk.com/id466553791</v>
      </c>
      <c r="K3434">
        <v>106</v>
      </c>
      <c r="L3434" t="s">
        <v>6064</v>
      </c>
      <c r="M3434">
        <v>31</v>
      </c>
      <c r="N3434" t="s">
        <v>25</v>
      </c>
      <c r="O3434" t="s">
        <v>4408</v>
      </c>
      <c r="P3434" s="2" t="str">
        <f>HYPERLINK("http://vk.com/id466553791")</f>
        <v>http://vk.com/id466553791</v>
      </c>
      <c r="Q3434">
        <v>106</v>
      </c>
      <c r="R3434" t="s">
        <v>6067</v>
      </c>
    </row>
    <row r="3435" spans="1:19" ht="14.25" customHeight="1" x14ac:dyDescent="0.3">
      <c r="A3435" t="s">
        <v>3527</v>
      </c>
      <c r="B3435" t="s">
        <v>817</v>
      </c>
      <c r="C3435" t="s">
        <v>95</v>
      </c>
      <c r="D3435" t="s">
        <v>4</v>
      </c>
      <c r="E3435" t="s">
        <v>3625</v>
      </c>
      <c r="F3435" t="s">
        <v>6058</v>
      </c>
      <c r="G3435" s="2" t="str">
        <f>HYPERLINK("https://vk.com/wall466313434_447")</f>
        <v>https://vk.com/wall466313434_447</v>
      </c>
      <c r="H3435" t="s">
        <v>6062</v>
      </c>
      <c r="I3435" t="s">
        <v>3777</v>
      </c>
      <c r="J3435" s="2" t="str">
        <f>HYPERLINK("http://vk.com/id466313434")</f>
        <v>http://vk.com/id466313434</v>
      </c>
      <c r="K3435">
        <v>90</v>
      </c>
      <c r="L3435" t="s">
        <v>6063</v>
      </c>
      <c r="M3435">
        <v>21</v>
      </c>
      <c r="N3435" t="s">
        <v>25</v>
      </c>
      <c r="O3435" t="s">
        <v>3777</v>
      </c>
      <c r="P3435" s="2" t="str">
        <f>HYPERLINK("http://vk.com/id466313434")</f>
        <v>http://vk.com/id466313434</v>
      </c>
      <c r="Q3435">
        <v>90</v>
      </c>
      <c r="R3435" t="s">
        <v>6067</v>
      </c>
      <c r="S3435" t="s">
        <v>6072</v>
      </c>
    </row>
    <row r="3436" spans="1:19" ht="14.25" customHeight="1" x14ac:dyDescent="0.3">
      <c r="A3436" t="s">
        <v>3527</v>
      </c>
      <c r="B3436" t="s">
        <v>1224</v>
      </c>
      <c r="C3436" t="s">
        <v>95</v>
      </c>
      <c r="D3436" t="s">
        <v>4</v>
      </c>
      <c r="E3436" t="s">
        <v>4045</v>
      </c>
      <c r="F3436" t="s">
        <v>6058</v>
      </c>
      <c r="G3436" s="2" t="str">
        <f>HYPERLINK("https://vk.com/wall480141125_110")</f>
        <v>https://vk.com/wall480141125_110</v>
      </c>
      <c r="H3436" t="s">
        <v>6062</v>
      </c>
      <c r="I3436" t="s">
        <v>3645</v>
      </c>
      <c r="J3436" s="2" t="str">
        <f>HYPERLINK("http://vk.com/id480141125")</f>
        <v>http://vk.com/id480141125</v>
      </c>
      <c r="K3436">
        <v>0</v>
      </c>
      <c r="L3436" t="s">
        <v>6063</v>
      </c>
      <c r="M3436">
        <v>59</v>
      </c>
      <c r="N3436" t="s">
        <v>25</v>
      </c>
      <c r="O3436" t="s">
        <v>3645</v>
      </c>
      <c r="P3436" s="2" t="str">
        <f>HYPERLINK("http://vk.com/id480141125")</f>
        <v>http://vk.com/id480141125</v>
      </c>
      <c r="Q3436">
        <v>0</v>
      </c>
      <c r="R3436" t="s">
        <v>6067</v>
      </c>
    </row>
    <row r="3437" spans="1:19" ht="14.25" customHeight="1" x14ac:dyDescent="0.3">
      <c r="A3437" t="s">
        <v>3527</v>
      </c>
      <c r="B3437" t="s">
        <v>2368</v>
      </c>
      <c r="C3437" t="s">
        <v>95</v>
      </c>
      <c r="D3437" t="s">
        <v>4</v>
      </c>
      <c r="E3437" t="s">
        <v>3511</v>
      </c>
      <c r="F3437" t="s">
        <v>6058</v>
      </c>
      <c r="G3437" s="2" t="str">
        <f>HYPERLINK("https://vk.com/wall480141125_124")</f>
        <v>https://vk.com/wall480141125_124</v>
      </c>
      <c r="H3437" t="s">
        <v>6062</v>
      </c>
      <c r="I3437" t="s">
        <v>3645</v>
      </c>
      <c r="J3437" s="2" t="str">
        <f>HYPERLINK("http://vk.com/id480141125")</f>
        <v>http://vk.com/id480141125</v>
      </c>
      <c r="K3437">
        <v>0</v>
      </c>
      <c r="L3437" t="s">
        <v>6063</v>
      </c>
      <c r="M3437">
        <v>59</v>
      </c>
      <c r="N3437" t="s">
        <v>25</v>
      </c>
      <c r="O3437" t="s">
        <v>3645</v>
      </c>
      <c r="P3437" s="2" t="str">
        <f>HYPERLINK("http://vk.com/id480141125")</f>
        <v>http://vk.com/id480141125</v>
      </c>
      <c r="Q3437">
        <v>0</v>
      </c>
      <c r="R3437" t="s">
        <v>6067</v>
      </c>
    </row>
    <row r="3438" spans="1:19" ht="14.25" customHeight="1" x14ac:dyDescent="0.3">
      <c r="A3438" t="s">
        <v>3527</v>
      </c>
      <c r="B3438" t="s">
        <v>3532</v>
      </c>
      <c r="C3438" t="s">
        <v>95</v>
      </c>
      <c r="D3438" t="s">
        <v>4</v>
      </c>
      <c r="E3438" t="s">
        <v>3511</v>
      </c>
      <c r="F3438" t="s">
        <v>6058</v>
      </c>
      <c r="G3438" s="2" t="str">
        <f>HYPERLINK("https://vk.com/wall481135010_44")</f>
        <v>https://vk.com/wall481135010_44</v>
      </c>
      <c r="H3438" t="s">
        <v>6062</v>
      </c>
      <c r="I3438" t="s">
        <v>3533</v>
      </c>
      <c r="J3438" s="2" t="str">
        <f>HYPERLINK("http://vk.com/id481135010")</f>
        <v>http://vk.com/id481135010</v>
      </c>
      <c r="K3438">
        <v>1</v>
      </c>
      <c r="L3438" t="s">
        <v>6063</v>
      </c>
      <c r="M3438">
        <v>18</v>
      </c>
      <c r="N3438" t="s">
        <v>25</v>
      </c>
      <c r="O3438" t="s">
        <v>3533</v>
      </c>
      <c r="P3438" s="2" t="str">
        <f>HYPERLINK("http://vk.com/id481135010")</f>
        <v>http://vk.com/id481135010</v>
      </c>
      <c r="Q3438">
        <v>1</v>
      </c>
      <c r="R3438" t="s">
        <v>6067</v>
      </c>
    </row>
    <row r="3439" spans="1:19" ht="14.25" customHeight="1" x14ac:dyDescent="0.3">
      <c r="A3439" t="s">
        <v>3527</v>
      </c>
      <c r="B3439" t="s">
        <v>3804</v>
      </c>
      <c r="C3439" t="s">
        <v>95</v>
      </c>
      <c r="D3439" t="s">
        <v>4</v>
      </c>
      <c r="E3439" t="s">
        <v>3792</v>
      </c>
      <c r="F3439" t="s">
        <v>6058</v>
      </c>
      <c r="G3439" s="2" t="str">
        <f>HYPERLINK("https://vk.com/wall478969541_323")</f>
        <v>https://vk.com/wall478969541_323</v>
      </c>
      <c r="H3439" t="s">
        <v>6062</v>
      </c>
      <c r="I3439" t="s">
        <v>3805</v>
      </c>
      <c r="J3439" s="2" t="str">
        <f>HYPERLINK("http://vk.com/id478969541")</f>
        <v>http://vk.com/id478969541</v>
      </c>
      <c r="K3439">
        <v>7</v>
      </c>
      <c r="L3439" t="s">
        <v>6064</v>
      </c>
      <c r="M3439">
        <v>24</v>
      </c>
      <c r="N3439" t="s">
        <v>25</v>
      </c>
      <c r="O3439" t="s">
        <v>3805</v>
      </c>
      <c r="P3439" s="2" t="str">
        <f>HYPERLINK("http://vk.com/id478969541")</f>
        <v>http://vk.com/id478969541</v>
      </c>
      <c r="Q3439">
        <v>7</v>
      </c>
      <c r="R3439" t="s">
        <v>6067</v>
      </c>
    </row>
    <row r="3440" spans="1:19" ht="14.25" customHeight="1" x14ac:dyDescent="0.3">
      <c r="A3440" t="s">
        <v>3527</v>
      </c>
      <c r="B3440" t="s">
        <v>903</v>
      </c>
      <c r="C3440" t="s">
        <v>95</v>
      </c>
      <c r="D3440" t="s">
        <v>4</v>
      </c>
      <c r="E3440" t="s">
        <v>3625</v>
      </c>
      <c r="F3440" t="s">
        <v>6058</v>
      </c>
      <c r="G3440" s="2" t="str">
        <f>HYPERLINK("https://vk.com/wall478969541_320")</f>
        <v>https://vk.com/wall478969541_320</v>
      </c>
      <c r="H3440" t="s">
        <v>6062</v>
      </c>
      <c r="I3440" t="s">
        <v>3805</v>
      </c>
      <c r="J3440" s="2" t="str">
        <f>HYPERLINK("http://vk.com/id478969541")</f>
        <v>http://vk.com/id478969541</v>
      </c>
      <c r="K3440">
        <v>7</v>
      </c>
      <c r="L3440" t="s">
        <v>6064</v>
      </c>
      <c r="M3440">
        <v>24</v>
      </c>
      <c r="N3440" t="s">
        <v>25</v>
      </c>
      <c r="O3440" t="s">
        <v>3805</v>
      </c>
      <c r="P3440" s="2" t="str">
        <f>HYPERLINK("http://vk.com/id478969541")</f>
        <v>http://vk.com/id478969541</v>
      </c>
      <c r="Q3440">
        <v>7</v>
      </c>
      <c r="R3440" t="s">
        <v>6067</v>
      </c>
    </row>
    <row r="3441" spans="1:19" ht="14.25" customHeight="1" x14ac:dyDescent="0.3">
      <c r="A3441" t="s">
        <v>5409</v>
      </c>
      <c r="B3441" t="s">
        <v>1238</v>
      </c>
      <c r="C3441" t="s">
        <v>3538</v>
      </c>
      <c r="D3441" t="s">
        <v>4</v>
      </c>
      <c r="E3441" t="s">
        <v>5690</v>
      </c>
      <c r="F3441" t="s">
        <v>6056</v>
      </c>
      <c r="G3441" s="2" t="str">
        <f>HYPERLINK("https://vk.com/wall-77881498_139297")</f>
        <v>https://vk.com/wall-77881498_139297</v>
      </c>
      <c r="H3441" t="s">
        <v>6062</v>
      </c>
      <c r="I3441" t="s">
        <v>5629</v>
      </c>
      <c r="J3441" s="2" t="str">
        <f>HYPERLINK("http://vk.com/club77881498")</f>
        <v>http://vk.com/club77881498</v>
      </c>
      <c r="K3441">
        <v>27743</v>
      </c>
      <c r="L3441" t="s">
        <v>6065</v>
      </c>
      <c r="N3441" t="s">
        <v>25</v>
      </c>
      <c r="O3441" t="s">
        <v>5629</v>
      </c>
      <c r="P3441" s="2" t="str">
        <f>HYPERLINK("http://vk.com/club77881498")</f>
        <v>http://vk.com/club77881498</v>
      </c>
      <c r="Q3441">
        <v>27743</v>
      </c>
      <c r="R3441" t="s">
        <v>6067</v>
      </c>
    </row>
    <row r="3442" spans="1:19" ht="14.25" customHeight="1" x14ac:dyDescent="0.3">
      <c r="A3442" t="s">
        <v>2225</v>
      </c>
      <c r="B3442" t="s">
        <v>3017</v>
      </c>
      <c r="C3442" t="s">
        <v>95</v>
      </c>
      <c r="D3442" t="s">
        <v>4</v>
      </c>
      <c r="E3442" t="s">
        <v>3012</v>
      </c>
      <c r="F3442" t="s">
        <v>6058</v>
      </c>
      <c r="G3442" s="2" t="str">
        <f>HYPERLINK("https://vk.com/wall-26822578_81756")</f>
        <v>https://vk.com/wall-26822578_81756</v>
      </c>
      <c r="H3442" t="s">
        <v>6062</v>
      </c>
      <c r="I3442" t="s">
        <v>624</v>
      </c>
      <c r="J3442" s="2" t="str">
        <f>HYPERLINK("http://vk.com/club26822578")</f>
        <v>http://vk.com/club26822578</v>
      </c>
      <c r="K3442">
        <v>14601</v>
      </c>
      <c r="L3442" t="s">
        <v>6065</v>
      </c>
      <c r="N3442" t="s">
        <v>25</v>
      </c>
      <c r="O3442" t="s">
        <v>624</v>
      </c>
      <c r="P3442" s="2" t="str">
        <f>HYPERLINK("http://vk.com/club26822578")</f>
        <v>http://vk.com/club26822578</v>
      </c>
      <c r="Q3442">
        <v>14601</v>
      </c>
      <c r="R3442" t="s">
        <v>6067</v>
      </c>
      <c r="S3442" t="s">
        <v>6073</v>
      </c>
    </row>
    <row r="3443" spans="1:19" ht="14.25" customHeight="1" x14ac:dyDescent="0.3">
      <c r="A3443" t="s">
        <v>2225</v>
      </c>
      <c r="B3443" t="s">
        <v>3017</v>
      </c>
      <c r="C3443" t="s">
        <v>95</v>
      </c>
      <c r="D3443" t="s">
        <v>4</v>
      </c>
      <c r="E3443" t="s">
        <v>3012</v>
      </c>
      <c r="F3443" t="s">
        <v>6058</v>
      </c>
      <c r="G3443" s="2" t="str">
        <f>HYPERLINK("https://vk.com/wall-91914497_8603")</f>
        <v>https://vk.com/wall-91914497_8603</v>
      </c>
      <c r="H3443" t="s">
        <v>6062</v>
      </c>
      <c r="I3443" t="s">
        <v>3020</v>
      </c>
      <c r="J3443" s="2" t="str">
        <f>HYPERLINK("http://vk.com/club91914497")</f>
        <v>http://vk.com/club91914497</v>
      </c>
      <c r="K3443">
        <v>2329</v>
      </c>
      <c r="L3443" t="s">
        <v>6065</v>
      </c>
      <c r="N3443" t="s">
        <v>25</v>
      </c>
      <c r="O3443" t="s">
        <v>3020</v>
      </c>
      <c r="P3443" s="2" t="str">
        <f>HYPERLINK("http://vk.com/club91914497")</f>
        <v>http://vk.com/club91914497</v>
      </c>
      <c r="Q3443">
        <v>2329</v>
      </c>
      <c r="R3443" t="s">
        <v>6067</v>
      </c>
      <c r="S3443" t="s">
        <v>6073</v>
      </c>
    </row>
    <row r="3444" spans="1:19" ht="14.25" customHeight="1" x14ac:dyDescent="0.3">
      <c r="A3444" t="s">
        <v>3527</v>
      </c>
      <c r="B3444" t="s">
        <v>143</v>
      </c>
      <c r="C3444" t="s">
        <v>3538</v>
      </c>
      <c r="D3444" t="s">
        <v>4</v>
      </c>
      <c r="E3444" t="s">
        <v>4045</v>
      </c>
      <c r="F3444" t="s">
        <v>6058</v>
      </c>
      <c r="G3444" s="2" t="str">
        <f>HYPERLINK("https://vk.com/wall479333167_39")</f>
        <v>https://vk.com/wall479333167_39</v>
      </c>
      <c r="H3444" t="s">
        <v>6062</v>
      </c>
      <c r="I3444" t="s">
        <v>4234</v>
      </c>
      <c r="J3444" s="2" t="str">
        <f>HYPERLINK("http://vk.com/id479333167")</f>
        <v>http://vk.com/id479333167</v>
      </c>
      <c r="K3444">
        <v>0</v>
      </c>
      <c r="L3444" t="s">
        <v>6063</v>
      </c>
      <c r="M3444">
        <v>48</v>
      </c>
      <c r="N3444" t="s">
        <v>25</v>
      </c>
      <c r="O3444" t="s">
        <v>4234</v>
      </c>
      <c r="P3444" s="2" t="str">
        <f>HYPERLINK("http://vk.com/id479333167")</f>
        <v>http://vk.com/id479333167</v>
      </c>
      <c r="Q3444">
        <v>0</v>
      </c>
      <c r="R3444" t="s">
        <v>6067</v>
      </c>
    </row>
    <row r="3445" spans="1:19" ht="14.25" customHeight="1" x14ac:dyDescent="0.3">
      <c r="A3445" t="s">
        <v>3527</v>
      </c>
      <c r="B3445" t="s">
        <v>1014</v>
      </c>
      <c r="C3445" t="s">
        <v>3538</v>
      </c>
      <c r="D3445" t="s">
        <v>4</v>
      </c>
      <c r="E3445" t="s">
        <v>4045</v>
      </c>
      <c r="F3445" t="s">
        <v>6058</v>
      </c>
      <c r="G3445" s="2" t="str">
        <f>HYPERLINK("https://vk.com/wall153595208_498")</f>
        <v>https://vk.com/wall153595208_498</v>
      </c>
      <c r="H3445" t="s">
        <v>6062</v>
      </c>
      <c r="I3445" t="s">
        <v>3536</v>
      </c>
      <c r="J3445" s="2" t="str">
        <f>HYPERLINK("http://vk.com/id153595208")</f>
        <v>http://vk.com/id153595208</v>
      </c>
      <c r="K3445">
        <v>326</v>
      </c>
      <c r="L3445" t="s">
        <v>6063</v>
      </c>
      <c r="N3445" t="s">
        <v>25</v>
      </c>
      <c r="O3445" t="s">
        <v>3536</v>
      </c>
      <c r="P3445" s="2" t="str">
        <f>HYPERLINK("http://vk.com/id153595208")</f>
        <v>http://vk.com/id153595208</v>
      </c>
      <c r="Q3445">
        <v>326</v>
      </c>
      <c r="R3445" t="s">
        <v>6067</v>
      </c>
      <c r="S3445" t="s">
        <v>6072</v>
      </c>
    </row>
    <row r="3446" spans="1:19" ht="14.25" customHeight="1" x14ac:dyDescent="0.3">
      <c r="A3446" t="s">
        <v>3527</v>
      </c>
      <c r="B3446" t="s">
        <v>645</v>
      </c>
      <c r="C3446" t="s">
        <v>95</v>
      </c>
      <c r="D3446" t="s">
        <v>4</v>
      </c>
      <c r="E3446" t="s">
        <v>3511</v>
      </c>
      <c r="F3446" t="s">
        <v>6058</v>
      </c>
      <c r="G3446" s="2" t="str">
        <f>HYPERLINK("https://vk.com/wall153595208_507")</f>
        <v>https://vk.com/wall153595208_507</v>
      </c>
      <c r="H3446" t="s">
        <v>6062</v>
      </c>
      <c r="I3446" t="s">
        <v>3536</v>
      </c>
      <c r="J3446" s="2" t="str">
        <f>HYPERLINK("http://vk.com/id153595208")</f>
        <v>http://vk.com/id153595208</v>
      </c>
      <c r="K3446">
        <v>326</v>
      </c>
      <c r="L3446" t="s">
        <v>6063</v>
      </c>
      <c r="N3446" t="s">
        <v>25</v>
      </c>
      <c r="O3446" t="s">
        <v>3536</v>
      </c>
      <c r="P3446" s="2" t="str">
        <f>HYPERLINK("http://vk.com/id153595208")</f>
        <v>http://vk.com/id153595208</v>
      </c>
      <c r="Q3446">
        <v>326</v>
      </c>
      <c r="R3446" t="s">
        <v>6067</v>
      </c>
      <c r="S3446" t="s">
        <v>6072</v>
      </c>
    </row>
    <row r="3447" spans="1:19" ht="14.25" customHeight="1" x14ac:dyDescent="0.3">
      <c r="A3447" t="s">
        <v>3527</v>
      </c>
      <c r="B3447" t="s">
        <v>2428</v>
      </c>
      <c r="C3447" t="s">
        <v>95</v>
      </c>
      <c r="D3447" t="s">
        <v>4</v>
      </c>
      <c r="E3447" t="s">
        <v>3559</v>
      </c>
      <c r="F3447" t="s">
        <v>6058</v>
      </c>
      <c r="G3447" s="2" t="str">
        <f>HYPERLINK("https://vk.com/wall474271748_180")</f>
        <v>https://vk.com/wall474271748_180</v>
      </c>
      <c r="H3447" t="s">
        <v>6062</v>
      </c>
      <c r="I3447" t="s">
        <v>3661</v>
      </c>
      <c r="J3447" s="2" t="str">
        <f>HYPERLINK("http://vk.com/id474271748")</f>
        <v>http://vk.com/id474271748</v>
      </c>
      <c r="K3447">
        <v>2</v>
      </c>
      <c r="L3447" t="s">
        <v>6063</v>
      </c>
      <c r="M3447">
        <v>22</v>
      </c>
      <c r="N3447" t="s">
        <v>25</v>
      </c>
      <c r="O3447" t="s">
        <v>3661</v>
      </c>
      <c r="P3447" s="2" t="str">
        <f>HYPERLINK("http://vk.com/id474271748")</f>
        <v>http://vk.com/id474271748</v>
      </c>
      <c r="Q3447">
        <v>2</v>
      </c>
      <c r="R3447" t="s">
        <v>6067</v>
      </c>
    </row>
    <row r="3448" spans="1:19" ht="14.25" customHeight="1" x14ac:dyDescent="0.3">
      <c r="A3448" t="s">
        <v>3527</v>
      </c>
      <c r="B3448" t="s">
        <v>4012</v>
      </c>
      <c r="C3448" t="s">
        <v>95</v>
      </c>
      <c r="D3448" t="s">
        <v>4</v>
      </c>
      <c r="E3448" t="s">
        <v>3706</v>
      </c>
      <c r="F3448" t="s">
        <v>6058</v>
      </c>
      <c r="G3448" s="2" t="str">
        <f>HYPERLINK("https://vk.com/wall474271748_173")</f>
        <v>https://vk.com/wall474271748_173</v>
      </c>
      <c r="H3448" t="s">
        <v>6062</v>
      </c>
      <c r="I3448" t="s">
        <v>3661</v>
      </c>
      <c r="J3448" s="2" t="str">
        <f>HYPERLINK("http://vk.com/id474271748")</f>
        <v>http://vk.com/id474271748</v>
      </c>
      <c r="K3448">
        <v>2</v>
      </c>
      <c r="L3448" t="s">
        <v>6063</v>
      </c>
      <c r="M3448">
        <v>22</v>
      </c>
      <c r="N3448" t="s">
        <v>25</v>
      </c>
      <c r="O3448" t="s">
        <v>3661</v>
      </c>
      <c r="P3448" s="2" t="str">
        <f>HYPERLINK("http://vk.com/id474271748")</f>
        <v>http://vk.com/id474271748</v>
      </c>
      <c r="Q3448">
        <v>2</v>
      </c>
      <c r="R3448" t="s">
        <v>6067</v>
      </c>
    </row>
    <row r="3449" spans="1:19" ht="14.25" customHeight="1" x14ac:dyDescent="0.3">
      <c r="A3449" t="s">
        <v>3527</v>
      </c>
      <c r="B3449" t="s">
        <v>4386</v>
      </c>
      <c r="C3449" t="s">
        <v>3538</v>
      </c>
      <c r="D3449" t="s">
        <v>4</v>
      </c>
      <c r="E3449" t="s">
        <v>4045</v>
      </c>
      <c r="F3449" t="s">
        <v>6058</v>
      </c>
      <c r="G3449" s="2" t="str">
        <f>HYPERLINK("https://vk.com/wall452438892_548")</f>
        <v>https://vk.com/wall452438892_548</v>
      </c>
      <c r="H3449" t="s">
        <v>6062</v>
      </c>
      <c r="I3449" t="s">
        <v>4387</v>
      </c>
      <c r="J3449" s="2" t="str">
        <f>HYPERLINK("http://vk.com/id452438892")</f>
        <v>http://vk.com/id452438892</v>
      </c>
      <c r="K3449">
        <v>47</v>
      </c>
      <c r="L3449" t="s">
        <v>6064</v>
      </c>
      <c r="M3449">
        <v>21</v>
      </c>
      <c r="N3449" t="s">
        <v>25</v>
      </c>
      <c r="O3449" t="s">
        <v>4387</v>
      </c>
      <c r="P3449" s="2" t="str">
        <f>HYPERLINK("http://vk.com/id452438892")</f>
        <v>http://vk.com/id452438892</v>
      </c>
      <c r="Q3449">
        <v>47</v>
      </c>
      <c r="R3449" t="s">
        <v>6067</v>
      </c>
    </row>
    <row r="3450" spans="1:19" ht="14.25" customHeight="1" x14ac:dyDescent="0.3">
      <c r="A3450" t="s">
        <v>3527</v>
      </c>
      <c r="B3450" t="s">
        <v>3814</v>
      </c>
      <c r="C3450" t="s">
        <v>95</v>
      </c>
      <c r="D3450" t="s">
        <v>4</v>
      </c>
      <c r="E3450" t="s">
        <v>3706</v>
      </c>
      <c r="F3450" t="s">
        <v>6058</v>
      </c>
      <c r="G3450" s="2" t="str">
        <f>HYPERLINK("https://vk.com/wall478485490_255")</f>
        <v>https://vk.com/wall478485490_255</v>
      </c>
      <c r="H3450" t="s">
        <v>6062</v>
      </c>
      <c r="I3450" t="s">
        <v>3815</v>
      </c>
      <c r="J3450" s="2" t="str">
        <f>HYPERLINK("http://vk.com/id478485490")</f>
        <v>http://vk.com/id478485490</v>
      </c>
      <c r="K3450">
        <v>3</v>
      </c>
      <c r="L3450" t="s">
        <v>6063</v>
      </c>
      <c r="M3450">
        <v>25</v>
      </c>
      <c r="N3450" t="s">
        <v>25</v>
      </c>
      <c r="O3450" t="s">
        <v>3815</v>
      </c>
      <c r="P3450" s="2" t="str">
        <f>HYPERLINK("http://vk.com/id478485490")</f>
        <v>http://vk.com/id478485490</v>
      </c>
      <c r="Q3450">
        <v>3</v>
      </c>
      <c r="R3450" t="s">
        <v>6067</v>
      </c>
    </row>
    <row r="3451" spans="1:19" ht="14.25" customHeight="1" x14ac:dyDescent="0.3">
      <c r="A3451" t="s">
        <v>3527</v>
      </c>
      <c r="B3451" t="s">
        <v>947</v>
      </c>
      <c r="C3451" t="s">
        <v>95</v>
      </c>
      <c r="D3451" t="s">
        <v>4</v>
      </c>
      <c r="E3451" t="s">
        <v>3820</v>
      </c>
      <c r="F3451" t="s">
        <v>6058</v>
      </c>
      <c r="G3451" s="2" t="str">
        <f>HYPERLINK("https://vk.com/wall375965295_436")</f>
        <v>https://vk.com/wall375965295_436</v>
      </c>
      <c r="H3451" t="s">
        <v>6062</v>
      </c>
      <c r="I3451" t="s">
        <v>3967</v>
      </c>
      <c r="J3451" s="2" t="str">
        <f>HYPERLINK("http://vk.com/id375965295")</f>
        <v>http://vk.com/id375965295</v>
      </c>
      <c r="K3451">
        <v>110</v>
      </c>
      <c r="L3451" t="s">
        <v>6063</v>
      </c>
      <c r="N3451" t="s">
        <v>25</v>
      </c>
      <c r="O3451" t="s">
        <v>3967</v>
      </c>
      <c r="P3451" s="2" t="str">
        <f>HYPERLINK("http://vk.com/id375965295")</f>
        <v>http://vk.com/id375965295</v>
      </c>
      <c r="Q3451">
        <v>110</v>
      </c>
      <c r="R3451" t="s">
        <v>6067</v>
      </c>
      <c r="S3451" t="s">
        <v>6072</v>
      </c>
    </row>
    <row r="3452" spans="1:19" ht="14.25" customHeight="1" x14ac:dyDescent="0.3">
      <c r="A3452" t="s">
        <v>3527</v>
      </c>
      <c r="B3452" t="s">
        <v>4227</v>
      </c>
      <c r="C3452" t="s">
        <v>95</v>
      </c>
      <c r="D3452" t="s">
        <v>4</v>
      </c>
      <c r="E3452" t="s">
        <v>4045</v>
      </c>
      <c r="F3452" t="s">
        <v>6058</v>
      </c>
      <c r="G3452" s="2" t="str">
        <f>HYPERLINK("https://vk.com/wall472495088_120")</f>
        <v>https://vk.com/wall472495088_120</v>
      </c>
      <c r="H3452" t="s">
        <v>6062</v>
      </c>
      <c r="I3452" t="s">
        <v>4228</v>
      </c>
      <c r="J3452" s="2" t="str">
        <f>HYPERLINK("http://vk.com/id472495088")</f>
        <v>http://vk.com/id472495088</v>
      </c>
      <c r="K3452">
        <v>0</v>
      </c>
      <c r="L3452" t="s">
        <v>6063</v>
      </c>
      <c r="M3452">
        <v>22</v>
      </c>
      <c r="N3452" t="s">
        <v>25</v>
      </c>
      <c r="O3452" t="s">
        <v>4228</v>
      </c>
      <c r="P3452" s="2" t="str">
        <f>HYPERLINK("http://vk.com/id472495088")</f>
        <v>http://vk.com/id472495088</v>
      </c>
      <c r="Q3452">
        <v>0</v>
      </c>
      <c r="R3452" t="s">
        <v>6067</v>
      </c>
      <c r="S3452" t="s">
        <v>6072</v>
      </c>
    </row>
    <row r="3453" spans="1:19" ht="14.25" customHeight="1" x14ac:dyDescent="0.3">
      <c r="A3453" t="s">
        <v>3527</v>
      </c>
      <c r="B3453" t="s">
        <v>2750</v>
      </c>
      <c r="C3453" t="s">
        <v>95</v>
      </c>
      <c r="D3453" t="s">
        <v>4</v>
      </c>
      <c r="E3453" t="s">
        <v>3706</v>
      </c>
      <c r="F3453" t="s">
        <v>6058</v>
      </c>
      <c r="G3453" s="2" t="str">
        <f>HYPERLINK("https://vk.com/wall478866109_163")</f>
        <v>https://vk.com/wall478866109_163</v>
      </c>
      <c r="H3453" t="s">
        <v>6062</v>
      </c>
      <c r="I3453" t="s">
        <v>3684</v>
      </c>
      <c r="J3453" s="2" t="str">
        <f>HYPERLINK("http://vk.com/id478866109")</f>
        <v>http://vk.com/id478866109</v>
      </c>
      <c r="K3453">
        <v>0</v>
      </c>
      <c r="L3453" t="s">
        <v>6063</v>
      </c>
      <c r="M3453">
        <v>34</v>
      </c>
      <c r="N3453" t="s">
        <v>25</v>
      </c>
      <c r="O3453" t="s">
        <v>3684</v>
      </c>
      <c r="P3453" s="2" t="str">
        <f>HYPERLINK("http://vk.com/id478866109")</f>
        <v>http://vk.com/id478866109</v>
      </c>
      <c r="Q3453">
        <v>0</v>
      </c>
      <c r="R3453" t="s">
        <v>6067</v>
      </c>
    </row>
    <row r="3454" spans="1:19" ht="14.25" customHeight="1" x14ac:dyDescent="0.3">
      <c r="A3454" t="s">
        <v>3527</v>
      </c>
      <c r="B3454" t="s">
        <v>3867</v>
      </c>
      <c r="C3454" t="s">
        <v>95</v>
      </c>
      <c r="D3454" t="s">
        <v>4</v>
      </c>
      <c r="E3454" t="s">
        <v>3820</v>
      </c>
      <c r="F3454" t="s">
        <v>6058</v>
      </c>
      <c r="G3454" s="2" t="str">
        <f>HYPERLINK("https://vk.com/wall478866109_161")</f>
        <v>https://vk.com/wall478866109_161</v>
      </c>
      <c r="H3454" t="s">
        <v>6062</v>
      </c>
      <c r="I3454" t="s">
        <v>3684</v>
      </c>
      <c r="J3454" s="2" t="str">
        <f>HYPERLINK("http://vk.com/id478866109")</f>
        <v>http://vk.com/id478866109</v>
      </c>
      <c r="K3454">
        <v>0</v>
      </c>
      <c r="L3454" t="s">
        <v>6063</v>
      </c>
      <c r="M3454">
        <v>34</v>
      </c>
      <c r="N3454" t="s">
        <v>25</v>
      </c>
      <c r="O3454" t="s">
        <v>3684</v>
      </c>
      <c r="P3454" s="2" t="str">
        <f>HYPERLINK("http://vk.com/id478866109")</f>
        <v>http://vk.com/id478866109</v>
      </c>
      <c r="Q3454">
        <v>0</v>
      </c>
      <c r="R3454" t="s">
        <v>6067</v>
      </c>
    </row>
    <row r="3455" spans="1:19" ht="14.25" customHeight="1" x14ac:dyDescent="0.3">
      <c r="A3455" t="s">
        <v>3527</v>
      </c>
      <c r="B3455" t="s">
        <v>2628</v>
      </c>
      <c r="C3455" t="s">
        <v>95</v>
      </c>
      <c r="D3455" t="s">
        <v>4</v>
      </c>
      <c r="E3455" t="s">
        <v>3517</v>
      </c>
      <c r="F3455" t="s">
        <v>6058</v>
      </c>
      <c r="G3455" s="2" t="str">
        <f>HYPERLINK("https://vk.com/wall478866109_164")</f>
        <v>https://vk.com/wall478866109_164</v>
      </c>
      <c r="H3455" t="s">
        <v>6062</v>
      </c>
      <c r="I3455" t="s">
        <v>3684</v>
      </c>
      <c r="J3455" s="2" t="str">
        <f>HYPERLINK("http://vk.com/id478866109")</f>
        <v>http://vk.com/id478866109</v>
      </c>
      <c r="K3455">
        <v>0</v>
      </c>
      <c r="L3455" t="s">
        <v>6063</v>
      </c>
      <c r="M3455">
        <v>34</v>
      </c>
      <c r="N3455" t="s">
        <v>25</v>
      </c>
      <c r="O3455" t="s">
        <v>3684</v>
      </c>
      <c r="P3455" s="2" t="str">
        <f>HYPERLINK("http://vk.com/id478866109")</f>
        <v>http://vk.com/id478866109</v>
      </c>
      <c r="Q3455">
        <v>0</v>
      </c>
      <c r="R3455" t="s">
        <v>6067</v>
      </c>
    </row>
    <row r="3456" spans="1:19" ht="14.25" customHeight="1" x14ac:dyDescent="0.3">
      <c r="A3456" t="s">
        <v>629</v>
      </c>
      <c r="B3456" t="s">
        <v>2042</v>
      </c>
      <c r="C3456" t="s">
        <v>95</v>
      </c>
      <c r="D3456" t="s">
        <v>4</v>
      </c>
      <c r="E3456" t="s">
        <v>2043</v>
      </c>
      <c r="F3456" t="s">
        <v>6056</v>
      </c>
      <c r="G3456" s="2" t="str">
        <f>HYPERLINK("https://vk.com/wall51098605_3538")</f>
        <v>https://vk.com/wall51098605_3538</v>
      </c>
      <c r="H3456" t="s">
        <v>6062</v>
      </c>
      <c r="I3456" t="s">
        <v>2044</v>
      </c>
      <c r="J3456" s="2" t="str">
        <f>HYPERLINK("http://vk.com/id51098605")</f>
        <v>http://vk.com/id51098605</v>
      </c>
      <c r="L3456" t="s">
        <v>6063</v>
      </c>
      <c r="N3456" t="s">
        <v>25</v>
      </c>
      <c r="O3456" t="s">
        <v>2044</v>
      </c>
      <c r="P3456" s="2" t="str">
        <f>HYPERLINK("http://vk.com/id51098605")</f>
        <v>http://vk.com/id51098605</v>
      </c>
      <c r="R3456" t="s">
        <v>6067</v>
      </c>
      <c r="S3456" t="s">
        <v>6073</v>
      </c>
    </row>
    <row r="3457" spans="1:19" ht="14.25" customHeight="1" x14ac:dyDescent="0.3">
      <c r="A3457" t="s">
        <v>3527</v>
      </c>
      <c r="B3457" t="s">
        <v>3272</v>
      </c>
      <c r="C3457" t="s">
        <v>95</v>
      </c>
      <c r="D3457" t="s">
        <v>4</v>
      </c>
      <c r="E3457" t="s">
        <v>4045</v>
      </c>
      <c r="F3457" t="s">
        <v>6058</v>
      </c>
      <c r="G3457" s="2" t="str">
        <f>HYPERLINK("https://vk.com/wall450752519_467")</f>
        <v>https://vk.com/wall450752519_467</v>
      </c>
      <c r="H3457" t="s">
        <v>6062</v>
      </c>
      <c r="I3457" t="s">
        <v>3829</v>
      </c>
      <c r="J3457" s="2" t="str">
        <f>HYPERLINK("http://vk.com/id450752519")</f>
        <v>http://vk.com/id450752519</v>
      </c>
      <c r="K3457">
        <v>59</v>
      </c>
      <c r="L3457" t="s">
        <v>6064</v>
      </c>
      <c r="M3457">
        <v>26</v>
      </c>
      <c r="N3457" t="s">
        <v>25</v>
      </c>
      <c r="O3457" t="s">
        <v>3829</v>
      </c>
      <c r="P3457" s="2" t="str">
        <f>HYPERLINK("http://vk.com/id450752519")</f>
        <v>http://vk.com/id450752519</v>
      </c>
      <c r="Q3457">
        <v>59</v>
      </c>
      <c r="R3457" t="s">
        <v>6067</v>
      </c>
      <c r="S3457" t="s">
        <v>6077</v>
      </c>
    </row>
    <row r="3458" spans="1:19" ht="14.25" customHeight="1" x14ac:dyDescent="0.3">
      <c r="A3458" t="s">
        <v>3527</v>
      </c>
      <c r="B3458" t="s">
        <v>3828</v>
      </c>
      <c r="C3458" t="s">
        <v>95</v>
      </c>
      <c r="D3458" t="s">
        <v>4</v>
      </c>
      <c r="E3458" t="s">
        <v>3625</v>
      </c>
      <c r="F3458" t="s">
        <v>6058</v>
      </c>
      <c r="G3458" s="2" t="str">
        <f>HYPERLINK("https://vk.com/wall450752519_474")</f>
        <v>https://vk.com/wall450752519_474</v>
      </c>
      <c r="H3458" t="s">
        <v>6062</v>
      </c>
      <c r="I3458" t="s">
        <v>3829</v>
      </c>
      <c r="J3458" s="2" t="str">
        <f>HYPERLINK("http://vk.com/id450752519")</f>
        <v>http://vk.com/id450752519</v>
      </c>
      <c r="K3458">
        <v>59</v>
      </c>
      <c r="L3458" t="s">
        <v>6064</v>
      </c>
      <c r="M3458">
        <v>26</v>
      </c>
      <c r="N3458" t="s">
        <v>25</v>
      </c>
      <c r="O3458" t="s">
        <v>3829</v>
      </c>
      <c r="P3458" s="2" t="str">
        <f>HYPERLINK("http://vk.com/id450752519")</f>
        <v>http://vk.com/id450752519</v>
      </c>
      <c r="Q3458">
        <v>59</v>
      </c>
      <c r="R3458" t="s">
        <v>6067</v>
      </c>
      <c r="S3458" t="s">
        <v>6077</v>
      </c>
    </row>
    <row r="3459" spans="1:19" ht="14.25" customHeight="1" x14ac:dyDescent="0.3">
      <c r="A3459" t="s">
        <v>3527</v>
      </c>
      <c r="B3459" t="s">
        <v>2287</v>
      </c>
      <c r="C3459" t="s">
        <v>95</v>
      </c>
      <c r="D3459" t="s">
        <v>4</v>
      </c>
      <c r="E3459" t="s">
        <v>3517</v>
      </c>
      <c r="F3459" t="s">
        <v>6058</v>
      </c>
      <c r="G3459" s="2" t="str">
        <f>HYPERLINK("https://vk.com/wall480383421_123")</f>
        <v>https://vk.com/wall480383421_123</v>
      </c>
      <c r="H3459" t="s">
        <v>6062</v>
      </c>
      <c r="I3459" t="s">
        <v>3586</v>
      </c>
      <c r="J3459" s="2" t="str">
        <f>HYPERLINK("http://vk.com/id480383421")</f>
        <v>http://vk.com/id480383421</v>
      </c>
      <c r="K3459">
        <v>5</v>
      </c>
      <c r="L3459" t="s">
        <v>6063</v>
      </c>
      <c r="M3459">
        <v>19</v>
      </c>
      <c r="N3459" t="s">
        <v>25</v>
      </c>
      <c r="O3459" t="s">
        <v>3586</v>
      </c>
      <c r="P3459" s="2" t="str">
        <f>HYPERLINK("http://vk.com/id480383421")</f>
        <v>http://vk.com/id480383421</v>
      </c>
      <c r="Q3459">
        <v>5</v>
      </c>
      <c r="R3459" t="s">
        <v>6067</v>
      </c>
    </row>
    <row r="3460" spans="1:19" ht="14.25" customHeight="1" x14ac:dyDescent="0.3">
      <c r="A3460" t="s">
        <v>3527</v>
      </c>
      <c r="B3460" t="s">
        <v>57</v>
      </c>
      <c r="C3460" t="s">
        <v>3538</v>
      </c>
      <c r="D3460" t="s">
        <v>4</v>
      </c>
      <c r="E3460" t="s">
        <v>4045</v>
      </c>
      <c r="F3460" t="s">
        <v>6058</v>
      </c>
      <c r="G3460" s="2" t="str">
        <f>HYPERLINK("https://vk.com/wall226623109_1931")</f>
        <v>https://vk.com/wall226623109_1931</v>
      </c>
      <c r="H3460" t="s">
        <v>6062</v>
      </c>
      <c r="I3460" t="s">
        <v>3822</v>
      </c>
      <c r="J3460" s="2" t="str">
        <f>HYPERLINK("http://vk.com/id226623109")</f>
        <v>http://vk.com/id226623109</v>
      </c>
      <c r="K3460">
        <v>542</v>
      </c>
      <c r="L3460" t="s">
        <v>6063</v>
      </c>
      <c r="N3460" t="s">
        <v>25</v>
      </c>
      <c r="O3460" t="s">
        <v>3822</v>
      </c>
      <c r="P3460" s="2" t="str">
        <f>HYPERLINK("http://vk.com/id226623109")</f>
        <v>http://vk.com/id226623109</v>
      </c>
      <c r="Q3460">
        <v>542</v>
      </c>
      <c r="R3460" t="s">
        <v>6067</v>
      </c>
      <c r="S3460" t="s">
        <v>6073</v>
      </c>
    </row>
    <row r="3461" spans="1:19" ht="14.25" customHeight="1" x14ac:dyDescent="0.3">
      <c r="A3461" t="s">
        <v>3527</v>
      </c>
      <c r="B3461" t="s">
        <v>2965</v>
      </c>
      <c r="C3461" t="s">
        <v>3538</v>
      </c>
      <c r="D3461" t="s">
        <v>4</v>
      </c>
      <c r="E3461" t="s">
        <v>3625</v>
      </c>
      <c r="F3461" t="s">
        <v>6058</v>
      </c>
      <c r="G3461" s="2" t="str">
        <f>HYPERLINK("https://vk.com/wall226623109_1938")</f>
        <v>https://vk.com/wall226623109_1938</v>
      </c>
      <c r="H3461" t="s">
        <v>6062</v>
      </c>
      <c r="I3461" t="s">
        <v>3822</v>
      </c>
      <c r="J3461" s="2" t="str">
        <f>HYPERLINK("http://vk.com/id226623109")</f>
        <v>http://vk.com/id226623109</v>
      </c>
      <c r="K3461">
        <v>542</v>
      </c>
      <c r="L3461" t="s">
        <v>6063</v>
      </c>
      <c r="N3461" t="s">
        <v>25</v>
      </c>
      <c r="O3461" t="s">
        <v>3822</v>
      </c>
      <c r="P3461" s="2" t="str">
        <f>HYPERLINK("http://vk.com/id226623109")</f>
        <v>http://vk.com/id226623109</v>
      </c>
      <c r="Q3461">
        <v>542</v>
      </c>
      <c r="R3461" t="s">
        <v>6067</v>
      </c>
      <c r="S3461" t="s">
        <v>6073</v>
      </c>
    </row>
    <row r="3462" spans="1:19" ht="14.25" customHeight="1" x14ac:dyDescent="0.3">
      <c r="A3462" t="s">
        <v>3527</v>
      </c>
      <c r="B3462" t="s">
        <v>3735</v>
      </c>
      <c r="C3462" t="s">
        <v>95</v>
      </c>
      <c r="D3462" t="s">
        <v>4</v>
      </c>
      <c r="E3462" t="s">
        <v>3736</v>
      </c>
      <c r="F3462" t="s">
        <v>6056</v>
      </c>
      <c r="G3462" s="2" t="str">
        <f>HYPERLINK("https://vk.com/wall258034728_557")</f>
        <v>https://vk.com/wall258034728_557</v>
      </c>
      <c r="H3462" t="s">
        <v>6062</v>
      </c>
      <c r="I3462" t="s">
        <v>3737</v>
      </c>
      <c r="J3462" s="2" t="str">
        <f>HYPERLINK("http://vk.com/id258034728")</f>
        <v>http://vk.com/id258034728</v>
      </c>
      <c r="K3462">
        <v>248</v>
      </c>
      <c r="L3462" t="s">
        <v>6063</v>
      </c>
      <c r="M3462">
        <v>17</v>
      </c>
      <c r="N3462" t="s">
        <v>25</v>
      </c>
      <c r="O3462" t="s">
        <v>3737</v>
      </c>
      <c r="P3462" s="2" t="str">
        <f>HYPERLINK("http://vk.com/id258034728")</f>
        <v>http://vk.com/id258034728</v>
      </c>
      <c r="Q3462">
        <v>248</v>
      </c>
      <c r="R3462" t="s">
        <v>6067</v>
      </c>
      <c r="S3462" t="s">
        <v>6073</v>
      </c>
    </row>
    <row r="3463" spans="1:19" ht="14.25" customHeight="1" x14ac:dyDescent="0.3">
      <c r="A3463" t="s">
        <v>629</v>
      </c>
      <c r="B3463" t="s">
        <v>1750</v>
      </c>
      <c r="C3463" t="s">
        <v>95</v>
      </c>
      <c r="D3463" t="s">
        <v>4</v>
      </c>
      <c r="E3463" t="s">
        <v>1752</v>
      </c>
      <c r="F3463" t="s">
        <v>6056</v>
      </c>
      <c r="G3463" s="2" t="str">
        <f>HYPERLINK("https://vk.com/wall-39254281_25951")</f>
        <v>https://vk.com/wall-39254281_25951</v>
      </c>
      <c r="H3463" t="s">
        <v>6062</v>
      </c>
      <c r="I3463" t="s">
        <v>1753</v>
      </c>
      <c r="J3463" s="2" t="str">
        <f>HYPERLINK("http://vk.com/id229665727")</f>
        <v>http://vk.com/id229665727</v>
      </c>
      <c r="K3463">
        <v>103</v>
      </c>
      <c r="L3463" t="s">
        <v>6063</v>
      </c>
      <c r="N3463" t="s">
        <v>25</v>
      </c>
      <c r="O3463" t="s">
        <v>1754</v>
      </c>
      <c r="P3463" s="2" t="str">
        <f>HYPERLINK("http://vk.com/club39254281")</f>
        <v>http://vk.com/club39254281</v>
      </c>
      <c r="Q3463">
        <v>11597</v>
      </c>
      <c r="R3463" t="s">
        <v>6067</v>
      </c>
      <c r="S3463" t="s">
        <v>6073</v>
      </c>
    </row>
    <row r="3464" spans="1:19" ht="14.25" customHeight="1" x14ac:dyDescent="0.3">
      <c r="A3464" t="s">
        <v>5409</v>
      </c>
      <c r="B3464" t="s">
        <v>5997</v>
      </c>
      <c r="C3464" t="s">
        <v>3538</v>
      </c>
      <c r="D3464" t="s">
        <v>4</v>
      </c>
      <c r="E3464" t="s">
        <v>5998</v>
      </c>
      <c r="F3464" t="s">
        <v>6056</v>
      </c>
      <c r="G3464" s="2" t="str">
        <f>HYPERLINK("https://vk.com/wall-39254281_25865")</f>
        <v>https://vk.com/wall-39254281_25865</v>
      </c>
      <c r="H3464" t="s">
        <v>6062</v>
      </c>
      <c r="I3464" t="s">
        <v>1753</v>
      </c>
      <c r="J3464" s="2" t="str">
        <f>HYPERLINK("http://vk.com/id229665727")</f>
        <v>http://vk.com/id229665727</v>
      </c>
      <c r="K3464">
        <v>103</v>
      </c>
      <c r="L3464" t="s">
        <v>6063</v>
      </c>
      <c r="N3464" t="s">
        <v>25</v>
      </c>
      <c r="O3464" t="s">
        <v>1754</v>
      </c>
      <c r="P3464" s="2" t="str">
        <f>HYPERLINK("http://vk.com/club39254281")</f>
        <v>http://vk.com/club39254281</v>
      </c>
      <c r="Q3464">
        <v>11597</v>
      </c>
      <c r="R3464" t="s">
        <v>6067</v>
      </c>
      <c r="S3464" t="s">
        <v>6073</v>
      </c>
    </row>
    <row r="3465" spans="1:19" ht="14.25" customHeight="1" x14ac:dyDescent="0.3">
      <c r="A3465" t="s">
        <v>1</v>
      </c>
      <c r="B3465" t="s">
        <v>459</v>
      </c>
      <c r="C3465" t="s">
        <v>95</v>
      </c>
      <c r="D3465" t="s">
        <v>453</v>
      </c>
      <c r="E3465" t="s">
        <v>460</v>
      </c>
      <c r="F3465" t="s">
        <v>6059</v>
      </c>
      <c r="G3465" s="2" t="str">
        <f>HYPERLINK("https://vk.com/wall-11821426_315")</f>
        <v>https://vk.com/wall-11821426_315</v>
      </c>
      <c r="H3465" t="s">
        <v>6062</v>
      </c>
      <c r="I3465" t="s">
        <v>455</v>
      </c>
      <c r="J3465" s="2" t="str">
        <f>HYPERLINK("http://vk.com/id443617970")</f>
        <v>http://vk.com/id443617970</v>
      </c>
      <c r="K3465">
        <v>38</v>
      </c>
      <c r="L3465" t="s">
        <v>6063</v>
      </c>
      <c r="M3465">
        <v>19</v>
      </c>
      <c r="N3465" t="s">
        <v>25</v>
      </c>
      <c r="O3465" t="s">
        <v>456</v>
      </c>
      <c r="P3465" s="2" t="str">
        <f>HYPERLINK("http://vk.com/club11821426")</f>
        <v>http://vk.com/club11821426</v>
      </c>
      <c r="Q3465">
        <v>297</v>
      </c>
      <c r="R3465" t="s">
        <v>6067</v>
      </c>
      <c r="S3465" t="s">
        <v>6073</v>
      </c>
    </row>
    <row r="3466" spans="1:19" ht="14.25" customHeight="1" x14ac:dyDescent="0.3">
      <c r="A3466" t="s">
        <v>3527</v>
      </c>
      <c r="B3466" t="s">
        <v>728</v>
      </c>
      <c r="C3466" t="s">
        <v>95</v>
      </c>
      <c r="D3466" t="s">
        <v>4</v>
      </c>
      <c r="E3466" t="s">
        <v>3559</v>
      </c>
      <c r="F3466" t="s">
        <v>6058</v>
      </c>
      <c r="G3466" s="2" t="str">
        <f>HYPERLINK("https://vk.com/wall480093697_161")</f>
        <v>https://vk.com/wall480093697_161</v>
      </c>
      <c r="H3466" t="s">
        <v>6062</v>
      </c>
      <c r="I3466" t="s">
        <v>3664</v>
      </c>
      <c r="J3466" s="2" t="str">
        <f>HYPERLINK("http://vk.com/id480093697")</f>
        <v>http://vk.com/id480093697</v>
      </c>
      <c r="K3466">
        <v>6</v>
      </c>
      <c r="L3466" t="s">
        <v>6063</v>
      </c>
      <c r="M3466">
        <v>34</v>
      </c>
      <c r="N3466" t="s">
        <v>25</v>
      </c>
      <c r="O3466" t="s">
        <v>3664</v>
      </c>
      <c r="P3466" s="2" t="str">
        <f>HYPERLINK("http://vk.com/id480093697")</f>
        <v>http://vk.com/id480093697</v>
      </c>
      <c r="Q3466">
        <v>6</v>
      </c>
      <c r="R3466" t="s">
        <v>6067</v>
      </c>
    </row>
    <row r="3467" spans="1:19" ht="14.25" customHeight="1" x14ac:dyDescent="0.3">
      <c r="A3467" t="s">
        <v>3527</v>
      </c>
      <c r="B3467" t="s">
        <v>773</v>
      </c>
      <c r="C3467" t="s">
        <v>95</v>
      </c>
      <c r="D3467" t="s">
        <v>4</v>
      </c>
      <c r="E3467" t="s">
        <v>3625</v>
      </c>
      <c r="F3467" t="s">
        <v>6058</v>
      </c>
      <c r="G3467" s="2" t="str">
        <f>HYPERLINK("https://vk.com/wall481536256_12")</f>
        <v>https://vk.com/wall481536256_12</v>
      </c>
      <c r="H3467" t="s">
        <v>6062</v>
      </c>
      <c r="I3467" t="s">
        <v>3722</v>
      </c>
      <c r="J3467" s="2" t="str">
        <f>HYPERLINK("http://vk.com/id481536256")</f>
        <v>http://vk.com/id481536256</v>
      </c>
      <c r="K3467">
        <v>2</v>
      </c>
      <c r="L3467" t="s">
        <v>6064</v>
      </c>
      <c r="M3467">
        <v>30</v>
      </c>
      <c r="N3467" t="s">
        <v>25</v>
      </c>
      <c r="O3467" t="s">
        <v>3722</v>
      </c>
      <c r="P3467" s="2" t="str">
        <f>HYPERLINK("http://vk.com/id481536256")</f>
        <v>http://vk.com/id481536256</v>
      </c>
      <c r="Q3467">
        <v>2</v>
      </c>
      <c r="R3467" t="s">
        <v>6067</v>
      </c>
    </row>
    <row r="3468" spans="1:19" ht="14.25" customHeight="1" x14ac:dyDescent="0.3">
      <c r="A3468" t="s">
        <v>3527</v>
      </c>
      <c r="B3468" t="s">
        <v>824</v>
      </c>
      <c r="C3468" t="s">
        <v>3538</v>
      </c>
      <c r="D3468" t="s">
        <v>4</v>
      </c>
      <c r="E3468" t="s">
        <v>3706</v>
      </c>
      <c r="F3468" t="s">
        <v>6058</v>
      </c>
      <c r="G3468" s="2" t="str">
        <f>HYPERLINK("https://vk.com/wall165552462_219")</f>
        <v>https://vk.com/wall165552462_219</v>
      </c>
      <c r="H3468" t="s">
        <v>6062</v>
      </c>
      <c r="I3468" t="s">
        <v>3789</v>
      </c>
      <c r="J3468" s="2" t="str">
        <f>HYPERLINK("http://vk.com/id165552462")</f>
        <v>http://vk.com/id165552462</v>
      </c>
      <c r="K3468">
        <v>70</v>
      </c>
      <c r="L3468" t="s">
        <v>6064</v>
      </c>
      <c r="M3468">
        <v>31</v>
      </c>
      <c r="N3468" t="s">
        <v>25</v>
      </c>
      <c r="O3468" t="s">
        <v>3789</v>
      </c>
      <c r="P3468" s="2" t="str">
        <f>HYPERLINK("http://vk.com/id165552462")</f>
        <v>http://vk.com/id165552462</v>
      </c>
      <c r="Q3468">
        <v>70</v>
      </c>
      <c r="R3468" t="s">
        <v>6067</v>
      </c>
      <c r="S3468" t="s">
        <v>6073</v>
      </c>
    </row>
    <row r="3469" spans="1:19" ht="14.25" customHeight="1" x14ac:dyDescent="0.3">
      <c r="A3469" t="s">
        <v>3527</v>
      </c>
      <c r="B3469" t="s">
        <v>413</v>
      </c>
      <c r="C3469" t="s">
        <v>3538</v>
      </c>
      <c r="D3469" t="s">
        <v>4</v>
      </c>
      <c r="E3469" t="s">
        <v>4045</v>
      </c>
      <c r="F3469" t="s">
        <v>6058</v>
      </c>
      <c r="G3469" s="2" t="str">
        <f>HYPERLINK("https://vk.com/wall448632321_1993")</f>
        <v>https://vk.com/wall448632321_1993</v>
      </c>
      <c r="H3469" t="s">
        <v>6062</v>
      </c>
      <c r="I3469" t="s">
        <v>4310</v>
      </c>
      <c r="J3469" s="2" t="str">
        <f>HYPERLINK("http://vk.com/id448632321")</f>
        <v>http://vk.com/id448632321</v>
      </c>
      <c r="K3469">
        <v>278</v>
      </c>
      <c r="L3469" t="s">
        <v>6064</v>
      </c>
      <c r="M3469">
        <v>35</v>
      </c>
      <c r="N3469" t="s">
        <v>25</v>
      </c>
      <c r="O3469" t="s">
        <v>4310</v>
      </c>
      <c r="P3469" s="2" t="str">
        <f>HYPERLINK("http://vk.com/id448632321")</f>
        <v>http://vk.com/id448632321</v>
      </c>
      <c r="Q3469">
        <v>278</v>
      </c>
      <c r="R3469" t="s">
        <v>6067</v>
      </c>
      <c r="S3469" t="s">
        <v>6072</v>
      </c>
    </row>
    <row r="3470" spans="1:19" ht="14.25" customHeight="1" x14ac:dyDescent="0.3">
      <c r="A3470" t="s">
        <v>3527</v>
      </c>
      <c r="B3470" t="s">
        <v>4161</v>
      </c>
      <c r="C3470" t="s">
        <v>3538</v>
      </c>
      <c r="D3470" t="s">
        <v>4</v>
      </c>
      <c r="E3470" t="s">
        <v>4045</v>
      </c>
      <c r="F3470" t="s">
        <v>6058</v>
      </c>
      <c r="G3470" s="2" t="str">
        <f>HYPERLINK("https://vk.com/wall258016271_552")</f>
        <v>https://vk.com/wall258016271_552</v>
      </c>
      <c r="H3470" t="s">
        <v>6062</v>
      </c>
      <c r="I3470" t="s">
        <v>4164</v>
      </c>
      <c r="J3470" s="2" t="str">
        <f>HYPERLINK("http://vk.com/id258016271")</f>
        <v>http://vk.com/id258016271</v>
      </c>
      <c r="K3470">
        <v>297</v>
      </c>
      <c r="L3470" t="s">
        <v>6064</v>
      </c>
      <c r="M3470">
        <v>24</v>
      </c>
      <c r="N3470" t="s">
        <v>25</v>
      </c>
      <c r="O3470" t="s">
        <v>4164</v>
      </c>
      <c r="P3470" s="2" t="str">
        <f>HYPERLINK("http://vk.com/id258016271")</f>
        <v>http://vk.com/id258016271</v>
      </c>
      <c r="Q3470">
        <v>297</v>
      </c>
      <c r="R3470" t="s">
        <v>6067</v>
      </c>
      <c r="S3470" t="s">
        <v>6073</v>
      </c>
    </row>
    <row r="3471" spans="1:19" ht="14.25" customHeight="1" x14ac:dyDescent="0.3">
      <c r="A3471" t="s">
        <v>3527</v>
      </c>
      <c r="B3471" t="s">
        <v>3110</v>
      </c>
      <c r="C3471" t="s">
        <v>95</v>
      </c>
      <c r="D3471" t="s">
        <v>4</v>
      </c>
      <c r="E3471" t="s">
        <v>4045</v>
      </c>
      <c r="F3471" t="s">
        <v>6058</v>
      </c>
      <c r="G3471" s="2" t="str">
        <f>HYPERLINK("https://vk.com/wall481276027_32")</f>
        <v>https://vk.com/wall481276027_32</v>
      </c>
      <c r="H3471" t="s">
        <v>6062</v>
      </c>
      <c r="I3471" t="s">
        <v>4046</v>
      </c>
      <c r="J3471" s="2" t="str">
        <f>HYPERLINK("http://vk.com/id481276027")</f>
        <v>http://vk.com/id481276027</v>
      </c>
      <c r="K3471">
        <v>2</v>
      </c>
      <c r="L3471" t="s">
        <v>6063</v>
      </c>
      <c r="M3471">
        <v>36</v>
      </c>
      <c r="N3471" t="s">
        <v>25</v>
      </c>
      <c r="O3471" t="s">
        <v>4046</v>
      </c>
      <c r="P3471" s="2" t="str">
        <f>HYPERLINK("http://vk.com/id481276027")</f>
        <v>http://vk.com/id481276027</v>
      </c>
      <c r="Q3471">
        <v>2</v>
      </c>
      <c r="R3471" t="s">
        <v>6067</v>
      </c>
    </row>
    <row r="3472" spans="1:19" ht="14.25" customHeight="1" x14ac:dyDescent="0.3">
      <c r="A3472" t="s">
        <v>4995</v>
      </c>
      <c r="B3472" t="s">
        <v>1622</v>
      </c>
      <c r="C3472" t="s">
        <v>3538</v>
      </c>
      <c r="D3472" t="s">
        <v>4</v>
      </c>
      <c r="E3472" t="s">
        <v>5304</v>
      </c>
      <c r="F3472" t="s">
        <v>6056</v>
      </c>
      <c r="G3472" s="2" t="str">
        <f>HYPERLINK("https://vk.com/wall346430347_13491")</f>
        <v>https://vk.com/wall346430347_13491</v>
      </c>
      <c r="H3472" t="s">
        <v>6062</v>
      </c>
      <c r="I3472" t="s">
        <v>5305</v>
      </c>
      <c r="J3472" s="2" t="str">
        <f>HYPERLINK("http://vk.com/id346430347")</f>
        <v>http://vk.com/id346430347</v>
      </c>
      <c r="K3472">
        <v>336</v>
      </c>
      <c r="L3472" t="s">
        <v>6063</v>
      </c>
      <c r="N3472" t="s">
        <v>25</v>
      </c>
      <c r="O3472" t="s">
        <v>5305</v>
      </c>
      <c r="P3472" s="2" t="str">
        <f>HYPERLINK("http://vk.com/id346430347")</f>
        <v>http://vk.com/id346430347</v>
      </c>
      <c r="Q3472">
        <v>336</v>
      </c>
      <c r="R3472" t="s">
        <v>6067</v>
      </c>
      <c r="S3472" t="s">
        <v>6073</v>
      </c>
    </row>
    <row r="3473" spans="1:19" ht="14.25" customHeight="1" x14ac:dyDescent="0.3">
      <c r="A3473" t="s">
        <v>3527</v>
      </c>
      <c r="B3473" t="s">
        <v>1531</v>
      </c>
      <c r="C3473" t="s">
        <v>3538</v>
      </c>
      <c r="D3473" t="s">
        <v>4</v>
      </c>
      <c r="E3473" t="s">
        <v>4045</v>
      </c>
      <c r="F3473" t="s">
        <v>6058</v>
      </c>
      <c r="G3473" s="2" t="str">
        <f>HYPERLINK("https://vk.com/wall479976852_165")</f>
        <v>https://vk.com/wall479976852_165</v>
      </c>
      <c r="H3473" t="s">
        <v>6062</v>
      </c>
      <c r="I3473" t="s">
        <v>3919</v>
      </c>
      <c r="J3473" s="2" t="str">
        <f>HYPERLINK("http://vk.com/id479976852")</f>
        <v>http://vk.com/id479976852</v>
      </c>
      <c r="K3473">
        <v>0</v>
      </c>
      <c r="L3473" t="s">
        <v>6063</v>
      </c>
      <c r="M3473">
        <v>28</v>
      </c>
      <c r="N3473" t="s">
        <v>25</v>
      </c>
      <c r="O3473" t="s">
        <v>3919</v>
      </c>
      <c r="P3473" s="2" t="str">
        <f>HYPERLINK("http://vk.com/id479976852")</f>
        <v>http://vk.com/id479976852</v>
      </c>
      <c r="Q3473">
        <v>0</v>
      </c>
      <c r="R3473" t="s">
        <v>6067</v>
      </c>
    </row>
    <row r="3474" spans="1:19" ht="14.25" customHeight="1" x14ac:dyDescent="0.3">
      <c r="A3474" t="s">
        <v>3527</v>
      </c>
      <c r="B3474" t="s">
        <v>3918</v>
      </c>
      <c r="C3474" t="s">
        <v>95</v>
      </c>
      <c r="D3474" t="s">
        <v>4</v>
      </c>
      <c r="E3474" t="s">
        <v>3792</v>
      </c>
      <c r="F3474" t="s">
        <v>6058</v>
      </c>
      <c r="G3474" s="2" t="str">
        <f>HYPERLINK("https://vk.com/wall479976852_181")</f>
        <v>https://vk.com/wall479976852_181</v>
      </c>
      <c r="H3474" t="s">
        <v>6062</v>
      </c>
      <c r="I3474" t="s">
        <v>3919</v>
      </c>
      <c r="J3474" s="2" t="str">
        <f>HYPERLINK("http://vk.com/id479976852")</f>
        <v>http://vk.com/id479976852</v>
      </c>
      <c r="K3474">
        <v>0</v>
      </c>
      <c r="L3474" t="s">
        <v>6063</v>
      </c>
      <c r="M3474">
        <v>28</v>
      </c>
      <c r="N3474" t="s">
        <v>25</v>
      </c>
      <c r="O3474" t="s">
        <v>3919</v>
      </c>
      <c r="P3474" s="2" t="str">
        <f>HYPERLINK("http://vk.com/id479976852")</f>
        <v>http://vk.com/id479976852</v>
      </c>
      <c r="Q3474">
        <v>0</v>
      </c>
      <c r="R3474" t="s">
        <v>6067</v>
      </c>
    </row>
    <row r="3475" spans="1:19" ht="14.25" customHeight="1" x14ac:dyDescent="0.3">
      <c r="A3475" t="s">
        <v>3527</v>
      </c>
      <c r="B3475" t="s">
        <v>3864</v>
      </c>
      <c r="C3475" t="s">
        <v>3538</v>
      </c>
      <c r="D3475" t="s">
        <v>4</v>
      </c>
      <c r="E3475" t="s">
        <v>3706</v>
      </c>
      <c r="F3475" t="s">
        <v>6058</v>
      </c>
      <c r="G3475" s="2" t="str">
        <f>HYPERLINK("https://vk.com/wall472815583_406")</f>
        <v>https://vk.com/wall472815583_406</v>
      </c>
      <c r="H3475" t="s">
        <v>6062</v>
      </c>
      <c r="I3475" t="s">
        <v>3865</v>
      </c>
      <c r="J3475" s="2" t="str">
        <f>HYPERLINK("http://vk.com/id472815583")</f>
        <v>http://vk.com/id472815583</v>
      </c>
      <c r="K3475">
        <v>82</v>
      </c>
      <c r="L3475" t="s">
        <v>6063</v>
      </c>
      <c r="M3475">
        <v>23</v>
      </c>
      <c r="N3475" t="s">
        <v>25</v>
      </c>
      <c r="O3475" t="s">
        <v>3865</v>
      </c>
      <c r="P3475" s="2" t="str">
        <f>HYPERLINK("http://vk.com/id472815583")</f>
        <v>http://vk.com/id472815583</v>
      </c>
      <c r="Q3475">
        <v>82</v>
      </c>
      <c r="R3475" t="s">
        <v>6067</v>
      </c>
      <c r="S3475" t="s">
        <v>6072</v>
      </c>
    </row>
    <row r="3476" spans="1:19" ht="14.25" customHeight="1" x14ac:dyDescent="0.3">
      <c r="A3476" t="s">
        <v>5409</v>
      </c>
      <c r="B3476" t="s">
        <v>5599</v>
      </c>
      <c r="C3476" t="s">
        <v>3538</v>
      </c>
      <c r="D3476" t="s">
        <v>4</v>
      </c>
      <c r="E3476" t="s">
        <v>5602</v>
      </c>
      <c r="F3476" t="s">
        <v>6056</v>
      </c>
      <c r="G3476" s="2" t="str">
        <f>HYPERLINK("https://vk.com/wall7596293_1825")</f>
        <v>https://vk.com/wall7596293_1825</v>
      </c>
      <c r="H3476" t="s">
        <v>6062</v>
      </c>
      <c r="I3476" t="s">
        <v>5601</v>
      </c>
      <c r="J3476" s="2" t="str">
        <f>HYPERLINK("http://vk.com/id7596293")</f>
        <v>http://vk.com/id7596293</v>
      </c>
      <c r="K3476">
        <v>2929</v>
      </c>
      <c r="L3476" t="s">
        <v>6063</v>
      </c>
      <c r="N3476" t="s">
        <v>25</v>
      </c>
      <c r="O3476" t="s">
        <v>5601</v>
      </c>
      <c r="P3476" s="2" t="str">
        <f>HYPERLINK("http://vk.com/id7596293")</f>
        <v>http://vk.com/id7596293</v>
      </c>
      <c r="Q3476">
        <v>2929</v>
      </c>
      <c r="R3476" t="s">
        <v>6067</v>
      </c>
      <c r="S3476" t="s">
        <v>6073</v>
      </c>
    </row>
    <row r="3477" spans="1:19" ht="14.25" customHeight="1" x14ac:dyDescent="0.3">
      <c r="A3477" t="s">
        <v>5409</v>
      </c>
      <c r="B3477" t="s">
        <v>5599</v>
      </c>
      <c r="C3477" t="s">
        <v>3538</v>
      </c>
      <c r="D3477" t="s">
        <v>4</v>
      </c>
      <c r="E3477" t="s">
        <v>5600</v>
      </c>
      <c r="F3477" t="s">
        <v>6056</v>
      </c>
      <c r="G3477" s="2" t="str">
        <f>HYPERLINK("https://vk.com/wall7596293_1826")</f>
        <v>https://vk.com/wall7596293_1826</v>
      </c>
      <c r="H3477" t="s">
        <v>6062</v>
      </c>
      <c r="I3477" t="s">
        <v>5601</v>
      </c>
      <c r="J3477" s="2" t="str">
        <f>HYPERLINK("http://vk.com/id7596293")</f>
        <v>http://vk.com/id7596293</v>
      </c>
      <c r="K3477">
        <v>2929</v>
      </c>
      <c r="L3477" t="s">
        <v>6063</v>
      </c>
      <c r="N3477" t="s">
        <v>25</v>
      </c>
      <c r="O3477" t="s">
        <v>5601</v>
      </c>
      <c r="P3477" s="2" t="str">
        <f>HYPERLINK("http://vk.com/id7596293")</f>
        <v>http://vk.com/id7596293</v>
      </c>
      <c r="Q3477">
        <v>2929</v>
      </c>
      <c r="R3477" t="s">
        <v>6067</v>
      </c>
      <c r="S3477" t="s">
        <v>6073</v>
      </c>
    </row>
    <row r="3478" spans="1:19" ht="14.25" customHeight="1" x14ac:dyDescent="0.3">
      <c r="A3478" t="s">
        <v>3527</v>
      </c>
      <c r="B3478" t="s">
        <v>2949</v>
      </c>
      <c r="C3478" t="s">
        <v>95</v>
      </c>
      <c r="D3478" t="s">
        <v>4</v>
      </c>
      <c r="E3478" t="s">
        <v>3706</v>
      </c>
      <c r="F3478" t="s">
        <v>6058</v>
      </c>
      <c r="G3478" s="2" t="str">
        <f>HYPERLINK("https://vk.com/wall479569126_139")</f>
        <v>https://vk.com/wall479569126_139</v>
      </c>
      <c r="H3478" t="s">
        <v>6062</v>
      </c>
      <c r="I3478" t="s">
        <v>3790</v>
      </c>
      <c r="J3478" s="2" t="str">
        <f>HYPERLINK("http://vk.com/id479569126")</f>
        <v>http://vk.com/id479569126</v>
      </c>
      <c r="K3478">
        <v>4</v>
      </c>
      <c r="L3478" t="s">
        <v>6063</v>
      </c>
      <c r="M3478">
        <v>32</v>
      </c>
      <c r="N3478" t="s">
        <v>25</v>
      </c>
      <c r="O3478" t="s">
        <v>3790</v>
      </c>
      <c r="P3478" s="2" t="str">
        <f>HYPERLINK("http://vk.com/id479569126")</f>
        <v>http://vk.com/id479569126</v>
      </c>
      <c r="Q3478">
        <v>4</v>
      </c>
      <c r="R3478" t="s">
        <v>6067</v>
      </c>
    </row>
    <row r="3479" spans="1:19" ht="14.25" customHeight="1" x14ac:dyDescent="0.3">
      <c r="A3479" t="s">
        <v>629</v>
      </c>
      <c r="B3479" t="s">
        <v>723</v>
      </c>
      <c r="C3479" t="s">
        <v>95</v>
      </c>
      <c r="D3479" t="s">
        <v>724</v>
      </c>
      <c r="E3479" t="s">
        <v>725</v>
      </c>
      <c r="F3479" t="s">
        <v>6059</v>
      </c>
      <c r="G3479" s="2" t="str">
        <f>HYPERLINK("https://vk.com/wall-27513148_655896")</f>
        <v>https://vk.com/wall-27513148_655896</v>
      </c>
      <c r="H3479" t="s">
        <v>6062</v>
      </c>
      <c r="I3479" t="s">
        <v>726</v>
      </c>
      <c r="J3479" s="2" t="str">
        <f>HYPERLINK("http://vk.com/id11452446")</f>
        <v>http://vk.com/id11452446</v>
      </c>
      <c r="K3479">
        <v>469</v>
      </c>
      <c r="L3479" t="s">
        <v>6063</v>
      </c>
      <c r="N3479" t="s">
        <v>25</v>
      </c>
      <c r="O3479" t="s">
        <v>727</v>
      </c>
      <c r="P3479" s="2" t="str">
        <f>HYPERLINK("http://vk.com/club27513148")</f>
        <v>http://vk.com/club27513148</v>
      </c>
      <c r="Q3479">
        <v>52377</v>
      </c>
      <c r="R3479" t="s">
        <v>6067</v>
      </c>
      <c r="S3479" t="s">
        <v>6073</v>
      </c>
    </row>
    <row r="3480" spans="1:19" ht="14.25" customHeight="1" x14ac:dyDescent="0.3">
      <c r="A3480" t="s">
        <v>5409</v>
      </c>
      <c r="B3480" t="s">
        <v>2</v>
      </c>
      <c r="C3480" t="s">
        <v>3538</v>
      </c>
      <c r="D3480" t="s">
        <v>5626</v>
      </c>
      <c r="E3480" t="s">
        <v>5670</v>
      </c>
      <c r="F3480" t="s">
        <v>6059</v>
      </c>
      <c r="G3480" s="2" t="str">
        <f>HYPERLINK("https://vk.com/wall-77881498_139306")</f>
        <v>https://vk.com/wall-77881498_139306</v>
      </c>
      <c r="H3480" t="s">
        <v>6062</v>
      </c>
      <c r="I3480" t="s">
        <v>5659</v>
      </c>
      <c r="J3480" s="2" t="str">
        <f t="shared" ref="J3480:J3485" si="85">HYPERLINK("http://vk.com/id167749845")</f>
        <v>http://vk.com/id167749845</v>
      </c>
      <c r="K3480">
        <v>486</v>
      </c>
      <c r="L3480" t="s">
        <v>6063</v>
      </c>
      <c r="M3480">
        <v>18</v>
      </c>
      <c r="N3480" t="s">
        <v>25</v>
      </c>
      <c r="O3480" t="s">
        <v>5629</v>
      </c>
      <c r="P3480" s="2" t="str">
        <f t="shared" ref="P3480:P3485" si="86">HYPERLINK("http://vk.com/club77881498")</f>
        <v>http://vk.com/club77881498</v>
      </c>
      <c r="Q3480">
        <v>27743</v>
      </c>
      <c r="R3480" t="s">
        <v>6067</v>
      </c>
      <c r="S3480" t="s">
        <v>6073</v>
      </c>
    </row>
    <row r="3481" spans="1:19" ht="14.25" customHeight="1" x14ac:dyDescent="0.3">
      <c r="A3481" t="s">
        <v>5409</v>
      </c>
      <c r="B3481" t="s">
        <v>1181</v>
      </c>
      <c r="C3481" t="s">
        <v>3538</v>
      </c>
      <c r="D3481" t="s">
        <v>5626</v>
      </c>
      <c r="E3481" t="s">
        <v>5678</v>
      </c>
      <c r="F3481" t="s">
        <v>6059</v>
      </c>
      <c r="G3481" s="2" t="str">
        <f>HYPERLINK("https://vk.com/wall-77881498_139303")</f>
        <v>https://vk.com/wall-77881498_139303</v>
      </c>
      <c r="H3481" t="s">
        <v>6062</v>
      </c>
      <c r="I3481" t="s">
        <v>5659</v>
      </c>
      <c r="J3481" s="2" t="str">
        <f t="shared" si="85"/>
        <v>http://vk.com/id167749845</v>
      </c>
      <c r="K3481">
        <v>486</v>
      </c>
      <c r="L3481" t="s">
        <v>6063</v>
      </c>
      <c r="M3481">
        <v>18</v>
      </c>
      <c r="N3481" t="s">
        <v>25</v>
      </c>
      <c r="O3481" t="s">
        <v>5629</v>
      </c>
      <c r="P3481" s="2" t="str">
        <f t="shared" si="86"/>
        <v>http://vk.com/club77881498</v>
      </c>
      <c r="Q3481">
        <v>27743</v>
      </c>
      <c r="R3481" t="s">
        <v>6067</v>
      </c>
      <c r="S3481" t="s">
        <v>6073</v>
      </c>
    </row>
    <row r="3482" spans="1:19" ht="14.25" customHeight="1" x14ac:dyDescent="0.3">
      <c r="A3482" t="s">
        <v>5409</v>
      </c>
      <c r="B3482" t="s">
        <v>1170</v>
      </c>
      <c r="C3482" t="s">
        <v>3538</v>
      </c>
      <c r="D3482" t="s">
        <v>5626</v>
      </c>
      <c r="E3482" t="s">
        <v>5674</v>
      </c>
      <c r="F3482" t="s">
        <v>6059</v>
      </c>
      <c r="G3482" s="2" t="str">
        <f>HYPERLINK("https://vk.com/wall-77881498_139304")</f>
        <v>https://vk.com/wall-77881498_139304</v>
      </c>
      <c r="H3482" t="s">
        <v>6062</v>
      </c>
      <c r="I3482" t="s">
        <v>5659</v>
      </c>
      <c r="J3482" s="2" t="str">
        <f t="shared" si="85"/>
        <v>http://vk.com/id167749845</v>
      </c>
      <c r="K3482">
        <v>486</v>
      </c>
      <c r="L3482" t="s">
        <v>6063</v>
      </c>
      <c r="M3482">
        <v>18</v>
      </c>
      <c r="N3482" t="s">
        <v>25</v>
      </c>
      <c r="O3482" t="s">
        <v>5629</v>
      </c>
      <c r="P3482" s="2" t="str">
        <f t="shared" si="86"/>
        <v>http://vk.com/club77881498</v>
      </c>
      <c r="Q3482">
        <v>27743</v>
      </c>
      <c r="R3482" t="s">
        <v>6067</v>
      </c>
      <c r="S3482" t="s">
        <v>6073</v>
      </c>
    </row>
    <row r="3483" spans="1:19" ht="14.25" customHeight="1" x14ac:dyDescent="0.3">
      <c r="A3483" t="s">
        <v>5409</v>
      </c>
      <c r="B3483" t="s">
        <v>3172</v>
      </c>
      <c r="C3483" t="s">
        <v>3538</v>
      </c>
      <c r="D3483" t="s">
        <v>5626</v>
      </c>
      <c r="E3483" t="s">
        <v>5667</v>
      </c>
      <c r="F3483" t="s">
        <v>6059</v>
      </c>
      <c r="G3483" s="2" t="str">
        <f>HYPERLINK("https://vk.com/wall-77881498_139310")</f>
        <v>https://vk.com/wall-77881498_139310</v>
      </c>
      <c r="H3483" t="s">
        <v>6062</v>
      </c>
      <c r="I3483" t="s">
        <v>5659</v>
      </c>
      <c r="J3483" s="2" t="str">
        <f t="shared" si="85"/>
        <v>http://vk.com/id167749845</v>
      </c>
      <c r="K3483">
        <v>486</v>
      </c>
      <c r="L3483" t="s">
        <v>6063</v>
      </c>
      <c r="M3483">
        <v>18</v>
      </c>
      <c r="N3483" t="s">
        <v>25</v>
      </c>
      <c r="O3483" t="s">
        <v>5629</v>
      </c>
      <c r="P3483" s="2" t="str">
        <f t="shared" si="86"/>
        <v>http://vk.com/club77881498</v>
      </c>
      <c r="Q3483">
        <v>27743</v>
      </c>
      <c r="R3483" t="s">
        <v>6067</v>
      </c>
      <c r="S3483" t="s">
        <v>6073</v>
      </c>
    </row>
    <row r="3484" spans="1:19" ht="14.25" customHeight="1" x14ac:dyDescent="0.3">
      <c r="A3484" t="s">
        <v>5409</v>
      </c>
      <c r="B3484" t="s">
        <v>1170</v>
      </c>
      <c r="C3484" t="s">
        <v>3538</v>
      </c>
      <c r="D3484" t="s">
        <v>5626</v>
      </c>
      <c r="E3484" t="s">
        <v>5671</v>
      </c>
      <c r="F3484" t="s">
        <v>6059</v>
      </c>
      <c r="G3484" s="2" t="str">
        <f>HYPERLINK("https://vk.com/wall-77881498_139305")</f>
        <v>https://vk.com/wall-77881498_139305</v>
      </c>
      <c r="H3484" t="s">
        <v>6062</v>
      </c>
      <c r="I3484" t="s">
        <v>5659</v>
      </c>
      <c r="J3484" s="2" t="str">
        <f t="shared" si="85"/>
        <v>http://vk.com/id167749845</v>
      </c>
      <c r="K3484">
        <v>486</v>
      </c>
      <c r="L3484" t="s">
        <v>6063</v>
      </c>
      <c r="M3484">
        <v>18</v>
      </c>
      <c r="N3484" t="s">
        <v>25</v>
      </c>
      <c r="O3484" t="s">
        <v>5629</v>
      </c>
      <c r="P3484" s="2" t="str">
        <f t="shared" si="86"/>
        <v>http://vk.com/club77881498</v>
      </c>
      <c r="Q3484">
        <v>27743</v>
      </c>
      <c r="R3484" t="s">
        <v>6067</v>
      </c>
      <c r="S3484" t="s">
        <v>6073</v>
      </c>
    </row>
    <row r="3485" spans="1:19" ht="14.25" customHeight="1" x14ac:dyDescent="0.3">
      <c r="A3485" t="s">
        <v>5409</v>
      </c>
      <c r="B3485" t="s">
        <v>4079</v>
      </c>
      <c r="C3485" t="s">
        <v>3538</v>
      </c>
      <c r="D3485" t="s">
        <v>5626</v>
      </c>
      <c r="E3485" t="s">
        <v>5658</v>
      </c>
      <c r="F3485" t="s">
        <v>6059</v>
      </c>
      <c r="G3485" s="2" t="str">
        <f>HYPERLINK("https://vk.com/wall-77881498_139313")</f>
        <v>https://vk.com/wall-77881498_139313</v>
      </c>
      <c r="H3485" t="s">
        <v>6062</v>
      </c>
      <c r="I3485" t="s">
        <v>5659</v>
      </c>
      <c r="J3485" s="2" t="str">
        <f t="shared" si="85"/>
        <v>http://vk.com/id167749845</v>
      </c>
      <c r="K3485">
        <v>486</v>
      </c>
      <c r="L3485" t="s">
        <v>6063</v>
      </c>
      <c r="M3485">
        <v>18</v>
      </c>
      <c r="N3485" t="s">
        <v>25</v>
      </c>
      <c r="O3485" t="s">
        <v>5629</v>
      </c>
      <c r="P3485" s="2" t="str">
        <f t="shared" si="86"/>
        <v>http://vk.com/club77881498</v>
      </c>
      <c r="Q3485">
        <v>27743</v>
      </c>
      <c r="R3485" t="s">
        <v>6067</v>
      </c>
      <c r="S3485" t="s">
        <v>6073</v>
      </c>
    </row>
    <row r="3486" spans="1:19" ht="14.25" customHeight="1" x14ac:dyDescent="0.3">
      <c r="A3486" t="s">
        <v>1</v>
      </c>
      <c r="B3486" t="s">
        <v>21</v>
      </c>
      <c r="C3486" t="s">
        <v>22</v>
      </c>
      <c r="D3486" t="s">
        <v>4</v>
      </c>
      <c r="E3486" t="s">
        <v>23</v>
      </c>
      <c r="F3486" t="s">
        <v>6056</v>
      </c>
      <c r="G3486" s="2" t="str">
        <f>HYPERLINK("https://vk.com/wall215752144_5947")</f>
        <v>https://vk.com/wall215752144_5947</v>
      </c>
      <c r="H3486" t="s">
        <v>6062</v>
      </c>
      <c r="I3486" t="s">
        <v>24</v>
      </c>
      <c r="J3486" s="2" t="str">
        <f>HYPERLINK("http://vk.com/id215752144")</f>
        <v>http://vk.com/id215752144</v>
      </c>
      <c r="K3486">
        <v>435</v>
      </c>
      <c r="L3486" t="s">
        <v>6063</v>
      </c>
      <c r="N3486" t="s">
        <v>25</v>
      </c>
      <c r="O3486" t="s">
        <v>24</v>
      </c>
      <c r="P3486" s="2" t="str">
        <f>HYPERLINK("http://vk.com/id215752144")</f>
        <v>http://vk.com/id215752144</v>
      </c>
      <c r="Q3486">
        <v>435</v>
      </c>
      <c r="R3486" t="s">
        <v>6067</v>
      </c>
      <c r="S3486" t="s">
        <v>6073</v>
      </c>
    </row>
    <row r="3487" spans="1:19" ht="14.25" customHeight="1" x14ac:dyDescent="0.3">
      <c r="A3487" t="s">
        <v>2225</v>
      </c>
      <c r="B3487" t="s">
        <v>3017</v>
      </c>
      <c r="C3487" t="s">
        <v>95</v>
      </c>
      <c r="D3487" t="s">
        <v>4</v>
      </c>
      <c r="E3487" t="s">
        <v>3012</v>
      </c>
      <c r="F3487" t="s">
        <v>6058</v>
      </c>
      <c r="G3487" s="2" t="str">
        <f>HYPERLINK("https://vk.com/wall-51853405_67197")</f>
        <v>https://vk.com/wall-51853405_67197</v>
      </c>
      <c r="H3487" t="s">
        <v>6062</v>
      </c>
      <c r="I3487" t="s">
        <v>3018</v>
      </c>
      <c r="J3487" s="2" t="str">
        <f>HYPERLINK("http://vk.com/club51853405")</f>
        <v>http://vk.com/club51853405</v>
      </c>
      <c r="K3487">
        <v>8625</v>
      </c>
      <c r="L3487" t="s">
        <v>6065</v>
      </c>
      <c r="N3487" t="s">
        <v>25</v>
      </c>
      <c r="O3487" t="s">
        <v>3018</v>
      </c>
      <c r="P3487" s="2" t="str">
        <f>HYPERLINK("http://vk.com/club51853405")</f>
        <v>http://vk.com/club51853405</v>
      </c>
      <c r="Q3487">
        <v>8625</v>
      </c>
      <c r="R3487" t="s">
        <v>6067</v>
      </c>
      <c r="S3487" t="s">
        <v>6073</v>
      </c>
    </row>
    <row r="3488" spans="1:19" ht="14.25" customHeight="1" x14ac:dyDescent="0.3">
      <c r="A3488" t="s">
        <v>4439</v>
      </c>
      <c r="B3488" t="s">
        <v>3908</v>
      </c>
      <c r="C3488" t="s">
        <v>3538</v>
      </c>
      <c r="D3488" t="s">
        <v>4</v>
      </c>
      <c r="E3488" t="s">
        <v>509</v>
      </c>
      <c r="F3488" t="s">
        <v>6058</v>
      </c>
      <c r="G3488" s="2" t="str">
        <f>HYPERLINK("https://vk.com/wall-85285602_46279")</f>
        <v>https://vk.com/wall-85285602_46279</v>
      </c>
      <c r="H3488" t="s">
        <v>6062</v>
      </c>
      <c r="I3488" t="s">
        <v>4571</v>
      </c>
      <c r="J3488" s="2" t="str">
        <f>HYPERLINK("http://vk.com/club85285602")</f>
        <v>http://vk.com/club85285602</v>
      </c>
      <c r="K3488">
        <v>9528</v>
      </c>
      <c r="L3488" t="s">
        <v>6065</v>
      </c>
      <c r="N3488" t="s">
        <v>25</v>
      </c>
      <c r="O3488" t="s">
        <v>4571</v>
      </c>
      <c r="P3488" s="2" t="str">
        <f>HYPERLINK("http://vk.com/club85285602")</f>
        <v>http://vk.com/club85285602</v>
      </c>
      <c r="Q3488">
        <v>9528</v>
      </c>
      <c r="R3488" t="s">
        <v>6067</v>
      </c>
      <c r="S3488" t="s">
        <v>6073</v>
      </c>
    </row>
    <row r="3489" spans="1:19" ht="14.25" customHeight="1" x14ac:dyDescent="0.3">
      <c r="A3489" t="s">
        <v>3527</v>
      </c>
      <c r="B3489" t="s">
        <v>756</v>
      </c>
      <c r="C3489" t="s">
        <v>95</v>
      </c>
      <c r="D3489" t="s">
        <v>4</v>
      </c>
      <c r="E3489" t="s">
        <v>3706</v>
      </c>
      <c r="F3489" t="s">
        <v>6058</v>
      </c>
      <c r="G3489" s="2" t="str">
        <f>HYPERLINK("https://vk.com/wall463859747_269")</f>
        <v>https://vk.com/wall463859747_269</v>
      </c>
      <c r="H3489" t="s">
        <v>6062</v>
      </c>
      <c r="I3489" t="s">
        <v>3707</v>
      </c>
      <c r="J3489" s="2" t="str">
        <f>HYPERLINK("http://vk.com/id463859747")</f>
        <v>http://vk.com/id463859747</v>
      </c>
      <c r="K3489">
        <v>45</v>
      </c>
      <c r="L3489" t="s">
        <v>6063</v>
      </c>
      <c r="M3489">
        <v>36</v>
      </c>
      <c r="N3489" t="s">
        <v>25</v>
      </c>
      <c r="O3489" t="s">
        <v>3707</v>
      </c>
      <c r="P3489" s="2" t="str">
        <f>HYPERLINK("http://vk.com/id463859747")</f>
        <v>http://vk.com/id463859747</v>
      </c>
      <c r="Q3489">
        <v>45</v>
      </c>
      <c r="R3489" t="s">
        <v>6067</v>
      </c>
      <c r="S3489" t="s">
        <v>6092</v>
      </c>
    </row>
    <row r="3490" spans="1:19" ht="14.25" customHeight="1" x14ac:dyDescent="0.3">
      <c r="A3490" t="s">
        <v>3527</v>
      </c>
      <c r="B3490" t="s">
        <v>3550</v>
      </c>
      <c r="C3490" t="s">
        <v>95</v>
      </c>
      <c r="D3490" t="s">
        <v>4</v>
      </c>
      <c r="E3490" t="s">
        <v>3551</v>
      </c>
      <c r="F3490" t="s">
        <v>6056</v>
      </c>
      <c r="G3490" s="2" t="str">
        <f>HYPERLINK("https://vk.com/wall134909438_1456")</f>
        <v>https://vk.com/wall134909438_1456</v>
      </c>
      <c r="H3490" t="s">
        <v>6062</v>
      </c>
      <c r="I3490" t="s">
        <v>3552</v>
      </c>
      <c r="J3490" s="2" t="str">
        <f>HYPERLINK("http://vk.com/id134909438")</f>
        <v>http://vk.com/id134909438</v>
      </c>
      <c r="K3490">
        <v>287</v>
      </c>
      <c r="L3490" t="s">
        <v>6063</v>
      </c>
      <c r="N3490" t="s">
        <v>25</v>
      </c>
      <c r="O3490" t="s">
        <v>3552</v>
      </c>
      <c r="P3490" s="2" t="str">
        <f>HYPERLINK("http://vk.com/id134909438")</f>
        <v>http://vk.com/id134909438</v>
      </c>
      <c r="Q3490">
        <v>287</v>
      </c>
      <c r="R3490" t="s">
        <v>6067</v>
      </c>
    </row>
    <row r="3491" spans="1:19" ht="14.25" customHeight="1" x14ac:dyDescent="0.3">
      <c r="A3491" t="s">
        <v>3527</v>
      </c>
      <c r="B3491" t="s">
        <v>4273</v>
      </c>
      <c r="C3491" t="s">
        <v>3538</v>
      </c>
      <c r="D3491" t="s">
        <v>4</v>
      </c>
      <c r="E3491" t="s">
        <v>4274</v>
      </c>
      <c r="F3491" t="s">
        <v>6056</v>
      </c>
      <c r="G3491" s="2" t="str">
        <f>HYPERLINK("https://vk.com/wall223325978_717")</f>
        <v>https://vk.com/wall223325978_717</v>
      </c>
      <c r="H3491" t="s">
        <v>6062</v>
      </c>
      <c r="I3491" t="s">
        <v>4275</v>
      </c>
      <c r="J3491" s="2" t="str">
        <f>HYPERLINK("http://vk.com/id223325978")</f>
        <v>http://vk.com/id223325978</v>
      </c>
      <c r="K3491">
        <v>283</v>
      </c>
      <c r="L3491" t="s">
        <v>6063</v>
      </c>
      <c r="M3491">
        <v>19</v>
      </c>
      <c r="N3491" t="s">
        <v>25</v>
      </c>
      <c r="O3491" t="s">
        <v>4275</v>
      </c>
      <c r="P3491" s="2" t="str">
        <f>HYPERLINK("http://vk.com/id223325978")</f>
        <v>http://vk.com/id223325978</v>
      </c>
      <c r="Q3491">
        <v>283</v>
      </c>
      <c r="R3491" t="s">
        <v>6067</v>
      </c>
      <c r="S3491" t="s">
        <v>6073</v>
      </c>
    </row>
    <row r="3492" spans="1:19" ht="14.25" customHeight="1" x14ac:dyDescent="0.3">
      <c r="A3492" t="s">
        <v>3527</v>
      </c>
      <c r="B3492" t="s">
        <v>2639</v>
      </c>
      <c r="C3492" t="s">
        <v>3538</v>
      </c>
      <c r="D3492" t="s">
        <v>4</v>
      </c>
      <c r="E3492" t="s">
        <v>3517</v>
      </c>
      <c r="F3492" t="s">
        <v>6058</v>
      </c>
      <c r="G3492" s="2" t="str">
        <f>HYPERLINK("https://vk.com/wall480003468_42")</f>
        <v>https://vk.com/wall480003468_42</v>
      </c>
      <c r="H3492" t="s">
        <v>6062</v>
      </c>
      <c r="I3492" t="s">
        <v>3685</v>
      </c>
      <c r="J3492" s="2" t="str">
        <f>HYPERLINK("http://vk.com/id480003468")</f>
        <v>http://vk.com/id480003468</v>
      </c>
      <c r="K3492">
        <v>3</v>
      </c>
      <c r="L3492" t="s">
        <v>6064</v>
      </c>
      <c r="M3492">
        <v>18</v>
      </c>
      <c r="N3492" t="s">
        <v>25</v>
      </c>
      <c r="O3492" t="s">
        <v>3685</v>
      </c>
      <c r="P3492" s="2" t="str">
        <f>HYPERLINK("http://vk.com/id480003468")</f>
        <v>http://vk.com/id480003468</v>
      </c>
      <c r="Q3492">
        <v>3</v>
      </c>
      <c r="R3492" t="s">
        <v>6067</v>
      </c>
      <c r="S3492" t="s">
        <v>6092</v>
      </c>
    </row>
    <row r="3493" spans="1:19" ht="14.25" customHeight="1" x14ac:dyDescent="0.3">
      <c r="A3493" t="s">
        <v>3527</v>
      </c>
      <c r="B3493" t="s">
        <v>3982</v>
      </c>
      <c r="C3493" t="s">
        <v>95</v>
      </c>
      <c r="D3493" t="s">
        <v>4</v>
      </c>
      <c r="E3493" t="s">
        <v>3820</v>
      </c>
      <c r="F3493" t="s">
        <v>6058</v>
      </c>
      <c r="G3493" s="2" t="str">
        <f>HYPERLINK("https://vk.com/wall474268707_589")</f>
        <v>https://vk.com/wall474268707_589</v>
      </c>
      <c r="H3493" t="s">
        <v>6062</v>
      </c>
      <c r="I3493" t="s">
        <v>3983</v>
      </c>
      <c r="J3493" s="2" t="str">
        <f>HYPERLINK("http://vk.com/id474268707")</f>
        <v>http://vk.com/id474268707</v>
      </c>
      <c r="K3493">
        <v>0</v>
      </c>
      <c r="L3493" t="s">
        <v>6063</v>
      </c>
      <c r="M3493">
        <v>81</v>
      </c>
      <c r="N3493" t="s">
        <v>25</v>
      </c>
      <c r="O3493" t="s">
        <v>3983</v>
      </c>
      <c r="P3493" s="2" t="str">
        <f>HYPERLINK("http://vk.com/id474268707")</f>
        <v>http://vk.com/id474268707</v>
      </c>
      <c r="Q3493">
        <v>0</v>
      </c>
      <c r="R3493" t="s">
        <v>6067</v>
      </c>
      <c r="S3493" t="s">
        <v>6104</v>
      </c>
    </row>
    <row r="3494" spans="1:19" ht="14.25" customHeight="1" x14ac:dyDescent="0.3">
      <c r="A3494" t="s">
        <v>629</v>
      </c>
      <c r="B3494" t="s">
        <v>923</v>
      </c>
      <c r="C3494" t="s">
        <v>95</v>
      </c>
      <c r="D3494" t="s">
        <v>453</v>
      </c>
      <c r="E3494" t="s">
        <v>924</v>
      </c>
      <c r="F3494" t="s">
        <v>6059</v>
      </c>
      <c r="G3494" s="2" t="str">
        <f>HYPERLINK("https://vk.com/wall-11821426_314")</f>
        <v>https://vk.com/wall-11821426_314</v>
      </c>
      <c r="H3494" t="s">
        <v>6062</v>
      </c>
      <c r="I3494" t="s">
        <v>925</v>
      </c>
      <c r="J3494" s="2" t="str">
        <f>HYPERLINK("http://vk.com/id156702477")</f>
        <v>http://vk.com/id156702477</v>
      </c>
      <c r="K3494">
        <v>1289</v>
      </c>
      <c r="L3494" t="s">
        <v>6064</v>
      </c>
      <c r="N3494" t="s">
        <v>25</v>
      </c>
      <c r="O3494" t="s">
        <v>456</v>
      </c>
      <c r="P3494" s="2" t="str">
        <f>HYPERLINK("http://vk.com/club11821426")</f>
        <v>http://vk.com/club11821426</v>
      </c>
      <c r="Q3494">
        <v>297</v>
      </c>
      <c r="R3494" t="s">
        <v>6067</v>
      </c>
      <c r="S3494" t="s">
        <v>6073</v>
      </c>
    </row>
    <row r="3495" spans="1:19" ht="14.25" customHeight="1" x14ac:dyDescent="0.3">
      <c r="A3495" t="s">
        <v>3527</v>
      </c>
      <c r="B3495" t="s">
        <v>838</v>
      </c>
      <c r="C3495" t="s">
        <v>95</v>
      </c>
      <c r="D3495" t="s">
        <v>4</v>
      </c>
      <c r="E3495" t="s">
        <v>3820</v>
      </c>
      <c r="F3495" t="s">
        <v>6058</v>
      </c>
      <c r="G3495" s="2" t="str">
        <f>HYPERLINK("https://vk.com/wall19100526_1966")</f>
        <v>https://vk.com/wall19100526_1966</v>
      </c>
      <c r="H3495" t="s">
        <v>6062</v>
      </c>
      <c r="I3495" t="s">
        <v>3842</v>
      </c>
      <c r="J3495" s="2" t="str">
        <f>HYPERLINK("http://vk.com/id19100526")</f>
        <v>http://vk.com/id19100526</v>
      </c>
      <c r="K3495">
        <v>1011</v>
      </c>
      <c r="L3495" t="s">
        <v>6064</v>
      </c>
      <c r="M3495">
        <v>27</v>
      </c>
      <c r="N3495" t="s">
        <v>25</v>
      </c>
      <c r="O3495" t="s">
        <v>3842</v>
      </c>
      <c r="P3495" s="2" t="str">
        <f>HYPERLINK("http://vk.com/id19100526")</f>
        <v>http://vk.com/id19100526</v>
      </c>
      <c r="Q3495">
        <v>1011</v>
      </c>
      <c r="R3495" t="s">
        <v>6067</v>
      </c>
      <c r="S3495" t="s">
        <v>6073</v>
      </c>
    </row>
    <row r="3496" spans="1:19" ht="14.25" customHeight="1" x14ac:dyDescent="0.3">
      <c r="A3496" t="s">
        <v>1</v>
      </c>
      <c r="B3496" t="s">
        <v>175</v>
      </c>
      <c r="C3496" t="s">
        <v>95</v>
      </c>
      <c r="D3496" t="s">
        <v>4</v>
      </c>
      <c r="E3496" t="s">
        <v>176</v>
      </c>
      <c r="F3496" t="s">
        <v>6056</v>
      </c>
      <c r="G3496" s="2" t="str">
        <f>HYPERLINK("https://vk.com/wall154689258_1920")</f>
        <v>https://vk.com/wall154689258_1920</v>
      </c>
      <c r="H3496" t="s">
        <v>6062</v>
      </c>
      <c r="I3496" t="s">
        <v>177</v>
      </c>
      <c r="J3496" s="2" t="str">
        <f>HYPERLINK("http://vk.com/id154689258")</f>
        <v>http://vk.com/id154689258</v>
      </c>
      <c r="K3496">
        <v>105</v>
      </c>
      <c r="L3496" t="s">
        <v>6063</v>
      </c>
      <c r="N3496" t="s">
        <v>25</v>
      </c>
      <c r="O3496" t="s">
        <v>177</v>
      </c>
      <c r="P3496" s="2" t="str">
        <f>HYPERLINK("http://vk.com/id154689258")</f>
        <v>http://vk.com/id154689258</v>
      </c>
      <c r="Q3496">
        <v>105</v>
      </c>
      <c r="R3496" t="s">
        <v>6067</v>
      </c>
      <c r="S3496" t="s">
        <v>6073</v>
      </c>
    </row>
    <row r="3497" spans="1:19" ht="14.25" customHeight="1" x14ac:dyDescent="0.3">
      <c r="A3497" t="s">
        <v>2225</v>
      </c>
      <c r="B3497" t="s">
        <v>2184</v>
      </c>
      <c r="C3497" t="s">
        <v>95</v>
      </c>
      <c r="D3497" t="s">
        <v>4</v>
      </c>
      <c r="E3497" t="s">
        <v>3508</v>
      </c>
      <c r="F3497" t="s">
        <v>6056</v>
      </c>
      <c r="G3497" s="2" t="str">
        <f>HYPERLINK("https://vk.com/wall143807031_6508")</f>
        <v>https://vk.com/wall143807031_6508</v>
      </c>
      <c r="H3497" t="s">
        <v>6062</v>
      </c>
      <c r="I3497" t="s">
        <v>3509</v>
      </c>
      <c r="J3497" s="2" t="str">
        <f>HYPERLINK("http://vk.com/id143807031")</f>
        <v>http://vk.com/id143807031</v>
      </c>
      <c r="K3497">
        <v>349</v>
      </c>
      <c r="L3497" t="s">
        <v>6063</v>
      </c>
      <c r="N3497" t="s">
        <v>25</v>
      </c>
      <c r="O3497" t="s">
        <v>3509</v>
      </c>
      <c r="P3497" s="2" t="str">
        <f>HYPERLINK("http://vk.com/id143807031")</f>
        <v>http://vk.com/id143807031</v>
      </c>
      <c r="Q3497">
        <v>349</v>
      </c>
      <c r="R3497" t="s">
        <v>6067</v>
      </c>
      <c r="S3497" t="s">
        <v>6073</v>
      </c>
    </row>
    <row r="3498" spans="1:19" ht="14.25" customHeight="1" x14ac:dyDescent="0.3">
      <c r="A3498" t="s">
        <v>3527</v>
      </c>
      <c r="B3498" t="s">
        <v>1909</v>
      </c>
      <c r="C3498" t="s">
        <v>3538</v>
      </c>
      <c r="D3498" t="s">
        <v>4</v>
      </c>
      <c r="E3498" t="s">
        <v>4045</v>
      </c>
      <c r="F3498" t="s">
        <v>6058</v>
      </c>
      <c r="G3498" s="2" t="str">
        <f>HYPERLINK("https://vk.com/wall182530019_3429")</f>
        <v>https://vk.com/wall182530019_3429</v>
      </c>
      <c r="H3498" t="s">
        <v>6062</v>
      </c>
      <c r="I3498" t="s">
        <v>4335</v>
      </c>
      <c r="J3498" s="2" t="str">
        <f>HYPERLINK("http://vk.com/id182530019")</f>
        <v>http://vk.com/id182530019</v>
      </c>
      <c r="K3498">
        <v>28</v>
      </c>
      <c r="L3498" t="s">
        <v>6064</v>
      </c>
      <c r="N3498" t="s">
        <v>25</v>
      </c>
      <c r="O3498" t="s">
        <v>4335</v>
      </c>
      <c r="P3498" s="2" t="str">
        <f>HYPERLINK("http://vk.com/id182530019")</f>
        <v>http://vk.com/id182530019</v>
      </c>
      <c r="Q3498">
        <v>28</v>
      </c>
      <c r="R3498" t="s">
        <v>6067</v>
      </c>
      <c r="S3498" t="s">
        <v>6073</v>
      </c>
    </row>
    <row r="3499" spans="1:19" ht="14.25" customHeight="1" x14ac:dyDescent="0.3">
      <c r="A3499" t="s">
        <v>4439</v>
      </c>
      <c r="B3499" t="s">
        <v>338</v>
      </c>
      <c r="C3499" t="s">
        <v>3538</v>
      </c>
      <c r="D3499" t="s">
        <v>4</v>
      </c>
      <c r="E3499" t="s">
        <v>4784</v>
      </c>
      <c r="F3499" t="s">
        <v>6056</v>
      </c>
      <c r="G3499" s="2" t="str">
        <f>HYPERLINK("https://vk.com/wall53654972_4838")</f>
        <v>https://vk.com/wall53654972_4838</v>
      </c>
      <c r="H3499" t="s">
        <v>6062</v>
      </c>
      <c r="I3499" t="s">
        <v>4785</v>
      </c>
      <c r="J3499" s="2" t="str">
        <f>HYPERLINK("http://vk.com/id53654972")</f>
        <v>http://vk.com/id53654972</v>
      </c>
      <c r="K3499">
        <v>4142</v>
      </c>
      <c r="L3499" t="s">
        <v>6064</v>
      </c>
      <c r="N3499" t="s">
        <v>25</v>
      </c>
      <c r="O3499" t="s">
        <v>4785</v>
      </c>
      <c r="P3499" s="2" t="str">
        <f>HYPERLINK("http://vk.com/id53654972")</f>
        <v>http://vk.com/id53654972</v>
      </c>
      <c r="Q3499">
        <v>4142</v>
      </c>
      <c r="R3499" t="s">
        <v>6067</v>
      </c>
    </row>
    <row r="3500" spans="1:19" ht="14.25" customHeight="1" x14ac:dyDescent="0.3">
      <c r="A3500" t="s">
        <v>4439</v>
      </c>
      <c r="B3500" t="s">
        <v>2298</v>
      </c>
      <c r="C3500" t="s">
        <v>3538</v>
      </c>
      <c r="D3500" t="s">
        <v>4</v>
      </c>
      <c r="E3500" t="s">
        <v>4464</v>
      </c>
      <c r="F3500" t="s">
        <v>6056</v>
      </c>
      <c r="G3500" s="2" t="str">
        <f>HYPERLINK("https://vk.com/wall131843503_1240")</f>
        <v>https://vk.com/wall131843503_1240</v>
      </c>
      <c r="H3500" t="s">
        <v>6062</v>
      </c>
      <c r="I3500" t="s">
        <v>4465</v>
      </c>
      <c r="J3500" s="2" t="str">
        <f>HYPERLINK("http://vk.com/id131843503")</f>
        <v>http://vk.com/id131843503</v>
      </c>
      <c r="K3500">
        <v>546</v>
      </c>
      <c r="L3500" t="s">
        <v>6064</v>
      </c>
      <c r="M3500">
        <v>47</v>
      </c>
      <c r="N3500" t="s">
        <v>25</v>
      </c>
      <c r="O3500" t="s">
        <v>4465</v>
      </c>
      <c r="P3500" s="2" t="str">
        <f>HYPERLINK("http://vk.com/id131843503")</f>
        <v>http://vk.com/id131843503</v>
      </c>
      <c r="Q3500">
        <v>546</v>
      </c>
      <c r="R3500" t="s">
        <v>6067</v>
      </c>
      <c r="S3500" t="s">
        <v>6073</v>
      </c>
    </row>
    <row r="3501" spans="1:19" ht="14.25" customHeight="1" x14ac:dyDescent="0.3">
      <c r="A3501" t="s">
        <v>4995</v>
      </c>
      <c r="B3501" t="s">
        <v>2939</v>
      </c>
      <c r="C3501" t="s">
        <v>3538</v>
      </c>
      <c r="D3501" t="s">
        <v>4</v>
      </c>
      <c r="E3501" t="s">
        <v>5082</v>
      </c>
      <c r="F3501" t="s">
        <v>6056</v>
      </c>
      <c r="G3501" s="2" t="str">
        <f>HYPERLINK("https://vk.com/wall131843503_1236")</f>
        <v>https://vk.com/wall131843503_1236</v>
      </c>
      <c r="H3501" t="s">
        <v>6062</v>
      </c>
      <c r="I3501" t="s">
        <v>4465</v>
      </c>
      <c r="J3501" s="2" t="str">
        <f>HYPERLINK("http://vk.com/id131843503")</f>
        <v>http://vk.com/id131843503</v>
      </c>
      <c r="K3501">
        <v>546</v>
      </c>
      <c r="L3501" t="s">
        <v>6064</v>
      </c>
      <c r="M3501">
        <v>47</v>
      </c>
      <c r="N3501" t="s">
        <v>25</v>
      </c>
      <c r="O3501" t="s">
        <v>4465</v>
      </c>
      <c r="P3501" s="2" t="str">
        <f>HYPERLINK("http://vk.com/id131843503")</f>
        <v>http://vk.com/id131843503</v>
      </c>
      <c r="Q3501">
        <v>546</v>
      </c>
      <c r="R3501" t="s">
        <v>6067</v>
      </c>
      <c r="S3501" t="s">
        <v>6073</v>
      </c>
    </row>
    <row r="3502" spans="1:19" ht="14.25" customHeight="1" x14ac:dyDescent="0.3">
      <c r="A3502" t="s">
        <v>3527</v>
      </c>
      <c r="B3502" t="s">
        <v>4093</v>
      </c>
      <c r="C3502" t="s">
        <v>95</v>
      </c>
      <c r="D3502" t="s">
        <v>4</v>
      </c>
      <c r="E3502" t="s">
        <v>4045</v>
      </c>
      <c r="F3502" t="s">
        <v>6058</v>
      </c>
      <c r="G3502" s="2" t="str">
        <f>HYPERLINK("https://vk.com/wall481102359_56")</f>
        <v>https://vk.com/wall481102359_56</v>
      </c>
      <c r="H3502" t="s">
        <v>6062</v>
      </c>
      <c r="I3502" t="s">
        <v>4094</v>
      </c>
      <c r="J3502" s="2" t="str">
        <f>HYPERLINK("http://vk.com/id481102359")</f>
        <v>http://vk.com/id481102359</v>
      </c>
      <c r="K3502">
        <v>3</v>
      </c>
      <c r="L3502" t="s">
        <v>6064</v>
      </c>
      <c r="M3502">
        <v>57</v>
      </c>
      <c r="N3502" t="s">
        <v>25</v>
      </c>
      <c r="O3502" t="s">
        <v>4094</v>
      </c>
      <c r="P3502" s="2" t="str">
        <f>HYPERLINK("http://vk.com/id481102359")</f>
        <v>http://vk.com/id481102359</v>
      </c>
      <c r="Q3502">
        <v>3</v>
      </c>
      <c r="R3502" t="s">
        <v>6067</v>
      </c>
    </row>
    <row r="3503" spans="1:19" ht="14.25" customHeight="1" x14ac:dyDescent="0.3">
      <c r="A3503" t="s">
        <v>3527</v>
      </c>
      <c r="B3503" t="s">
        <v>3754</v>
      </c>
      <c r="C3503" t="s">
        <v>95</v>
      </c>
      <c r="D3503" t="s">
        <v>4</v>
      </c>
      <c r="E3503" t="s">
        <v>3625</v>
      </c>
      <c r="F3503" t="s">
        <v>6058</v>
      </c>
      <c r="G3503" s="2" t="str">
        <f>HYPERLINK("https://vk.com/wall453464509_641")</f>
        <v>https://vk.com/wall453464509_641</v>
      </c>
      <c r="H3503" t="s">
        <v>6062</v>
      </c>
      <c r="I3503" t="s">
        <v>3755</v>
      </c>
      <c r="J3503" s="2" t="str">
        <f>HYPERLINK("http://vk.com/id453464509")</f>
        <v>http://vk.com/id453464509</v>
      </c>
      <c r="K3503">
        <v>106</v>
      </c>
      <c r="L3503" t="s">
        <v>6063</v>
      </c>
      <c r="M3503">
        <v>72</v>
      </c>
      <c r="N3503" t="s">
        <v>25</v>
      </c>
      <c r="O3503" t="s">
        <v>3755</v>
      </c>
      <c r="P3503" s="2" t="str">
        <f>HYPERLINK("http://vk.com/id453464509")</f>
        <v>http://vk.com/id453464509</v>
      </c>
      <c r="Q3503">
        <v>106</v>
      </c>
      <c r="R3503" t="s">
        <v>6067</v>
      </c>
    </row>
    <row r="3504" spans="1:19" ht="14.25" customHeight="1" x14ac:dyDescent="0.3">
      <c r="A3504" t="s">
        <v>3527</v>
      </c>
      <c r="B3504" t="s">
        <v>4106</v>
      </c>
      <c r="C3504" t="s">
        <v>95</v>
      </c>
      <c r="D3504" t="s">
        <v>4</v>
      </c>
      <c r="E3504" t="s">
        <v>4045</v>
      </c>
      <c r="F3504" t="s">
        <v>6058</v>
      </c>
      <c r="G3504" s="2" t="str">
        <f>HYPERLINK("https://vk.com/wall471762960_261")</f>
        <v>https://vk.com/wall471762960_261</v>
      </c>
      <c r="H3504" t="s">
        <v>6062</v>
      </c>
      <c r="I3504" t="s">
        <v>4107</v>
      </c>
      <c r="J3504" s="2" t="str">
        <f>HYPERLINK("http://vk.com/id471762960")</f>
        <v>http://vk.com/id471762960</v>
      </c>
      <c r="K3504">
        <v>0</v>
      </c>
      <c r="L3504" t="s">
        <v>6064</v>
      </c>
      <c r="M3504">
        <v>20</v>
      </c>
      <c r="N3504" t="s">
        <v>25</v>
      </c>
      <c r="O3504" t="s">
        <v>4107</v>
      </c>
      <c r="P3504" s="2" t="str">
        <f>HYPERLINK("http://vk.com/id471762960")</f>
        <v>http://vk.com/id471762960</v>
      </c>
      <c r="Q3504">
        <v>0</v>
      </c>
      <c r="R3504" t="s">
        <v>6067</v>
      </c>
    </row>
    <row r="3505" spans="1:19" ht="14.25" customHeight="1" x14ac:dyDescent="0.3">
      <c r="A3505" t="s">
        <v>3527</v>
      </c>
      <c r="B3505" t="s">
        <v>3471</v>
      </c>
      <c r="C3505" t="s">
        <v>3538</v>
      </c>
      <c r="D3505" t="s">
        <v>4</v>
      </c>
      <c r="E3505" t="s">
        <v>4045</v>
      </c>
      <c r="F3505" t="s">
        <v>6058</v>
      </c>
      <c r="G3505" s="2" t="str">
        <f>HYPERLINK("https://vk.com/wall205583922_1975")</f>
        <v>https://vk.com/wall205583922_1975</v>
      </c>
      <c r="H3505" t="s">
        <v>6062</v>
      </c>
      <c r="I3505" t="s">
        <v>4390</v>
      </c>
      <c r="J3505" s="2" t="str">
        <f>HYPERLINK("http://vk.com/id205583922")</f>
        <v>http://vk.com/id205583922</v>
      </c>
      <c r="K3505">
        <v>664</v>
      </c>
      <c r="L3505" t="s">
        <v>6064</v>
      </c>
      <c r="M3505">
        <v>26</v>
      </c>
      <c r="N3505" t="s">
        <v>25</v>
      </c>
      <c r="O3505" t="s">
        <v>4390</v>
      </c>
      <c r="P3505" s="2" t="str">
        <f>HYPERLINK("http://vk.com/id205583922")</f>
        <v>http://vk.com/id205583922</v>
      </c>
      <c r="Q3505">
        <v>664</v>
      </c>
      <c r="R3505" t="s">
        <v>6067</v>
      </c>
      <c r="S3505" t="s">
        <v>6092</v>
      </c>
    </row>
    <row r="3506" spans="1:19" ht="14.25" customHeight="1" x14ac:dyDescent="0.3">
      <c r="A3506" t="s">
        <v>3527</v>
      </c>
      <c r="B3506" t="s">
        <v>1246</v>
      </c>
      <c r="C3506" t="s">
        <v>3538</v>
      </c>
      <c r="D3506" t="s">
        <v>4</v>
      </c>
      <c r="E3506" t="s">
        <v>4130</v>
      </c>
      <c r="F3506" t="s">
        <v>6056</v>
      </c>
      <c r="G3506" s="2" t="str">
        <f>HYPERLINK("https://vk.com/wall-74100284_2440")</f>
        <v>https://vk.com/wall-74100284_2440</v>
      </c>
      <c r="H3506" t="s">
        <v>6062</v>
      </c>
      <c r="I3506" t="s">
        <v>4131</v>
      </c>
      <c r="J3506" s="2" t="str">
        <f>HYPERLINK("http://vk.com/club74100284")</f>
        <v>http://vk.com/club74100284</v>
      </c>
      <c r="K3506">
        <v>1163</v>
      </c>
      <c r="L3506" t="s">
        <v>6065</v>
      </c>
      <c r="N3506" t="s">
        <v>25</v>
      </c>
      <c r="O3506" t="s">
        <v>4131</v>
      </c>
      <c r="P3506" s="2" t="str">
        <f>HYPERLINK("http://vk.com/club74100284")</f>
        <v>http://vk.com/club74100284</v>
      </c>
      <c r="Q3506">
        <v>1163</v>
      </c>
      <c r="R3506" t="s">
        <v>6067</v>
      </c>
      <c r="S3506" t="s">
        <v>6073</v>
      </c>
    </row>
    <row r="3507" spans="1:19" ht="14.25" customHeight="1" x14ac:dyDescent="0.3">
      <c r="A3507" t="s">
        <v>4995</v>
      </c>
      <c r="B3507" t="s">
        <v>2259</v>
      </c>
      <c r="C3507" t="s">
        <v>3538</v>
      </c>
      <c r="D3507" t="s">
        <v>4</v>
      </c>
      <c r="E3507" t="s">
        <v>5009</v>
      </c>
      <c r="F3507" t="s">
        <v>6058</v>
      </c>
      <c r="G3507" s="2" t="str">
        <f>HYPERLINK("https://vk.com/wall-79392012_506")</f>
        <v>https://vk.com/wall-79392012_506</v>
      </c>
      <c r="H3507" t="s">
        <v>6062</v>
      </c>
      <c r="I3507" t="s">
        <v>5010</v>
      </c>
      <c r="J3507" s="2" t="str">
        <f>HYPERLINK("http://vk.com/club79392012")</f>
        <v>http://vk.com/club79392012</v>
      </c>
      <c r="L3507" t="s">
        <v>6065</v>
      </c>
      <c r="N3507" t="s">
        <v>25</v>
      </c>
      <c r="O3507" t="s">
        <v>5010</v>
      </c>
      <c r="P3507" s="2" t="str">
        <f>HYPERLINK("http://vk.com/club79392012")</f>
        <v>http://vk.com/club79392012</v>
      </c>
      <c r="R3507" t="s">
        <v>6067</v>
      </c>
    </row>
    <row r="3508" spans="1:19" ht="14.25" customHeight="1" x14ac:dyDescent="0.3">
      <c r="A3508" t="s">
        <v>3527</v>
      </c>
      <c r="B3508" t="s">
        <v>1146</v>
      </c>
      <c r="C3508" t="s">
        <v>3538</v>
      </c>
      <c r="D3508" t="s">
        <v>4</v>
      </c>
      <c r="E3508" t="s">
        <v>4045</v>
      </c>
      <c r="F3508" t="s">
        <v>6058</v>
      </c>
      <c r="G3508" s="2" t="str">
        <f>HYPERLINK("https://vk.com/wall248801207_152")</f>
        <v>https://vk.com/wall248801207_152</v>
      </c>
      <c r="H3508" t="s">
        <v>6062</v>
      </c>
      <c r="I3508" t="s">
        <v>4104</v>
      </c>
      <c r="J3508" s="2" t="str">
        <f>HYPERLINK("http://vk.com/id248801207")</f>
        <v>http://vk.com/id248801207</v>
      </c>
      <c r="K3508">
        <v>13</v>
      </c>
      <c r="L3508" t="s">
        <v>6063</v>
      </c>
      <c r="M3508">
        <v>27</v>
      </c>
      <c r="N3508" t="s">
        <v>25</v>
      </c>
      <c r="O3508" t="s">
        <v>4104</v>
      </c>
      <c r="P3508" s="2" t="str">
        <f>HYPERLINK("http://vk.com/id248801207")</f>
        <v>http://vk.com/id248801207</v>
      </c>
      <c r="Q3508">
        <v>13</v>
      </c>
      <c r="R3508" t="s">
        <v>6067</v>
      </c>
      <c r="S3508" t="s">
        <v>6072</v>
      </c>
    </row>
    <row r="3509" spans="1:19" ht="14.25" customHeight="1" x14ac:dyDescent="0.3">
      <c r="A3509" t="s">
        <v>3527</v>
      </c>
      <c r="B3509" t="s">
        <v>3252</v>
      </c>
      <c r="C3509" t="s">
        <v>95</v>
      </c>
      <c r="D3509" t="s">
        <v>4</v>
      </c>
      <c r="E3509" t="s">
        <v>4045</v>
      </c>
      <c r="F3509" t="s">
        <v>6058</v>
      </c>
      <c r="G3509" s="2" t="str">
        <f>HYPERLINK("https://vk.com/wall454941252_593")</f>
        <v>https://vk.com/wall454941252_593</v>
      </c>
      <c r="H3509" t="s">
        <v>6062</v>
      </c>
      <c r="I3509" t="s">
        <v>4178</v>
      </c>
      <c r="J3509" s="2" t="str">
        <f>HYPERLINK("http://vk.com/id454941252")</f>
        <v>http://vk.com/id454941252</v>
      </c>
      <c r="K3509">
        <v>48</v>
      </c>
      <c r="L3509" t="s">
        <v>6064</v>
      </c>
      <c r="M3509">
        <v>31</v>
      </c>
      <c r="N3509" t="s">
        <v>25</v>
      </c>
      <c r="O3509" t="s">
        <v>4178</v>
      </c>
      <c r="P3509" s="2" t="str">
        <f>HYPERLINK("http://vk.com/id454941252")</f>
        <v>http://vk.com/id454941252</v>
      </c>
      <c r="Q3509">
        <v>48</v>
      </c>
      <c r="R3509" t="s">
        <v>6067</v>
      </c>
      <c r="S3509" t="s">
        <v>6072</v>
      </c>
    </row>
    <row r="3510" spans="1:19" ht="14.25" customHeight="1" x14ac:dyDescent="0.3">
      <c r="A3510" t="s">
        <v>2225</v>
      </c>
      <c r="B3510" t="s">
        <v>3050</v>
      </c>
      <c r="C3510" t="s">
        <v>95</v>
      </c>
      <c r="D3510" t="s">
        <v>4</v>
      </c>
      <c r="E3510" t="s">
        <v>3051</v>
      </c>
      <c r="F3510" t="s">
        <v>6056</v>
      </c>
      <c r="G3510" s="2" t="str">
        <f>HYPERLINK("https://vk.com/wall172379761_1320")</f>
        <v>https://vk.com/wall172379761_1320</v>
      </c>
      <c r="H3510" t="s">
        <v>6062</v>
      </c>
      <c r="I3510" t="s">
        <v>3052</v>
      </c>
      <c r="J3510" s="2" t="str">
        <f>HYPERLINK("http://vk.com/id172379761")</f>
        <v>http://vk.com/id172379761</v>
      </c>
      <c r="K3510">
        <v>606</v>
      </c>
      <c r="L3510" t="s">
        <v>6063</v>
      </c>
      <c r="N3510" t="s">
        <v>25</v>
      </c>
      <c r="O3510" t="s">
        <v>3052</v>
      </c>
      <c r="P3510" s="2" t="str">
        <f>HYPERLINK("http://vk.com/id172379761")</f>
        <v>http://vk.com/id172379761</v>
      </c>
      <c r="Q3510">
        <v>606</v>
      </c>
      <c r="R3510" t="s">
        <v>6067</v>
      </c>
      <c r="S3510" t="s">
        <v>6073</v>
      </c>
    </row>
    <row r="3511" spans="1:19" ht="14.25" customHeight="1" x14ac:dyDescent="0.3">
      <c r="A3511" t="s">
        <v>3527</v>
      </c>
      <c r="B3511" t="s">
        <v>4304</v>
      </c>
      <c r="C3511" t="s">
        <v>3538</v>
      </c>
      <c r="D3511" t="s">
        <v>4</v>
      </c>
      <c r="E3511" t="s">
        <v>4045</v>
      </c>
      <c r="F3511" t="s">
        <v>6058</v>
      </c>
      <c r="G3511" s="2" t="str">
        <f>HYPERLINK("https://vk.com/wall261518338_1729")</f>
        <v>https://vk.com/wall261518338_1729</v>
      </c>
      <c r="H3511" t="s">
        <v>6062</v>
      </c>
      <c r="I3511" t="s">
        <v>4305</v>
      </c>
      <c r="J3511" s="2" t="str">
        <f>HYPERLINK("http://vk.com/id261518338")</f>
        <v>http://vk.com/id261518338</v>
      </c>
      <c r="K3511">
        <v>468</v>
      </c>
      <c r="L3511" t="s">
        <v>6063</v>
      </c>
      <c r="M3511">
        <v>23</v>
      </c>
      <c r="N3511" t="s">
        <v>25</v>
      </c>
      <c r="O3511" t="s">
        <v>4305</v>
      </c>
      <c r="P3511" s="2" t="str">
        <f>HYPERLINK("http://vk.com/id261518338")</f>
        <v>http://vk.com/id261518338</v>
      </c>
      <c r="Q3511">
        <v>468</v>
      </c>
      <c r="R3511" t="s">
        <v>6067</v>
      </c>
      <c r="S3511" t="s">
        <v>6092</v>
      </c>
    </row>
    <row r="3512" spans="1:19" ht="14.25" customHeight="1" x14ac:dyDescent="0.3">
      <c r="A3512" t="s">
        <v>3527</v>
      </c>
      <c r="B3512" t="s">
        <v>1830</v>
      </c>
      <c r="C3512" t="s">
        <v>3538</v>
      </c>
      <c r="D3512" t="s">
        <v>4</v>
      </c>
      <c r="E3512" t="s">
        <v>4045</v>
      </c>
      <c r="F3512" t="s">
        <v>6058</v>
      </c>
      <c r="G3512" s="2" t="str">
        <f>HYPERLINK("https://vk.com/wall198248689_2416")</f>
        <v>https://vk.com/wall198248689_2416</v>
      </c>
      <c r="H3512" t="s">
        <v>6062</v>
      </c>
      <c r="I3512" t="s">
        <v>4325</v>
      </c>
      <c r="J3512" s="2" t="str">
        <f>HYPERLINK("http://vk.com/id198248689")</f>
        <v>http://vk.com/id198248689</v>
      </c>
      <c r="K3512">
        <v>433</v>
      </c>
      <c r="L3512" t="s">
        <v>6063</v>
      </c>
      <c r="M3512">
        <v>19</v>
      </c>
      <c r="N3512" t="s">
        <v>25</v>
      </c>
      <c r="O3512" t="s">
        <v>4325</v>
      </c>
      <c r="P3512" s="2" t="str">
        <f>HYPERLINK("http://vk.com/id198248689")</f>
        <v>http://vk.com/id198248689</v>
      </c>
      <c r="Q3512">
        <v>433</v>
      </c>
      <c r="R3512" t="s">
        <v>6067</v>
      </c>
      <c r="S3512" t="s">
        <v>6073</v>
      </c>
    </row>
    <row r="3513" spans="1:19" ht="14.25" customHeight="1" x14ac:dyDescent="0.3">
      <c r="A3513" t="s">
        <v>4995</v>
      </c>
      <c r="B3513" t="s">
        <v>1640</v>
      </c>
      <c r="C3513" t="s">
        <v>3538</v>
      </c>
      <c r="D3513" t="s">
        <v>4</v>
      </c>
      <c r="E3513" t="s">
        <v>5306</v>
      </c>
      <c r="F3513" t="s">
        <v>6056</v>
      </c>
      <c r="G3513" s="2" t="str">
        <f>HYPERLINK("https://vk.com/wall174972796_4764")</f>
        <v>https://vk.com/wall174972796_4764</v>
      </c>
      <c r="H3513" t="s">
        <v>6062</v>
      </c>
      <c r="I3513" t="s">
        <v>5298</v>
      </c>
      <c r="J3513" s="2" t="str">
        <f>HYPERLINK("http://vk.com/id174972796")</f>
        <v>http://vk.com/id174972796</v>
      </c>
      <c r="K3513">
        <v>331</v>
      </c>
      <c r="L3513" t="s">
        <v>6064</v>
      </c>
      <c r="M3513">
        <v>18</v>
      </c>
      <c r="N3513" t="s">
        <v>25</v>
      </c>
      <c r="O3513" t="s">
        <v>5298</v>
      </c>
      <c r="P3513" s="2" t="str">
        <f>HYPERLINK("http://vk.com/id174972796")</f>
        <v>http://vk.com/id174972796</v>
      </c>
      <c r="Q3513">
        <v>331</v>
      </c>
      <c r="R3513" t="s">
        <v>6067</v>
      </c>
      <c r="S3513" t="s">
        <v>6073</v>
      </c>
    </row>
    <row r="3514" spans="1:19" ht="14.25" customHeight="1" x14ac:dyDescent="0.3">
      <c r="A3514" t="s">
        <v>3527</v>
      </c>
      <c r="B3514" t="s">
        <v>2389</v>
      </c>
      <c r="C3514" t="s">
        <v>95</v>
      </c>
      <c r="D3514" t="s">
        <v>4</v>
      </c>
      <c r="E3514" t="s">
        <v>3511</v>
      </c>
      <c r="F3514" t="s">
        <v>6058</v>
      </c>
      <c r="G3514" s="2" t="str">
        <f>HYPERLINK("https://vk.com/wall469455039_41")</f>
        <v>https://vk.com/wall469455039_41</v>
      </c>
      <c r="H3514" t="s">
        <v>6062</v>
      </c>
      <c r="I3514" t="s">
        <v>3656</v>
      </c>
      <c r="J3514" s="2" t="str">
        <f>HYPERLINK("http://vk.com/id469455039")</f>
        <v>http://vk.com/id469455039</v>
      </c>
      <c r="K3514">
        <v>1</v>
      </c>
      <c r="L3514" t="s">
        <v>6064</v>
      </c>
      <c r="M3514">
        <v>20</v>
      </c>
      <c r="N3514" t="s">
        <v>25</v>
      </c>
      <c r="O3514" t="s">
        <v>3656</v>
      </c>
      <c r="P3514" s="2" t="str">
        <f>HYPERLINK("http://vk.com/id469455039")</f>
        <v>http://vk.com/id469455039</v>
      </c>
      <c r="Q3514">
        <v>1</v>
      </c>
      <c r="R3514" t="s">
        <v>6067</v>
      </c>
      <c r="S3514" t="s">
        <v>6072</v>
      </c>
    </row>
    <row r="3515" spans="1:19" ht="14.25" customHeight="1" x14ac:dyDescent="0.3">
      <c r="A3515" t="s">
        <v>3527</v>
      </c>
      <c r="B3515" t="s">
        <v>1327</v>
      </c>
      <c r="C3515" t="s">
        <v>95</v>
      </c>
      <c r="D3515" t="s">
        <v>4</v>
      </c>
      <c r="E3515" t="s">
        <v>4045</v>
      </c>
      <c r="F3515" t="s">
        <v>6058</v>
      </c>
      <c r="G3515" s="2" t="str">
        <f>HYPERLINK("https://vk.com/wall417572760_212")</f>
        <v>https://vk.com/wall417572760_212</v>
      </c>
      <c r="H3515" t="s">
        <v>6062</v>
      </c>
      <c r="I3515" t="s">
        <v>4001</v>
      </c>
      <c r="J3515" s="2" t="str">
        <f>HYPERLINK("http://vk.com/id417572760")</f>
        <v>http://vk.com/id417572760</v>
      </c>
      <c r="K3515">
        <v>84</v>
      </c>
      <c r="L3515" t="s">
        <v>6064</v>
      </c>
      <c r="M3515">
        <v>28</v>
      </c>
      <c r="N3515" t="s">
        <v>25</v>
      </c>
      <c r="O3515" t="s">
        <v>4001</v>
      </c>
      <c r="P3515" s="2" t="str">
        <f>HYPERLINK("http://vk.com/id417572760")</f>
        <v>http://vk.com/id417572760</v>
      </c>
      <c r="Q3515">
        <v>84</v>
      </c>
      <c r="R3515" t="s">
        <v>6067</v>
      </c>
      <c r="S3515" t="s">
        <v>6073</v>
      </c>
    </row>
    <row r="3516" spans="1:19" ht="14.25" customHeight="1" x14ac:dyDescent="0.3">
      <c r="A3516" t="s">
        <v>3527</v>
      </c>
      <c r="B3516" t="s">
        <v>4000</v>
      </c>
      <c r="C3516" t="s">
        <v>95</v>
      </c>
      <c r="D3516" t="s">
        <v>4</v>
      </c>
      <c r="E3516" t="s">
        <v>3820</v>
      </c>
      <c r="F3516" t="s">
        <v>6058</v>
      </c>
      <c r="G3516" s="2" t="str">
        <f>HYPERLINK("https://vk.com/wall417572760_214")</f>
        <v>https://vk.com/wall417572760_214</v>
      </c>
      <c r="H3516" t="s">
        <v>6062</v>
      </c>
      <c r="I3516" t="s">
        <v>4001</v>
      </c>
      <c r="J3516" s="2" t="str">
        <f>HYPERLINK("http://vk.com/id417572760")</f>
        <v>http://vk.com/id417572760</v>
      </c>
      <c r="K3516">
        <v>84</v>
      </c>
      <c r="L3516" t="s">
        <v>6064</v>
      </c>
      <c r="M3516">
        <v>28</v>
      </c>
      <c r="N3516" t="s">
        <v>25</v>
      </c>
      <c r="O3516" t="s">
        <v>4001</v>
      </c>
      <c r="P3516" s="2" t="str">
        <f>HYPERLINK("http://vk.com/id417572760")</f>
        <v>http://vk.com/id417572760</v>
      </c>
      <c r="Q3516">
        <v>84</v>
      </c>
      <c r="R3516" t="s">
        <v>6067</v>
      </c>
      <c r="S3516" t="s">
        <v>6073</v>
      </c>
    </row>
    <row r="3517" spans="1:19" ht="14.25" customHeight="1" x14ac:dyDescent="0.3">
      <c r="A3517" t="s">
        <v>629</v>
      </c>
      <c r="B3517" t="s">
        <v>1380</v>
      </c>
      <c r="C3517" t="s">
        <v>95</v>
      </c>
      <c r="D3517" t="s">
        <v>4</v>
      </c>
      <c r="E3517" t="s">
        <v>1385</v>
      </c>
      <c r="F3517" t="s">
        <v>6056</v>
      </c>
      <c r="G3517" s="2" t="str">
        <f>HYPERLINK("https://vk.com/wall198270274_878")</f>
        <v>https://vk.com/wall198270274_878</v>
      </c>
      <c r="H3517" t="s">
        <v>6062</v>
      </c>
      <c r="I3517" t="s">
        <v>1386</v>
      </c>
      <c r="J3517" s="2" t="str">
        <f>HYPERLINK("http://vk.com/id198270274")</f>
        <v>http://vk.com/id198270274</v>
      </c>
      <c r="K3517">
        <v>275</v>
      </c>
      <c r="L3517" t="s">
        <v>6063</v>
      </c>
      <c r="N3517" t="s">
        <v>25</v>
      </c>
      <c r="O3517" t="s">
        <v>1386</v>
      </c>
      <c r="P3517" s="2" t="str">
        <f>HYPERLINK("http://vk.com/id198270274")</f>
        <v>http://vk.com/id198270274</v>
      </c>
      <c r="Q3517">
        <v>275</v>
      </c>
      <c r="R3517" t="s">
        <v>6067</v>
      </c>
      <c r="S3517" t="s">
        <v>6073</v>
      </c>
    </row>
    <row r="3518" spans="1:19" ht="14.25" customHeight="1" x14ac:dyDescent="0.3">
      <c r="A3518" t="s">
        <v>3527</v>
      </c>
      <c r="B3518" t="s">
        <v>4354</v>
      </c>
      <c r="C3518" t="s">
        <v>3538</v>
      </c>
      <c r="D3518" t="s">
        <v>4</v>
      </c>
      <c r="E3518" t="s">
        <v>4045</v>
      </c>
      <c r="F3518" t="s">
        <v>6058</v>
      </c>
      <c r="G3518" s="2" t="str">
        <f>HYPERLINK("https://vk.com/wall479179530_114")</f>
        <v>https://vk.com/wall479179530_114</v>
      </c>
      <c r="H3518" t="s">
        <v>6062</v>
      </c>
      <c r="I3518" s="3" t="s">
        <v>4355</v>
      </c>
      <c r="J3518" s="2" t="str">
        <f>HYPERLINK("http://vk.com/id479179530")</f>
        <v>http://vk.com/id479179530</v>
      </c>
      <c r="K3518">
        <v>2</v>
      </c>
      <c r="L3518" t="s">
        <v>6063</v>
      </c>
      <c r="M3518">
        <v>26</v>
      </c>
      <c r="N3518" t="s">
        <v>25</v>
      </c>
      <c r="O3518" s="3" t="s">
        <v>4355</v>
      </c>
      <c r="P3518" s="2" t="str">
        <f>HYPERLINK("http://vk.com/id479179530")</f>
        <v>http://vk.com/id479179530</v>
      </c>
      <c r="Q3518">
        <v>2</v>
      </c>
      <c r="R3518" t="s">
        <v>6067</v>
      </c>
    </row>
    <row r="3519" spans="1:19" ht="14.25" customHeight="1" x14ac:dyDescent="0.3">
      <c r="A3519" t="s">
        <v>3527</v>
      </c>
      <c r="B3519" t="s">
        <v>1356</v>
      </c>
      <c r="C3519" t="s">
        <v>95</v>
      </c>
      <c r="D3519" t="s">
        <v>4</v>
      </c>
      <c r="E3519" t="s">
        <v>4045</v>
      </c>
      <c r="F3519" t="s">
        <v>6058</v>
      </c>
      <c r="G3519" s="2" t="str">
        <f>HYPERLINK("https://vk.com/wall480481321_24")</f>
        <v>https://vk.com/wall480481321_24</v>
      </c>
      <c r="H3519" t="s">
        <v>6062</v>
      </c>
      <c r="I3519" s="3" t="s">
        <v>4003</v>
      </c>
      <c r="J3519" s="2" t="str">
        <f>HYPERLINK("http://vk.com/id480481321")</f>
        <v>http://vk.com/id480481321</v>
      </c>
      <c r="K3519">
        <v>3</v>
      </c>
      <c r="L3519" t="s">
        <v>6063</v>
      </c>
      <c r="M3519">
        <v>24</v>
      </c>
      <c r="N3519" t="s">
        <v>25</v>
      </c>
      <c r="O3519" s="3" t="s">
        <v>4003</v>
      </c>
      <c r="P3519" s="2" t="str">
        <f>HYPERLINK("http://vk.com/id480481321")</f>
        <v>http://vk.com/id480481321</v>
      </c>
      <c r="Q3519">
        <v>3</v>
      </c>
      <c r="R3519" t="s">
        <v>6067</v>
      </c>
    </row>
    <row r="3520" spans="1:19" ht="14.25" customHeight="1" x14ac:dyDescent="0.3">
      <c r="A3520" t="s">
        <v>3527</v>
      </c>
      <c r="B3520" t="s">
        <v>4000</v>
      </c>
      <c r="C3520" t="s">
        <v>95</v>
      </c>
      <c r="D3520" t="s">
        <v>4</v>
      </c>
      <c r="E3520" t="s">
        <v>3706</v>
      </c>
      <c r="F3520" t="s">
        <v>6058</v>
      </c>
      <c r="G3520" s="2" t="str">
        <f>HYPERLINK("https://vk.com/wall480481321_26")</f>
        <v>https://vk.com/wall480481321_26</v>
      </c>
      <c r="H3520" t="s">
        <v>6062</v>
      </c>
      <c r="I3520" s="3" t="s">
        <v>4003</v>
      </c>
      <c r="J3520" s="2" t="str">
        <f>HYPERLINK("http://vk.com/id480481321")</f>
        <v>http://vk.com/id480481321</v>
      </c>
      <c r="K3520">
        <v>3</v>
      </c>
      <c r="L3520" t="s">
        <v>6063</v>
      </c>
      <c r="M3520">
        <v>24</v>
      </c>
      <c r="N3520" t="s">
        <v>25</v>
      </c>
      <c r="O3520" s="3" t="s">
        <v>4003</v>
      </c>
      <c r="P3520" s="2" t="str">
        <f>HYPERLINK("http://vk.com/id480481321")</f>
        <v>http://vk.com/id480481321</v>
      </c>
      <c r="Q3520">
        <v>3</v>
      </c>
      <c r="R3520" t="s">
        <v>6067</v>
      </c>
    </row>
    <row r="3521" spans="1:19" ht="14.25" customHeight="1" x14ac:dyDescent="0.3">
      <c r="A3521" t="s">
        <v>3527</v>
      </c>
      <c r="B3521" t="s">
        <v>742</v>
      </c>
      <c r="C3521" t="s">
        <v>95</v>
      </c>
      <c r="D3521" t="s">
        <v>4</v>
      </c>
      <c r="E3521" t="s">
        <v>3625</v>
      </c>
      <c r="F3521" t="s">
        <v>6058</v>
      </c>
      <c r="G3521" s="2" t="str">
        <f>HYPERLINK("https://vk.com/wall479931241_208")</f>
        <v>https://vk.com/wall479931241_208</v>
      </c>
      <c r="H3521" t="s">
        <v>6062</v>
      </c>
      <c r="I3521" t="s">
        <v>3700</v>
      </c>
      <c r="J3521" s="2" t="str">
        <f>HYPERLINK("http://vk.com/id479931241")</f>
        <v>http://vk.com/id479931241</v>
      </c>
      <c r="K3521">
        <v>0</v>
      </c>
      <c r="L3521" t="s">
        <v>6064</v>
      </c>
      <c r="M3521">
        <v>14</v>
      </c>
      <c r="N3521" t="s">
        <v>25</v>
      </c>
      <c r="O3521" t="s">
        <v>3700</v>
      </c>
      <c r="P3521" s="2" t="str">
        <f>HYPERLINK("http://vk.com/id479931241")</f>
        <v>http://vk.com/id479931241</v>
      </c>
      <c r="Q3521">
        <v>0</v>
      </c>
      <c r="R3521" t="s">
        <v>6067</v>
      </c>
    </row>
    <row r="3522" spans="1:19" ht="14.25" customHeight="1" x14ac:dyDescent="0.3">
      <c r="A3522" t="s">
        <v>3527</v>
      </c>
      <c r="B3522" t="s">
        <v>4114</v>
      </c>
      <c r="C3522" t="s">
        <v>3538</v>
      </c>
      <c r="D3522" t="s">
        <v>4</v>
      </c>
      <c r="E3522" t="s">
        <v>4115</v>
      </c>
      <c r="F3522" t="s">
        <v>6057</v>
      </c>
      <c r="G3522" s="2" t="str">
        <f>HYPERLINK("https://vk.com/wall125859386_6916")</f>
        <v>https://vk.com/wall125859386_6916</v>
      </c>
      <c r="H3522" t="s">
        <v>6061</v>
      </c>
      <c r="I3522" t="s">
        <v>4116</v>
      </c>
      <c r="J3522" s="2" t="str">
        <f>HYPERLINK("http://vk.com/id125859386")</f>
        <v>http://vk.com/id125859386</v>
      </c>
      <c r="K3522">
        <v>531</v>
      </c>
      <c r="L3522" t="s">
        <v>6063</v>
      </c>
      <c r="N3522" t="s">
        <v>25</v>
      </c>
      <c r="O3522" t="s">
        <v>4116</v>
      </c>
      <c r="P3522" s="2" t="str">
        <f>HYPERLINK("http://vk.com/id125859386")</f>
        <v>http://vk.com/id125859386</v>
      </c>
      <c r="Q3522">
        <v>531</v>
      </c>
      <c r="R3522" t="s">
        <v>6067</v>
      </c>
      <c r="S3522" t="s">
        <v>6073</v>
      </c>
    </row>
    <row r="3523" spans="1:19" ht="14.25" customHeight="1" x14ac:dyDescent="0.3">
      <c r="A3523" t="s">
        <v>629</v>
      </c>
      <c r="B3523" t="s">
        <v>888</v>
      </c>
      <c r="C3523" t="s">
        <v>95</v>
      </c>
      <c r="D3523" t="s">
        <v>4</v>
      </c>
      <c r="E3523" t="s">
        <v>646</v>
      </c>
      <c r="F3523" t="s">
        <v>6058</v>
      </c>
      <c r="G3523" s="2" t="str">
        <f>HYPERLINK("https://vk.com/wall258481575_2493")</f>
        <v>https://vk.com/wall258481575_2493</v>
      </c>
      <c r="H3523" t="s">
        <v>6061</v>
      </c>
      <c r="I3523" t="s">
        <v>889</v>
      </c>
      <c r="J3523" s="2" t="str">
        <f>HYPERLINK("http://vk.com/id258481575")</f>
        <v>http://vk.com/id258481575</v>
      </c>
      <c r="K3523">
        <v>408</v>
      </c>
      <c r="L3523" t="s">
        <v>6063</v>
      </c>
      <c r="M3523">
        <v>15</v>
      </c>
      <c r="N3523" t="s">
        <v>25</v>
      </c>
      <c r="O3523" t="s">
        <v>889</v>
      </c>
      <c r="P3523" s="2" t="str">
        <f>HYPERLINK("http://vk.com/id258481575")</f>
        <v>http://vk.com/id258481575</v>
      </c>
      <c r="Q3523">
        <v>408</v>
      </c>
      <c r="R3523" t="s">
        <v>6067</v>
      </c>
      <c r="S3523" t="s">
        <v>6073</v>
      </c>
    </row>
    <row r="3524" spans="1:19" ht="14.25" customHeight="1" x14ac:dyDescent="0.3">
      <c r="A3524" t="s">
        <v>5409</v>
      </c>
      <c r="B3524" t="s">
        <v>1085</v>
      </c>
      <c r="C3524" t="s">
        <v>3538</v>
      </c>
      <c r="D3524" t="s">
        <v>4</v>
      </c>
      <c r="E3524" t="s">
        <v>5649</v>
      </c>
      <c r="F3524" t="s">
        <v>6056</v>
      </c>
      <c r="G3524" s="2" t="str">
        <f>HYPERLINK("https://vk.com/wall5876034_16335")</f>
        <v>https://vk.com/wall5876034_16335</v>
      </c>
      <c r="H3524" t="s">
        <v>6061</v>
      </c>
      <c r="I3524" t="s">
        <v>5650</v>
      </c>
      <c r="J3524" s="2" t="str">
        <f>HYPERLINK("http://vk.com/id5876034")</f>
        <v>http://vk.com/id5876034</v>
      </c>
      <c r="K3524">
        <v>885</v>
      </c>
      <c r="L3524" t="s">
        <v>6063</v>
      </c>
      <c r="N3524" t="s">
        <v>25</v>
      </c>
      <c r="O3524" t="s">
        <v>5650</v>
      </c>
      <c r="P3524" s="2" t="str">
        <f>HYPERLINK("http://vk.com/id5876034")</f>
        <v>http://vk.com/id5876034</v>
      </c>
      <c r="Q3524">
        <v>885</v>
      </c>
      <c r="R3524" t="s">
        <v>6067</v>
      </c>
      <c r="S3524" t="s">
        <v>6073</v>
      </c>
    </row>
    <row r="3525" spans="1:19" ht="14.25" customHeight="1" x14ac:dyDescent="0.3">
      <c r="A3525" t="s">
        <v>629</v>
      </c>
      <c r="B3525" t="s">
        <v>2210</v>
      </c>
      <c r="C3525" t="s">
        <v>95</v>
      </c>
      <c r="D3525" t="s">
        <v>4</v>
      </c>
      <c r="E3525" t="s">
        <v>2211</v>
      </c>
      <c r="F3525" t="s">
        <v>6056</v>
      </c>
      <c r="G3525" s="2" t="str">
        <f>HYPERLINK("https://vk.com/wall13037904_2481")</f>
        <v>https://vk.com/wall13037904_2481</v>
      </c>
      <c r="H3525" t="s">
        <v>6061</v>
      </c>
      <c r="I3525" t="s">
        <v>2212</v>
      </c>
      <c r="J3525" s="2" t="str">
        <f>HYPERLINK("http://vk.com/id13037904")</f>
        <v>http://vk.com/id13037904</v>
      </c>
      <c r="K3525">
        <v>155</v>
      </c>
      <c r="L3525" t="s">
        <v>6063</v>
      </c>
      <c r="N3525" t="s">
        <v>25</v>
      </c>
      <c r="O3525" t="s">
        <v>2212</v>
      </c>
      <c r="P3525" s="2" t="str">
        <f>HYPERLINK("http://vk.com/id13037904")</f>
        <v>http://vk.com/id13037904</v>
      </c>
      <c r="Q3525">
        <v>155</v>
      </c>
      <c r="R3525" t="s">
        <v>6067</v>
      </c>
    </row>
    <row r="3526" spans="1:19" ht="14.25" customHeight="1" x14ac:dyDescent="0.3">
      <c r="A3526" t="s">
        <v>4439</v>
      </c>
      <c r="B3526" t="s">
        <v>4903</v>
      </c>
      <c r="C3526" t="s">
        <v>3538</v>
      </c>
      <c r="D3526" t="s">
        <v>4</v>
      </c>
      <c r="E3526" t="s">
        <v>4904</v>
      </c>
      <c r="F3526" t="s">
        <v>6059</v>
      </c>
      <c r="G3526" s="2" t="str">
        <f>HYPERLINK("https://vk.com/wall-60817565_1525338")</f>
        <v>https://vk.com/wall-60817565_1525338</v>
      </c>
      <c r="H3526" t="s">
        <v>6061</v>
      </c>
      <c r="I3526" t="s">
        <v>4905</v>
      </c>
      <c r="J3526" s="2" t="str">
        <f>HYPERLINK("http://vk.com/id97431935")</f>
        <v>http://vk.com/id97431935</v>
      </c>
      <c r="K3526">
        <v>819</v>
      </c>
      <c r="L3526" t="s">
        <v>6063</v>
      </c>
      <c r="N3526" t="s">
        <v>25</v>
      </c>
      <c r="O3526" t="s">
        <v>4906</v>
      </c>
      <c r="P3526" s="2" t="str">
        <f>HYPERLINK("http://vk.com/club60817565")</f>
        <v>http://vk.com/club60817565</v>
      </c>
      <c r="Q3526">
        <v>45095</v>
      </c>
      <c r="R3526" t="s">
        <v>6067</v>
      </c>
      <c r="S3526" t="s">
        <v>6073</v>
      </c>
    </row>
    <row r="3527" spans="1:19" ht="14.25" customHeight="1" x14ac:dyDescent="0.3">
      <c r="A3527" t="s">
        <v>1</v>
      </c>
      <c r="B3527" t="s">
        <v>171</v>
      </c>
      <c r="C3527" t="s">
        <v>95</v>
      </c>
      <c r="D3527" t="s">
        <v>4</v>
      </c>
      <c r="E3527" t="s">
        <v>166</v>
      </c>
      <c r="F3527" t="s">
        <v>6056</v>
      </c>
      <c r="G3527" s="2" t="str">
        <f>HYPERLINK("https://vk.com/wall365693201_234")</f>
        <v>https://vk.com/wall365693201_234</v>
      </c>
      <c r="H3527" t="s">
        <v>6061</v>
      </c>
      <c r="I3527" t="s">
        <v>172</v>
      </c>
      <c r="J3527" s="2" t="str">
        <f>HYPERLINK("http://vk.com/id365693201")</f>
        <v>http://vk.com/id365693201</v>
      </c>
      <c r="K3527">
        <v>615</v>
      </c>
      <c r="L3527" t="s">
        <v>6063</v>
      </c>
      <c r="M3527">
        <v>38</v>
      </c>
      <c r="N3527" t="s">
        <v>25</v>
      </c>
      <c r="O3527" t="s">
        <v>172</v>
      </c>
      <c r="P3527" s="2" t="str">
        <f>HYPERLINK("http://vk.com/id365693201")</f>
        <v>http://vk.com/id365693201</v>
      </c>
      <c r="Q3527">
        <v>615</v>
      </c>
      <c r="R3527" t="s">
        <v>6067</v>
      </c>
      <c r="S3527" t="s">
        <v>6073</v>
      </c>
    </row>
    <row r="3528" spans="1:19" ht="14.25" customHeight="1" x14ac:dyDescent="0.3">
      <c r="A3528" t="s">
        <v>1</v>
      </c>
      <c r="B3528" t="s">
        <v>165</v>
      </c>
      <c r="C3528" t="s">
        <v>95</v>
      </c>
      <c r="D3528" t="s">
        <v>4</v>
      </c>
      <c r="E3528" t="s">
        <v>166</v>
      </c>
      <c r="F3528" t="s">
        <v>6056</v>
      </c>
      <c r="G3528" s="2" t="str">
        <f>HYPERLINK("https://vk.com/wall-121597604_274")</f>
        <v>https://vk.com/wall-121597604_274</v>
      </c>
      <c r="H3528" t="s">
        <v>6061</v>
      </c>
      <c r="I3528" t="s">
        <v>167</v>
      </c>
      <c r="J3528" s="2" t="str">
        <f>HYPERLINK("http://vk.com/club121597604")</f>
        <v>http://vk.com/club121597604</v>
      </c>
      <c r="K3528">
        <v>343</v>
      </c>
      <c r="L3528" t="s">
        <v>6065</v>
      </c>
      <c r="N3528" t="s">
        <v>25</v>
      </c>
      <c r="O3528" t="s">
        <v>167</v>
      </c>
      <c r="P3528" s="2" t="str">
        <f>HYPERLINK("http://vk.com/club121597604")</f>
        <v>http://vk.com/club121597604</v>
      </c>
      <c r="Q3528">
        <v>343</v>
      </c>
      <c r="R3528" t="s">
        <v>6067</v>
      </c>
      <c r="S3528" t="s">
        <v>6073</v>
      </c>
    </row>
    <row r="3529" spans="1:19" ht="14.25" customHeight="1" x14ac:dyDescent="0.3">
      <c r="A3529" t="s">
        <v>629</v>
      </c>
      <c r="B3529" t="s">
        <v>887</v>
      </c>
      <c r="C3529" t="s">
        <v>95</v>
      </c>
      <c r="D3529" t="s">
        <v>4</v>
      </c>
      <c r="E3529" t="s">
        <v>646</v>
      </c>
      <c r="F3529" t="s">
        <v>6058</v>
      </c>
      <c r="G3529" s="2" t="str">
        <f>HYPERLINK("https://vk.com/wall26227604_10496")</f>
        <v>https://vk.com/wall26227604_10496</v>
      </c>
      <c r="H3529" t="s">
        <v>6061</v>
      </c>
      <c r="I3529" t="s">
        <v>655</v>
      </c>
      <c r="J3529" s="2" t="str">
        <f>HYPERLINK("http://vk.com/id26227604")</f>
        <v>http://vk.com/id26227604</v>
      </c>
      <c r="K3529">
        <v>4319</v>
      </c>
      <c r="L3529" t="s">
        <v>6063</v>
      </c>
      <c r="M3529">
        <v>35</v>
      </c>
      <c r="N3529" t="s">
        <v>25</v>
      </c>
      <c r="O3529" t="s">
        <v>655</v>
      </c>
      <c r="P3529" s="2" t="str">
        <f>HYPERLINK("http://vk.com/id26227604")</f>
        <v>http://vk.com/id26227604</v>
      </c>
      <c r="Q3529">
        <v>4319</v>
      </c>
      <c r="R3529" t="s">
        <v>6067</v>
      </c>
      <c r="S3529" t="s">
        <v>6073</v>
      </c>
    </row>
    <row r="3530" spans="1:19" ht="14.25" customHeight="1" x14ac:dyDescent="0.3">
      <c r="A3530" t="s">
        <v>629</v>
      </c>
      <c r="B3530" t="s">
        <v>907</v>
      </c>
      <c r="C3530" t="s">
        <v>95</v>
      </c>
      <c r="D3530" t="s">
        <v>4</v>
      </c>
      <c r="E3530" t="s">
        <v>646</v>
      </c>
      <c r="F3530" t="s">
        <v>6056</v>
      </c>
      <c r="G3530" s="2" t="str">
        <f>HYPERLINK("https://vk.com/wall354270426_3142")</f>
        <v>https://vk.com/wall354270426_3142</v>
      </c>
      <c r="H3530" t="s">
        <v>6061</v>
      </c>
      <c r="I3530" t="s">
        <v>655</v>
      </c>
      <c r="J3530" s="2" t="str">
        <f>HYPERLINK("http://vk.com/id354270426")</f>
        <v>http://vk.com/id354270426</v>
      </c>
      <c r="K3530">
        <v>2367</v>
      </c>
      <c r="L3530" t="s">
        <v>6063</v>
      </c>
      <c r="N3530" t="s">
        <v>25</v>
      </c>
      <c r="O3530" t="s">
        <v>655</v>
      </c>
      <c r="P3530" s="2" t="str">
        <f>HYPERLINK("http://vk.com/id354270426")</f>
        <v>http://vk.com/id354270426</v>
      </c>
      <c r="Q3530">
        <v>2367</v>
      </c>
      <c r="R3530" t="s">
        <v>6067</v>
      </c>
      <c r="S3530" t="s">
        <v>6073</v>
      </c>
    </row>
    <row r="3531" spans="1:19" ht="14.25" customHeight="1" x14ac:dyDescent="0.3">
      <c r="A3531" t="s">
        <v>629</v>
      </c>
      <c r="B3531" t="s">
        <v>645</v>
      </c>
      <c r="C3531" t="s">
        <v>95</v>
      </c>
      <c r="D3531" t="s">
        <v>4</v>
      </c>
      <c r="E3531" t="s">
        <v>646</v>
      </c>
      <c r="F3531" t="s">
        <v>6058</v>
      </c>
      <c r="G3531" s="2" t="str">
        <f>HYPERLINK("https://vk.com/wall104014370_2876")</f>
        <v>https://vk.com/wall104014370_2876</v>
      </c>
      <c r="H3531" t="s">
        <v>6061</v>
      </c>
      <c r="I3531" t="s">
        <v>647</v>
      </c>
      <c r="J3531" s="2" t="str">
        <f>HYPERLINK("http://vk.com/id104014370")</f>
        <v>http://vk.com/id104014370</v>
      </c>
      <c r="K3531">
        <v>673</v>
      </c>
      <c r="L3531" t="s">
        <v>6064</v>
      </c>
      <c r="M3531">
        <v>40</v>
      </c>
      <c r="N3531" t="s">
        <v>25</v>
      </c>
      <c r="O3531" t="s">
        <v>647</v>
      </c>
      <c r="P3531" s="2" t="str">
        <f>HYPERLINK("http://vk.com/id104014370")</f>
        <v>http://vk.com/id104014370</v>
      </c>
      <c r="Q3531">
        <v>673</v>
      </c>
      <c r="R3531" t="s">
        <v>6067</v>
      </c>
      <c r="S3531" t="s">
        <v>6073</v>
      </c>
    </row>
    <row r="3532" spans="1:19" ht="14.25" customHeight="1" x14ac:dyDescent="0.3">
      <c r="A3532" t="s">
        <v>1</v>
      </c>
      <c r="B3532" t="s">
        <v>165</v>
      </c>
      <c r="C3532" t="s">
        <v>95</v>
      </c>
      <c r="D3532" t="s">
        <v>4</v>
      </c>
      <c r="E3532" t="s">
        <v>166</v>
      </c>
      <c r="F3532" t="s">
        <v>6056</v>
      </c>
      <c r="G3532" s="2" t="str">
        <f>HYPERLINK("https://vk.com/wall-125826059_7208")</f>
        <v>https://vk.com/wall-125826059_7208</v>
      </c>
      <c r="H3532" t="s">
        <v>6061</v>
      </c>
      <c r="I3532" t="s">
        <v>168</v>
      </c>
      <c r="J3532" s="2" t="str">
        <f>HYPERLINK("http://vk.com/club125826059")</f>
        <v>http://vk.com/club125826059</v>
      </c>
      <c r="K3532">
        <v>2534</v>
      </c>
      <c r="L3532" t="s">
        <v>6065</v>
      </c>
      <c r="N3532" t="s">
        <v>25</v>
      </c>
      <c r="O3532" t="s">
        <v>168</v>
      </c>
      <c r="P3532" s="2" t="str">
        <f>HYPERLINK("http://vk.com/club125826059")</f>
        <v>http://vk.com/club125826059</v>
      </c>
      <c r="Q3532">
        <v>2534</v>
      </c>
      <c r="R3532" t="s">
        <v>6067</v>
      </c>
      <c r="S3532" t="s">
        <v>6073</v>
      </c>
    </row>
    <row r="3533" spans="1:19" ht="14.25" customHeight="1" x14ac:dyDescent="0.3">
      <c r="A3533" t="s">
        <v>4439</v>
      </c>
      <c r="B3533" t="s">
        <v>2302</v>
      </c>
      <c r="C3533" t="s">
        <v>3538</v>
      </c>
      <c r="D3533" t="s">
        <v>4</v>
      </c>
      <c r="E3533" t="s">
        <v>4466</v>
      </c>
      <c r="F3533" t="s">
        <v>6056</v>
      </c>
      <c r="G3533" s="2" t="str">
        <f>HYPERLINK("https://vk.com/wall17635633_8324")</f>
        <v>https://vk.com/wall17635633_8324</v>
      </c>
      <c r="H3533" t="s">
        <v>6061</v>
      </c>
      <c r="I3533" t="s">
        <v>4467</v>
      </c>
      <c r="J3533" s="2" t="str">
        <f>HYPERLINK("http://vk.com/id17635633")</f>
        <v>http://vk.com/id17635633</v>
      </c>
      <c r="K3533">
        <v>1068</v>
      </c>
      <c r="L3533" t="s">
        <v>6063</v>
      </c>
      <c r="N3533" t="s">
        <v>25</v>
      </c>
      <c r="O3533" t="s">
        <v>4467</v>
      </c>
      <c r="P3533" s="2" t="str">
        <f>HYPERLINK("http://vk.com/id17635633")</f>
        <v>http://vk.com/id17635633</v>
      </c>
      <c r="Q3533">
        <v>1068</v>
      </c>
      <c r="R3533" t="s">
        <v>6067</v>
      </c>
      <c r="S3533" t="s">
        <v>6073</v>
      </c>
    </row>
    <row r="3534" spans="1:19" ht="14.25" customHeight="1" x14ac:dyDescent="0.3">
      <c r="A3534" t="s">
        <v>4439</v>
      </c>
      <c r="B3534" t="s">
        <v>4626</v>
      </c>
      <c r="C3534" t="s">
        <v>3538</v>
      </c>
      <c r="D3534" t="s">
        <v>4627</v>
      </c>
      <c r="E3534" t="s">
        <v>4628</v>
      </c>
      <c r="F3534" t="s">
        <v>6059</v>
      </c>
      <c r="G3534" s="2" t="str">
        <f>HYPERLINK("https://vk.com/topic-73782093_30465115?post=2304")</f>
        <v>https://vk.com/topic-73782093_30465115?post=2304</v>
      </c>
      <c r="H3534" t="s">
        <v>6061</v>
      </c>
      <c r="I3534" t="s">
        <v>4629</v>
      </c>
      <c r="J3534" s="2" t="str">
        <f>HYPERLINK("http://vk.com/id13724249")</f>
        <v>http://vk.com/id13724249</v>
      </c>
      <c r="K3534">
        <v>201</v>
      </c>
      <c r="L3534" t="s">
        <v>6063</v>
      </c>
      <c r="M3534">
        <v>27</v>
      </c>
      <c r="N3534" t="s">
        <v>25</v>
      </c>
      <c r="O3534" t="s">
        <v>4630</v>
      </c>
      <c r="P3534" s="2" t="str">
        <f>HYPERLINK("http://vk.com/club73782093")</f>
        <v>http://vk.com/club73782093</v>
      </c>
      <c r="Q3534">
        <v>7996</v>
      </c>
      <c r="R3534" t="s">
        <v>6067</v>
      </c>
      <c r="S3534" t="s">
        <v>6073</v>
      </c>
    </row>
    <row r="3535" spans="1:19" ht="14.25" customHeight="1" x14ac:dyDescent="0.3">
      <c r="A3535" t="s">
        <v>629</v>
      </c>
      <c r="B3535" t="s">
        <v>2100</v>
      </c>
      <c r="C3535" t="s">
        <v>95</v>
      </c>
      <c r="D3535" t="s">
        <v>2101</v>
      </c>
      <c r="E3535" t="s">
        <v>2102</v>
      </c>
      <c r="F3535" t="s">
        <v>6059</v>
      </c>
      <c r="G3535" s="2" t="str">
        <f>HYPERLINK("https://vk.com/wall-2338989_2009287")</f>
        <v>https://vk.com/wall-2338989_2009287</v>
      </c>
      <c r="H3535" t="s">
        <v>6061</v>
      </c>
      <c r="I3535" t="s">
        <v>2103</v>
      </c>
      <c r="J3535" s="2" t="str">
        <f>HYPERLINK("http://vk.com/id88802162")</f>
        <v>http://vk.com/id88802162</v>
      </c>
      <c r="K3535">
        <v>13</v>
      </c>
      <c r="L3535" t="s">
        <v>6063</v>
      </c>
      <c r="N3535" t="s">
        <v>25</v>
      </c>
      <c r="O3535" t="s">
        <v>2104</v>
      </c>
      <c r="P3535" s="2" t="str">
        <f>HYPERLINK("http://vk.com/club2338989")</f>
        <v>http://vk.com/club2338989</v>
      </c>
      <c r="Q3535">
        <v>40448</v>
      </c>
      <c r="R3535" t="s">
        <v>6067</v>
      </c>
      <c r="S3535" t="s">
        <v>6072</v>
      </c>
    </row>
    <row r="3536" spans="1:19" ht="14.25" customHeight="1" x14ac:dyDescent="0.3">
      <c r="A3536" t="s">
        <v>3527</v>
      </c>
      <c r="B3536" t="s">
        <v>1456</v>
      </c>
      <c r="C3536" t="s">
        <v>3538</v>
      </c>
      <c r="D3536" t="s">
        <v>4</v>
      </c>
      <c r="E3536" t="s">
        <v>4268</v>
      </c>
      <c r="F3536" t="s">
        <v>6056</v>
      </c>
      <c r="G3536" s="2" t="str">
        <f>HYPERLINK("https://vk.com/wall-64941509_3057")</f>
        <v>https://vk.com/wall-64941509_3057</v>
      </c>
      <c r="H3536" t="s">
        <v>6061</v>
      </c>
      <c r="I3536" t="s">
        <v>4269</v>
      </c>
      <c r="J3536" s="2" t="str">
        <f>HYPERLINK("http://vk.com/club64941509")</f>
        <v>http://vk.com/club64941509</v>
      </c>
      <c r="K3536">
        <v>7940</v>
      </c>
      <c r="L3536" t="s">
        <v>6065</v>
      </c>
      <c r="N3536" t="s">
        <v>25</v>
      </c>
      <c r="O3536" t="s">
        <v>4269</v>
      </c>
      <c r="P3536" s="2" t="str">
        <f>HYPERLINK("http://vk.com/club64941509")</f>
        <v>http://vk.com/club64941509</v>
      </c>
      <c r="Q3536">
        <v>7940</v>
      </c>
      <c r="R3536" t="s">
        <v>6067</v>
      </c>
      <c r="S3536" t="s">
        <v>6073</v>
      </c>
    </row>
    <row r="3537" spans="1:19" ht="14.25" customHeight="1" x14ac:dyDescent="0.3">
      <c r="A3537" t="s">
        <v>4995</v>
      </c>
      <c r="B3537" t="s">
        <v>5125</v>
      </c>
      <c r="C3537" t="s">
        <v>3538</v>
      </c>
      <c r="D3537" t="s">
        <v>4</v>
      </c>
      <c r="E3537" t="s">
        <v>5126</v>
      </c>
      <c r="F3537" t="s">
        <v>6056</v>
      </c>
      <c r="G3537" s="2" t="str">
        <f>HYPERLINK("https://www.youtube.com/watch?v=kX5zEf6795w")</f>
        <v>https://www.youtube.com/watch?v=kX5zEf6795w</v>
      </c>
      <c r="H3537" t="s">
        <v>6060</v>
      </c>
      <c r="I3537" t="s">
        <v>5127</v>
      </c>
      <c r="J3537" s="2" t="str">
        <f>HYPERLINK("https://www.youtube.com/channel/UCRnvSq9oF1MnG7IqnCqb_WA")</f>
        <v>https://www.youtube.com/channel/UCRnvSq9oF1MnG7IqnCqb_WA</v>
      </c>
      <c r="K3537">
        <v>295</v>
      </c>
      <c r="N3537" t="s">
        <v>425</v>
      </c>
      <c r="O3537" t="s">
        <v>5127</v>
      </c>
      <c r="P3537" s="2" t="str">
        <f>HYPERLINK("https://www.youtube.com/channel/UCRnvSq9oF1MnG7IqnCqb_WA")</f>
        <v>https://www.youtube.com/channel/UCRnvSq9oF1MnG7IqnCqb_WA</v>
      </c>
      <c r="Q3537">
        <v>295</v>
      </c>
      <c r="R3537" t="s">
        <v>6067</v>
      </c>
      <c r="S3537" t="s">
        <v>6073</v>
      </c>
    </row>
    <row r="3538" spans="1:19" ht="14.25" customHeight="1" x14ac:dyDescent="0.3">
      <c r="A3538" t="s">
        <v>4439</v>
      </c>
      <c r="B3538" t="s">
        <v>931</v>
      </c>
      <c r="C3538" t="s">
        <v>3538</v>
      </c>
      <c r="D3538" t="s">
        <v>4</v>
      </c>
      <c r="E3538" t="s">
        <v>4588</v>
      </c>
      <c r="F3538" t="s">
        <v>6056</v>
      </c>
      <c r="G3538" s="2" t="str">
        <f>HYPERLINK("https://www.youtube.com/watch?v=Wg0LLHViteQ")</f>
        <v>https://www.youtube.com/watch?v=Wg0LLHViteQ</v>
      </c>
      <c r="H3538" t="s">
        <v>6062</v>
      </c>
      <c r="I3538" t="s">
        <v>4578</v>
      </c>
      <c r="J3538" s="2" t="str">
        <f>HYPERLINK("https://www.youtube.com/channel/UCODvYIEr9vG0eHqmefrQ5iA")</f>
        <v>https://www.youtube.com/channel/UCODvYIEr9vG0eHqmefrQ5iA</v>
      </c>
      <c r="K3538">
        <v>40123</v>
      </c>
      <c r="N3538" t="s">
        <v>425</v>
      </c>
      <c r="O3538" t="s">
        <v>4578</v>
      </c>
      <c r="P3538" s="2" t="str">
        <f>HYPERLINK("https://www.youtube.com/channel/UCODvYIEr9vG0eHqmefrQ5iA")</f>
        <v>https://www.youtube.com/channel/UCODvYIEr9vG0eHqmefrQ5iA</v>
      </c>
      <c r="Q3538">
        <v>40123</v>
      </c>
      <c r="R3538" t="s">
        <v>6067</v>
      </c>
    </row>
    <row r="3539" spans="1:19" ht="14.25" customHeight="1" x14ac:dyDescent="0.3">
      <c r="A3539" t="s">
        <v>4439</v>
      </c>
      <c r="B3539" t="s">
        <v>3960</v>
      </c>
      <c r="C3539" t="s">
        <v>3538</v>
      </c>
      <c r="D3539" t="s">
        <v>4583</v>
      </c>
      <c r="E3539" t="s">
        <v>4585</v>
      </c>
      <c r="F3539" t="s">
        <v>6059</v>
      </c>
      <c r="G3539" s="2" t="str">
        <f>HYPERLINK("https://www.youtube.com/watch?v=Wg0LLHViteQ&amp;lc=UgwAf2HP_NFS1CSqPQp4AaABAg")</f>
        <v>https://www.youtube.com/watch?v=Wg0LLHViteQ&amp;lc=UgwAf2HP_NFS1CSqPQp4AaABAg</v>
      </c>
      <c r="H3539" t="s">
        <v>6062</v>
      </c>
      <c r="I3539" t="s">
        <v>4578</v>
      </c>
      <c r="J3539" s="2" t="str">
        <f>HYPERLINK("https://www.youtube.com/channel/UCODvYIEr9vG0eHqmefrQ5iA")</f>
        <v>https://www.youtube.com/channel/UCODvYIEr9vG0eHqmefrQ5iA</v>
      </c>
      <c r="K3539">
        <v>40123</v>
      </c>
      <c r="N3539" t="s">
        <v>425</v>
      </c>
      <c r="O3539" t="s">
        <v>4578</v>
      </c>
      <c r="P3539" s="2" t="str">
        <f>HYPERLINK("https://www.youtube.com/channel/UCODvYIEr9vG0eHqmefrQ5iA")</f>
        <v>https://www.youtube.com/channel/UCODvYIEr9vG0eHqmefrQ5iA</v>
      </c>
      <c r="Q3539">
        <v>40123</v>
      </c>
      <c r="R3539" t="s">
        <v>6067</v>
      </c>
    </row>
    <row r="3540" spans="1:19" ht="14.25" customHeight="1" x14ac:dyDescent="0.3">
      <c r="A3540" t="s">
        <v>2225</v>
      </c>
      <c r="B3540" t="s">
        <v>711</v>
      </c>
      <c r="C3540" t="s">
        <v>95</v>
      </c>
      <c r="D3540" t="s">
        <v>4</v>
      </c>
      <c r="E3540" t="s">
        <v>2342</v>
      </c>
      <c r="F3540" t="s">
        <v>6056</v>
      </c>
      <c r="G3540" s="2" t="str">
        <f>HYPERLINK("https://www.youtube.com/watch?v=d8S4f8MFLdI")</f>
        <v>https://www.youtube.com/watch?v=d8S4f8MFLdI</v>
      </c>
      <c r="H3540" t="s">
        <v>6062</v>
      </c>
      <c r="I3540" t="s">
        <v>2343</v>
      </c>
      <c r="J3540" s="2" t="str">
        <f>HYPERLINK("https://www.youtube.com/channel/UCzOYxwwIFJ3uJtGvg0uzolw")</f>
        <v>https://www.youtube.com/channel/UCzOYxwwIFJ3uJtGvg0uzolw</v>
      </c>
      <c r="K3540">
        <v>111</v>
      </c>
      <c r="N3540" t="s">
        <v>425</v>
      </c>
      <c r="O3540" t="s">
        <v>2343</v>
      </c>
      <c r="P3540" s="2" t="str">
        <f>HYPERLINK("https://www.youtube.com/channel/UCzOYxwwIFJ3uJtGvg0uzolw")</f>
        <v>https://www.youtube.com/channel/UCzOYxwwIFJ3uJtGvg0uzolw</v>
      </c>
      <c r="Q3540">
        <v>111</v>
      </c>
      <c r="R3540" t="s">
        <v>6067</v>
      </c>
      <c r="S3540" t="s">
        <v>6073</v>
      </c>
    </row>
    <row r="3541" spans="1:19" ht="14.25" customHeight="1" x14ac:dyDescent="0.3">
      <c r="A3541" t="s">
        <v>4995</v>
      </c>
      <c r="B3541" t="s">
        <v>3537</v>
      </c>
      <c r="C3541" t="s">
        <v>3538</v>
      </c>
      <c r="D3541" t="s">
        <v>4</v>
      </c>
      <c r="E3541" t="s">
        <v>5004</v>
      </c>
      <c r="F3541" t="s">
        <v>6056</v>
      </c>
      <c r="G3541" s="2" t="str">
        <f>HYPERLINK("https://www.youtube.com/watch?v=mtonqu0XbGU")</f>
        <v>https://www.youtube.com/watch?v=mtonqu0XbGU</v>
      </c>
      <c r="H3541" t="s">
        <v>6062</v>
      </c>
      <c r="I3541" t="s">
        <v>5005</v>
      </c>
      <c r="J3541" s="2" t="str">
        <f>HYPERLINK("https://www.youtube.com/channel/UCChVwHxD2Pxm7KyiUj1OhBw")</f>
        <v>https://www.youtube.com/channel/UCChVwHxD2Pxm7KyiUj1OhBw</v>
      </c>
      <c r="K3541">
        <v>89</v>
      </c>
      <c r="L3541" t="s">
        <v>6063</v>
      </c>
      <c r="N3541" t="s">
        <v>425</v>
      </c>
      <c r="O3541" t="s">
        <v>5005</v>
      </c>
      <c r="P3541" s="2" t="str">
        <f>HYPERLINK("https://www.youtube.com/channel/UCChVwHxD2Pxm7KyiUj1OhBw")</f>
        <v>https://www.youtube.com/channel/UCChVwHxD2Pxm7KyiUj1OhBw</v>
      </c>
      <c r="Q3541">
        <v>89</v>
      </c>
      <c r="R3541" t="s">
        <v>6067</v>
      </c>
    </row>
    <row r="3542" spans="1:19" ht="14.25" customHeight="1" x14ac:dyDescent="0.3">
      <c r="A3542" t="s">
        <v>2225</v>
      </c>
      <c r="B3542" t="s">
        <v>2998</v>
      </c>
      <c r="C3542" t="s">
        <v>95</v>
      </c>
      <c r="D3542" t="s">
        <v>4</v>
      </c>
      <c r="E3542" t="s">
        <v>3002</v>
      </c>
      <c r="F3542" t="s">
        <v>6056</v>
      </c>
      <c r="G3542" s="2" t="str">
        <f>HYPERLINK("https://www.youtube.com/watch?v=0du4P7w9VC4")</f>
        <v>https://www.youtube.com/watch?v=0du4P7w9VC4</v>
      </c>
      <c r="H3542" t="s">
        <v>6062</v>
      </c>
      <c r="I3542" t="s">
        <v>3003</v>
      </c>
      <c r="J3542" s="2" t="str">
        <f>HYPERLINK("https://www.youtube.com/channel/UCb-zk1XGbF_tfvLX-MqSHdw")</f>
        <v>https://www.youtube.com/channel/UCb-zk1XGbF_tfvLX-MqSHdw</v>
      </c>
      <c r="K3542">
        <v>343</v>
      </c>
      <c r="N3542" t="s">
        <v>425</v>
      </c>
      <c r="O3542" t="s">
        <v>3003</v>
      </c>
      <c r="P3542" s="2" t="str">
        <f>HYPERLINK("https://www.youtube.com/channel/UCb-zk1XGbF_tfvLX-MqSHdw")</f>
        <v>https://www.youtube.com/channel/UCb-zk1XGbF_tfvLX-MqSHdw</v>
      </c>
      <c r="Q3542">
        <v>343</v>
      </c>
      <c r="R3542" t="s">
        <v>6067</v>
      </c>
    </row>
    <row r="3543" spans="1:19" ht="14.25" customHeight="1" x14ac:dyDescent="0.3">
      <c r="A3543" t="s">
        <v>3527</v>
      </c>
      <c r="B3543" t="s">
        <v>4071</v>
      </c>
      <c r="C3543" t="s">
        <v>95</v>
      </c>
      <c r="D3543" t="s">
        <v>4</v>
      </c>
      <c r="E3543" t="s">
        <v>4073</v>
      </c>
      <c r="F3543" t="s">
        <v>6056</v>
      </c>
      <c r="G3543" s="2" t="str">
        <f>HYPERLINK("https://www.youtube.com/watch?v=iZjewuhp_ak")</f>
        <v>https://www.youtube.com/watch?v=iZjewuhp_ak</v>
      </c>
      <c r="H3543" t="s">
        <v>6062</v>
      </c>
      <c r="I3543" t="s">
        <v>4074</v>
      </c>
      <c r="J3543" s="2" t="str">
        <f>HYPERLINK("https://www.youtube.com/channel/UCunAbp63PEw_oTSTch1Hs8Q")</f>
        <v>https://www.youtube.com/channel/UCunAbp63PEw_oTSTch1Hs8Q</v>
      </c>
      <c r="K3543">
        <v>197</v>
      </c>
      <c r="N3543" t="s">
        <v>425</v>
      </c>
      <c r="O3543" t="s">
        <v>4074</v>
      </c>
      <c r="P3543" s="2" t="str">
        <f>HYPERLINK("https://www.youtube.com/channel/UCunAbp63PEw_oTSTch1Hs8Q")</f>
        <v>https://www.youtube.com/channel/UCunAbp63PEw_oTSTch1Hs8Q</v>
      </c>
      <c r="Q3543">
        <v>197</v>
      </c>
      <c r="R3543" t="s">
        <v>6067</v>
      </c>
      <c r="S3543" t="s">
        <v>6072</v>
      </c>
    </row>
    <row r="3544" spans="1:19" ht="14.25" customHeight="1" x14ac:dyDescent="0.3">
      <c r="A3544" t="s">
        <v>4995</v>
      </c>
      <c r="B3544" t="s">
        <v>5185</v>
      </c>
      <c r="C3544" t="s">
        <v>3538</v>
      </c>
      <c r="D3544" t="s">
        <v>4</v>
      </c>
      <c r="E3544" t="s">
        <v>4073</v>
      </c>
      <c r="F3544" t="s">
        <v>6056</v>
      </c>
      <c r="G3544" s="2" t="str">
        <f>HYPERLINK("https://www.youtube.com/watch?v=KvPBAqbxIYs")</f>
        <v>https://www.youtube.com/watch?v=KvPBAqbxIYs</v>
      </c>
      <c r="H3544" t="s">
        <v>6062</v>
      </c>
      <c r="I3544" t="s">
        <v>4074</v>
      </c>
      <c r="J3544" s="2" t="str">
        <f>HYPERLINK("https://www.youtube.com/channel/UCunAbp63PEw_oTSTch1Hs8Q")</f>
        <v>https://www.youtube.com/channel/UCunAbp63PEw_oTSTch1Hs8Q</v>
      </c>
      <c r="K3544">
        <v>197</v>
      </c>
      <c r="N3544" t="s">
        <v>425</v>
      </c>
      <c r="O3544" t="s">
        <v>4074</v>
      </c>
      <c r="P3544" s="2" t="str">
        <f>HYPERLINK("https://www.youtube.com/channel/UCunAbp63PEw_oTSTch1Hs8Q")</f>
        <v>https://www.youtube.com/channel/UCunAbp63PEw_oTSTch1Hs8Q</v>
      </c>
      <c r="Q3544">
        <v>197</v>
      </c>
      <c r="R3544" t="s">
        <v>6067</v>
      </c>
      <c r="S3544" t="s">
        <v>6072</v>
      </c>
    </row>
    <row r="3545" spans="1:19" ht="14.25" customHeight="1" x14ac:dyDescent="0.3">
      <c r="A3545" t="s">
        <v>4439</v>
      </c>
      <c r="B3545" t="s">
        <v>3835</v>
      </c>
      <c r="C3545" t="s">
        <v>3538</v>
      </c>
      <c r="D3545" t="s">
        <v>4</v>
      </c>
      <c r="E3545" t="s">
        <v>4546</v>
      </c>
      <c r="F3545" t="s">
        <v>6056</v>
      </c>
      <c r="G3545" s="2" t="str">
        <f>HYPERLINK("https://www.youtube.com/watch?v=Cszp3PmuqI4")</f>
        <v>https://www.youtube.com/watch?v=Cszp3PmuqI4</v>
      </c>
      <c r="H3545" t="s">
        <v>6062</v>
      </c>
      <c r="I3545" t="s">
        <v>1947</v>
      </c>
      <c r="J3545" s="2" t="str">
        <f>HYPERLINK("https://www.youtube.com/channel/UCdLa97WrKW2kmoGjiSgy5Qg")</f>
        <v>https://www.youtube.com/channel/UCdLa97WrKW2kmoGjiSgy5Qg</v>
      </c>
      <c r="K3545">
        <v>4529</v>
      </c>
      <c r="N3545" t="s">
        <v>425</v>
      </c>
      <c r="O3545" t="s">
        <v>1947</v>
      </c>
      <c r="P3545" s="2" t="str">
        <f>HYPERLINK("https://www.youtube.com/channel/UCdLa97WrKW2kmoGjiSgy5Qg")</f>
        <v>https://www.youtube.com/channel/UCdLa97WrKW2kmoGjiSgy5Qg</v>
      </c>
      <c r="Q3545">
        <v>4529</v>
      </c>
      <c r="R3545" t="s">
        <v>6067</v>
      </c>
      <c r="S3545" t="s">
        <v>6073</v>
      </c>
    </row>
    <row r="3546" spans="1:19" ht="14.25" customHeight="1" x14ac:dyDescent="0.3">
      <c r="A3546" t="s">
        <v>3527</v>
      </c>
      <c r="B3546" t="s">
        <v>4024</v>
      </c>
      <c r="C3546" t="s">
        <v>95</v>
      </c>
      <c r="D3546" t="s">
        <v>4025</v>
      </c>
      <c r="E3546" t="s">
        <v>4026</v>
      </c>
      <c r="F3546" t="s">
        <v>6059</v>
      </c>
      <c r="G3546" s="2" t="str">
        <f>HYPERLINK("https://www.youtube.com/watch?v=TMyK9vacHdY&amp;lc=UgwHsFfAhfaRgoPe-KZ4AaABAg")</f>
        <v>https://www.youtube.com/watch?v=TMyK9vacHdY&amp;lc=UgwHsFfAhfaRgoPe-KZ4AaABAg</v>
      </c>
      <c r="H3546" t="s">
        <v>6062</v>
      </c>
      <c r="I3546" t="s">
        <v>4027</v>
      </c>
      <c r="J3546" s="2" t="str">
        <f>HYPERLINK("https://www.youtube.com/channel/UCNjzk88qQWQ5jeUEclMkhbg")</f>
        <v>https://www.youtube.com/channel/UCNjzk88qQWQ5jeUEclMkhbg</v>
      </c>
      <c r="K3546">
        <v>0</v>
      </c>
      <c r="L3546" t="s">
        <v>6063</v>
      </c>
      <c r="N3546" t="s">
        <v>425</v>
      </c>
      <c r="O3546" t="s">
        <v>4028</v>
      </c>
      <c r="P3546" s="2" t="str">
        <f>HYPERLINK("https://www.youtube.com/channel/UCkSEiqZZeAGyADNJwLd-Wjg")</f>
        <v>https://www.youtube.com/channel/UCkSEiqZZeAGyADNJwLd-Wjg</v>
      </c>
      <c r="Q3546">
        <v>24467</v>
      </c>
      <c r="R3546" t="s">
        <v>6067</v>
      </c>
      <c r="S3546" t="s">
        <v>6073</v>
      </c>
    </row>
    <row r="3547" spans="1:19" ht="14.25" customHeight="1" x14ac:dyDescent="0.3">
      <c r="A3547" t="s">
        <v>4439</v>
      </c>
      <c r="B3547" t="s">
        <v>3960</v>
      </c>
      <c r="C3547" t="s">
        <v>3538</v>
      </c>
      <c r="D3547" t="s">
        <v>4583</v>
      </c>
      <c r="E3547" t="s">
        <v>4584</v>
      </c>
      <c r="F3547" t="s">
        <v>6059</v>
      </c>
      <c r="G3547" s="2" t="str">
        <f>HYPERLINK("https://www.youtube.com/watch?v=Wg0LLHViteQ&amp;lc=UgwDHoVEO8QtL2sofx14AaABAg.8eVamtMw2wE8eVavoloJTp")</f>
        <v>https://www.youtube.com/watch?v=Wg0LLHViteQ&amp;lc=UgwDHoVEO8QtL2sofx14AaABAg.8eVamtMw2wE8eVavoloJTp</v>
      </c>
      <c r="H3547" t="s">
        <v>6061</v>
      </c>
      <c r="I3547" t="s">
        <v>4578</v>
      </c>
      <c r="J3547" s="2" t="str">
        <f>HYPERLINK("https://www.youtube.com/channel/UCODvYIEr9vG0eHqmefrQ5iA")</f>
        <v>https://www.youtube.com/channel/UCODvYIEr9vG0eHqmefrQ5iA</v>
      </c>
      <c r="K3547">
        <v>40123</v>
      </c>
      <c r="N3547" t="s">
        <v>425</v>
      </c>
      <c r="O3547" t="s">
        <v>4578</v>
      </c>
      <c r="P3547" s="2" t="str">
        <f>HYPERLINK("https://www.youtube.com/channel/UCODvYIEr9vG0eHqmefrQ5iA")</f>
        <v>https://www.youtube.com/channel/UCODvYIEr9vG0eHqmefrQ5iA</v>
      </c>
      <c r="Q3547">
        <v>40123</v>
      </c>
      <c r="R3547" t="s">
        <v>6067</v>
      </c>
    </row>
    <row r="3548" spans="1:19" ht="14.25" customHeight="1" x14ac:dyDescent="0.3">
      <c r="A3548" t="s">
        <v>4439</v>
      </c>
      <c r="B3548" t="s">
        <v>3046</v>
      </c>
      <c r="C3548" t="s">
        <v>3538</v>
      </c>
      <c r="D3548" t="s">
        <v>4583</v>
      </c>
      <c r="E3548" t="s">
        <v>4586</v>
      </c>
      <c r="F3548" t="s">
        <v>6059</v>
      </c>
      <c r="G3548" s="2" t="str">
        <f>HYPERLINK("https://www.youtube.com/watch?v=Wg0LLHViteQ&amp;lc=UgwDHoVEO8QtL2sofx14AaABAg")</f>
        <v>https://www.youtube.com/watch?v=Wg0LLHViteQ&amp;lc=UgwDHoVEO8QtL2sofx14AaABAg</v>
      </c>
      <c r="H3548" t="s">
        <v>6061</v>
      </c>
      <c r="I3548" t="s">
        <v>4587</v>
      </c>
      <c r="J3548" s="2" t="str">
        <f>HYPERLINK("https://www.youtube.com/channel/UCFzsQOLTlH1kqaYywRIspqA")</f>
        <v>https://www.youtube.com/channel/UCFzsQOLTlH1kqaYywRIspqA</v>
      </c>
      <c r="K3548">
        <v>68</v>
      </c>
      <c r="N3548" t="s">
        <v>425</v>
      </c>
      <c r="O3548" t="s">
        <v>4578</v>
      </c>
      <c r="P3548" s="2" t="str">
        <f>HYPERLINK("https://www.youtube.com/channel/UCODvYIEr9vG0eHqmefrQ5iA")</f>
        <v>https://www.youtube.com/channel/UCODvYIEr9vG0eHqmefrQ5iA</v>
      </c>
      <c r="Q3548">
        <v>40123</v>
      </c>
      <c r="R3548" t="s">
        <v>6067</v>
      </c>
    </row>
    <row r="3549" spans="1:19" ht="14.25" customHeight="1" x14ac:dyDescent="0.3">
      <c r="A3549" t="s">
        <v>5409</v>
      </c>
      <c r="B3549" t="s">
        <v>2129</v>
      </c>
      <c r="C3549" t="s">
        <v>3538</v>
      </c>
      <c r="D3549" t="s">
        <v>4</v>
      </c>
      <c r="E3549" t="s">
        <v>6006</v>
      </c>
      <c r="F3549" t="s">
        <v>6056</v>
      </c>
      <c r="G3549" s="2" t="str">
        <f>HYPERLINK("https://www.youtube.com/watch?v=3_m_cTjeXeE")</f>
        <v>https://www.youtube.com/watch?v=3_m_cTjeXeE</v>
      </c>
      <c r="H3549" t="s">
        <v>6061</v>
      </c>
      <c r="I3549" t="s">
        <v>5005</v>
      </c>
      <c r="J3549" s="2" t="str">
        <f>HYPERLINK("https://www.youtube.com/channel/UCChVwHxD2Pxm7KyiUj1OhBw")</f>
        <v>https://www.youtube.com/channel/UCChVwHxD2Pxm7KyiUj1OhBw</v>
      </c>
      <c r="K3549">
        <v>89</v>
      </c>
      <c r="L3549" t="s">
        <v>6063</v>
      </c>
      <c r="N3549" t="s">
        <v>425</v>
      </c>
      <c r="O3549" t="s">
        <v>5005</v>
      </c>
      <c r="P3549" s="2" t="str">
        <f>HYPERLINK("https://www.youtube.com/channel/UCChVwHxD2Pxm7KyiUj1OhBw")</f>
        <v>https://www.youtube.com/channel/UCChVwHxD2Pxm7KyiUj1OhBw</v>
      </c>
      <c r="Q3549">
        <v>89</v>
      </c>
      <c r="R3549" t="s">
        <v>6067</v>
      </c>
    </row>
    <row r="3550" spans="1:19" ht="14.25" customHeight="1" x14ac:dyDescent="0.3">
      <c r="A3550" t="s">
        <v>2225</v>
      </c>
      <c r="B3550" t="s">
        <v>1172</v>
      </c>
      <c r="C3550" t="s">
        <v>95</v>
      </c>
      <c r="D3550" t="s">
        <v>4</v>
      </c>
      <c r="E3550" t="s">
        <v>3178</v>
      </c>
      <c r="F3550" t="s">
        <v>6056</v>
      </c>
      <c r="G3550" s="2" t="str">
        <f>HYPERLINK("https://www.youtube.com/watch?v=GhkrlMzYNVE")</f>
        <v>https://www.youtube.com/watch?v=GhkrlMzYNVE</v>
      </c>
      <c r="H3550" t="s">
        <v>6061</v>
      </c>
      <c r="I3550" t="s">
        <v>424</v>
      </c>
      <c r="J3550" s="2" t="str">
        <f t="shared" ref="J3550:J3556" si="87">HYPERLINK("https://www.youtube.com/channel/UC-UYoJdfHiMXzO_FHfQaABw")</f>
        <v>https://www.youtube.com/channel/UC-UYoJdfHiMXzO_FHfQaABw</v>
      </c>
      <c r="K3550">
        <v>43266</v>
      </c>
      <c r="N3550" t="s">
        <v>425</v>
      </c>
      <c r="O3550" t="s">
        <v>424</v>
      </c>
      <c r="P3550" s="2" t="str">
        <f t="shared" ref="P3550:P3556" si="88">HYPERLINK("https://www.youtube.com/channel/UC-UYoJdfHiMXzO_FHfQaABw")</f>
        <v>https://www.youtube.com/channel/UC-UYoJdfHiMXzO_FHfQaABw</v>
      </c>
      <c r="Q3550">
        <v>43266</v>
      </c>
      <c r="R3550" t="s">
        <v>6067</v>
      </c>
      <c r="S3550" t="s">
        <v>6073</v>
      </c>
    </row>
    <row r="3551" spans="1:19" ht="14.25" customHeight="1" x14ac:dyDescent="0.3">
      <c r="A3551" t="s">
        <v>2225</v>
      </c>
      <c r="B3551" t="s">
        <v>3252</v>
      </c>
      <c r="C3551" t="s">
        <v>95</v>
      </c>
      <c r="D3551" t="s">
        <v>4</v>
      </c>
      <c r="E3551" t="s">
        <v>3253</v>
      </c>
      <c r="F3551" t="s">
        <v>6056</v>
      </c>
      <c r="G3551" s="2" t="str">
        <f>HYPERLINK("https://www.youtube.com/watch?v=AN-IwWqivig")</f>
        <v>https://www.youtube.com/watch?v=AN-IwWqivig</v>
      </c>
      <c r="H3551" t="s">
        <v>6061</v>
      </c>
      <c r="I3551" t="s">
        <v>424</v>
      </c>
      <c r="J3551" s="2" t="str">
        <f t="shared" si="87"/>
        <v>https://www.youtube.com/channel/UC-UYoJdfHiMXzO_FHfQaABw</v>
      </c>
      <c r="K3551">
        <v>43266</v>
      </c>
      <c r="N3551" t="s">
        <v>425</v>
      </c>
      <c r="O3551" t="s">
        <v>424</v>
      </c>
      <c r="P3551" s="2" t="str">
        <f t="shared" si="88"/>
        <v>https://www.youtube.com/channel/UC-UYoJdfHiMXzO_FHfQaABw</v>
      </c>
      <c r="Q3551">
        <v>43266</v>
      </c>
      <c r="R3551" t="s">
        <v>6067</v>
      </c>
      <c r="S3551" t="s">
        <v>6073</v>
      </c>
    </row>
    <row r="3552" spans="1:19" ht="14.25" customHeight="1" x14ac:dyDescent="0.3">
      <c r="A3552" t="s">
        <v>629</v>
      </c>
      <c r="B3552" t="s">
        <v>1315</v>
      </c>
      <c r="C3552" t="s">
        <v>95</v>
      </c>
      <c r="D3552" t="s">
        <v>4</v>
      </c>
      <c r="E3552" t="s">
        <v>1318</v>
      </c>
      <c r="F3552" t="s">
        <v>6056</v>
      </c>
      <c r="G3552" s="2" t="str">
        <f>HYPERLINK("https://www.youtube.com/watch?v=YjlB4a0niIg")</f>
        <v>https://www.youtube.com/watch?v=YjlB4a0niIg</v>
      </c>
      <c r="H3552" t="s">
        <v>6061</v>
      </c>
      <c r="I3552" t="s">
        <v>424</v>
      </c>
      <c r="J3552" s="2" t="str">
        <f t="shared" si="87"/>
        <v>https://www.youtube.com/channel/UC-UYoJdfHiMXzO_FHfQaABw</v>
      </c>
      <c r="K3552">
        <v>43266</v>
      </c>
      <c r="N3552" t="s">
        <v>425</v>
      </c>
      <c r="O3552" t="s">
        <v>424</v>
      </c>
      <c r="P3552" s="2" t="str">
        <f t="shared" si="88"/>
        <v>https://www.youtube.com/channel/UC-UYoJdfHiMXzO_FHfQaABw</v>
      </c>
      <c r="Q3552">
        <v>43266</v>
      </c>
      <c r="R3552" t="s">
        <v>6067</v>
      </c>
      <c r="S3552" t="s">
        <v>6073</v>
      </c>
    </row>
    <row r="3553" spans="1:19" ht="14.25" customHeight="1" x14ac:dyDescent="0.3">
      <c r="A3553" t="s">
        <v>629</v>
      </c>
      <c r="B3553" t="s">
        <v>1313</v>
      </c>
      <c r="C3553" t="s">
        <v>95</v>
      </c>
      <c r="D3553" t="s">
        <v>4</v>
      </c>
      <c r="E3553" t="s">
        <v>1314</v>
      </c>
      <c r="F3553" t="s">
        <v>6056</v>
      </c>
      <c r="G3553" s="2" t="str">
        <f>HYPERLINK("https://www.youtube.com/watch?v=FTYzXcfqMA0")</f>
        <v>https://www.youtube.com/watch?v=FTYzXcfqMA0</v>
      </c>
      <c r="H3553" t="s">
        <v>6061</v>
      </c>
      <c r="I3553" t="s">
        <v>424</v>
      </c>
      <c r="J3553" s="2" t="str">
        <f t="shared" si="87"/>
        <v>https://www.youtube.com/channel/UC-UYoJdfHiMXzO_FHfQaABw</v>
      </c>
      <c r="K3553">
        <v>43266</v>
      </c>
      <c r="N3553" t="s">
        <v>425</v>
      </c>
      <c r="O3553" t="s">
        <v>424</v>
      </c>
      <c r="P3553" s="2" t="str">
        <f t="shared" si="88"/>
        <v>https://www.youtube.com/channel/UC-UYoJdfHiMXzO_FHfQaABw</v>
      </c>
      <c r="Q3553">
        <v>43266</v>
      </c>
      <c r="R3553" t="s">
        <v>6067</v>
      </c>
      <c r="S3553" t="s">
        <v>6073</v>
      </c>
    </row>
    <row r="3554" spans="1:19" ht="14.25" customHeight="1" x14ac:dyDescent="0.3">
      <c r="A3554" t="s">
        <v>1</v>
      </c>
      <c r="B3554" t="s">
        <v>422</v>
      </c>
      <c r="C3554" t="s">
        <v>95</v>
      </c>
      <c r="D3554" t="s">
        <v>4</v>
      </c>
      <c r="E3554" t="s">
        <v>423</v>
      </c>
      <c r="F3554" t="s">
        <v>6056</v>
      </c>
      <c r="G3554" s="2" t="str">
        <f>HYPERLINK("https://www.youtube.com/watch?v=Z7PnfaS6tQA")</f>
        <v>https://www.youtube.com/watch?v=Z7PnfaS6tQA</v>
      </c>
      <c r="H3554" t="s">
        <v>6061</v>
      </c>
      <c r="I3554" t="s">
        <v>424</v>
      </c>
      <c r="J3554" s="2" t="str">
        <f t="shared" si="87"/>
        <v>https://www.youtube.com/channel/UC-UYoJdfHiMXzO_FHfQaABw</v>
      </c>
      <c r="K3554">
        <v>43266</v>
      </c>
      <c r="N3554" t="s">
        <v>425</v>
      </c>
      <c r="O3554" t="s">
        <v>424</v>
      </c>
      <c r="P3554" s="2" t="str">
        <f t="shared" si="88"/>
        <v>https://www.youtube.com/channel/UC-UYoJdfHiMXzO_FHfQaABw</v>
      </c>
      <c r="Q3554">
        <v>43266</v>
      </c>
      <c r="R3554" t="s">
        <v>6067</v>
      </c>
      <c r="S3554" t="s">
        <v>6073</v>
      </c>
    </row>
    <row r="3555" spans="1:19" ht="14.25" customHeight="1" x14ac:dyDescent="0.3">
      <c r="A3555" t="s">
        <v>3527</v>
      </c>
      <c r="B3555" t="s">
        <v>3993</v>
      </c>
      <c r="C3555" t="s">
        <v>95</v>
      </c>
      <c r="D3555" t="s">
        <v>4</v>
      </c>
      <c r="E3555" t="s">
        <v>3996</v>
      </c>
      <c r="F3555" t="s">
        <v>6056</v>
      </c>
      <c r="G3555" s="2" t="str">
        <f>HYPERLINK("https://www.youtube.com/watch?v=dQXWhmUfkgE")</f>
        <v>https://www.youtube.com/watch?v=dQXWhmUfkgE</v>
      </c>
      <c r="H3555" t="s">
        <v>6061</v>
      </c>
      <c r="I3555" t="s">
        <v>424</v>
      </c>
      <c r="J3555" s="2" t="str">
        <f t="shared" si="87"/>
        <v>https://www.youtube.com/channel/UC-UYoJdfHiMXzO_FHfQaABw</v>
      </c>
      <c r="K3555">
        <v>43266</v>
      </c>
      <c r="N3555" t="s">
        <v>425</v>
      </c>
      <c r="O3555" t="s">
        <v>424</v>
      </c>
      <c r="P3555" s="2" t="str">
        <f t="shared" si="88"/>
        <v>https://www.youtube.com/channel/UC-UYoJdfHiMXzO_FHfQaABw</v>
      </c>
      <c r="Q3555">
        <v>43266</v>
      </c>
      <c r="R3555" t="s">
        <v>6067</v>
      </c>
      <c r="S3555" t="s">
        <v>6073</v>
      </c>
    </row>
    <row r="3556" spans="1:19" ht="14.25" customHeight="1" x14ac:dyDescent="0.3">
      <c r="A3556" t="s">
        <v>5409</v>
      </c>
      <c r="B3556" t="s">
        <v>3252</v>
      </c>
      <c r="C3556" t="s">
        <v>3538</v>
      </c>
      <c r="D3556" t="s">
        <v>4</v>
      </c>
      <c r="E3556" t="s">
        <v>5724</v>
      </c>
      <c r="F3556" t="s">
        <v>6056</v>
      </c>
      <c r="G3556" s="2" t="str">
        <f>HYPERLINK("https://www.youtube.com/watch?v=2PmB-tRq3gs")</f>
        <v>https://www.youtube.com/watch?v=2PmB-tRq3gs</v>
      </c>
      <c r="H3556" t="s">
        <v>6061</v>
      </c>
      <c r="I3556" t="s">
        <v>424</v>
      </c>
      <c r="J3556" s="2" t="str">
        <f t="shared" si="87"/>
        <v>https://www.youtube.com/channel/UC-UYoJdfHiMXzO_FHfQaABw</v>
      </c>
      <c r="K3556">
        <v>43266</v>
      </c>
      <c r="N3556" t="s">
        <v>425</v>
      </c>
      <c r="O3556" t="s">
        <v>424</v>
      </c>
      <c r="P3556" s="2" t="str">
        <f t="shared" si="88"/>
        <v>https://www.youtube.com/channel/UC-UYoJdfHiMXzO_FHfQaABw</v>
      </c>
      <c r="Q3556">
        <v>43266</v>
      </c>
      <c r="R3556" t="s">
        <v>6067</v>
      </c>
      <c r="S3556" t="s">
        <v>6073</v>
      </c>
    </row>
    <row r="3557" spans="1:19" ht="14.25" customHeight="1" x14ac:dyDescent="0.3">
      <c r="A3557" t="s">
        <v>629</v>
      </c>
      <c r="B3557" t="s">
        <v>1107</v>
      </c>
      <c r="C3557" t="s">
        <v>95</v>
      </c>
      <c r="D3557" t="s">
        <v>4</v>
      </c>
      <c r="E3557" t="s">
        <v>1108</v>
      </c>
      <c r="F3557" t="s">
        <v>6056</v>
      </c>
      <c r="G3557" s="2" t="str">
        <f>HYPERLINK("https://www.youtube.com/watch?v=Txe9xWdxDlo")</f>
        <v>https://www.youtube.com/watch?v=Txe9xWdxDlo</v>
      </c>
      <c r="H3557" t="s">
        <v>6061</v>
      </c>
      <c r="I3557" t="s">
        <v>1109</v>
      </c>
      <c r="J3557" s="2" t="str">
        <f>HYPERLINK("https://www.youtube.com/channel/UC00_LcMjTKAvTlDLNSpfZlA")</f>
        <v>https://www.youtube.com/channel/UC00_LcMjTKAvTlDLNSpfZlA</v>
      </c>
      <c r="K3557">
        <v>21715</v>
      </c>
      <c r="N3557" t="s">
        <v>425</v>
      </c>
      <c r="O3557" t="s">
        <v>1109</v>
      </c>
      <c r="P3557" s="2" t="str">
        <f>HYPERLINK("https://www.youtube.com/channel/UC00_LcMjTKAvTlDLNSpfZlA")</f>
        <v>https://www.youtube.com/channel/UC00_LcMjTKAvTlDLNSpfZlA</v>
      </c>
      <c r="Q3557">
        <v>21715</v>
      </c>
      <c r="R3557" t="s">
        <v>6067</v>
      </c>
      <c r="S3557" t="s">
        <v>6073</v>
      </c>
    </row>
    <row r="3558" spans="1:19" ht="14.25" customHeight="1" x14ac:dyDescent="0.3">
      <c r="A3558" t="s">
        <v>5409</v>
      </c>
      <c r="B3558" t="s">
        <v>3132</v>
      </c>
      <c r="C3558" t="s">
        <v>3538</v>
      </c>
      <c r="D3558" t="s">
        <v>4</v>
      </c>
      <c r="E3558" t="s">
        <v>5642</v>
      </c>
      <c r="F3558" t="s">
        <v>6056</v>
      </c>
      <c r="G3558" s="2" t="str">
        <f>HYPERLINK("https://www.youtube.com/watch?v=OIDjupallYA")</f>
        <v>https://www.youtube.com/watch?v=OIDjupallYA</v>
      </c>
      <c r="H3558" t="s">
        <v>6061</v>
      </c>
      <c r="I3558" t="s">
        <v>1109</v>
      </c>
      <c r="J3558" s="2" t="str">
        <f>HYPERLINK("https://www.youtube.com/channel/UC00_LcMjTKAvTlDLNSpfZlA")</f>
        <v>https://www.youtube.com/channel/UC00_LcMjTKAvTlDLNSpfZlA</v>
      </c>
      <c r="K3558">
        <v>21715</v>
      </c>
      <c r="N3558" t="s">
        <v>425</v>
      </c>
      <c r="O3558" t="s">
        <v>1109</v>
      </c>
      <c r="P3558" s="2" t="str">
        <f>HYPERLINK("https://www.youtube.com/channel/UC00_LcMjTKAvTlDLNSpfZlA")</f>
        <v>https://www.youtube.com/channel/UC00_LcMjTKAvTlDLNSpfZlA</v>
      </c>
      <c r="Q3558">
        <v>21715</v>
      </c>
      <c r="R3558" t="s">
        <v>6067</v>
      </c>
      <c r="S3558" t="s">
        <v>6073</v>
      </c>
    </row>
    <row r="3559" spans="1:19" ht="14.25" customHeight="1" x14ac:dyDescent="0.3">
      <c r="A3559" t="s">
        <v>3527</v>
      </c>
      <c r="B3559" t="s">
        <v>723</v>
      </c>
      <c r="C3559" t="s">
        <v>95</v>
      </c>
      <c r="D3559" t="s">
        <v>4</v>
      </c>
      <c r="E3559" t="s">
        <v>3663</v>
      </c>
      <c r="F3559" t="s">
        <v>6056</v>
      </c>
      <c r="G3559" s="2" t="str">
        <f>HYPERLINK("https://www.youtube.com/watch?v=tG9R9ApstZ0")</f>
        <v>https://www.youtube.com/watch?v=tG9R9ApstZ0</v>
      </c>
      <c r="H3559" t="s">
        <v>6061</v>
      </c>
      <c r="I3559" t="s">
        <v>1109</v>
      </c>
      <c r="J3559" s="2" t="str">
        <f>HYPERLINK("https://www.youtube.com/channel/UC00_LcMjTKAvTlDLNSpfZlA")</f>
        <v>https://www.youtube.com/channel/UC00_LcMjTKAvTlDLNSpfZlA</v>
      </c>
      <c r="K3559">
        <v>21715</v>
      </c>
      <c r="N3559" t="s">
        <v>425</v>
      </c>
      <c r="O3559" t="s">
        <v>1109</v>
      </c>
      <c r="P3559" s="2" t="str">
        <f>HYPERLINK("https://www.youtube.com/channel/UC00_LcMjTKAvTlDLNSpfZlA")</f>
        <v>https://www.youtube.com/channel/UC00_LcMjTKAvTlDLNSpfZlA</v>
      </c>
      <c r="Q3559">
        <v>21715</v>
      </c>
      <c r="R3559" t="s">
        <v>6067</v>
      </c>
      <c r="S3559" t="s">
        <v>6073</v>
      </c>
    </row>
    <row r="3560" spans="1:19" ht="14.25" customHeight="1" x14ac:dyDescent="0.3">
      <c r="A3560" t="s">
        <v>2225</v>
      </c>
      <c r="B3560" t="s">
        <v>2937</v>
      </c>
      <c r="C3560" t="s">
        <v>95</v>
      </c>
      <c r="D3560" t="s">
        <v>4</v>
      </c>
      <c r="E3560" t="s">
        <v>2938</v>
      </c>
      <c r="F3560" t="s">
        <v>6056</v>
      </c>
      <c r="G3560" s="2" t="str">
        <f>HYPERLINK("https://www.youtube.com/watch?v=QJxAoqMVaWI")</f>
        <v>https://www.youtube.com/watch?v=QJxAoqMVaWI</v>
      </c>
      <c r="H3560" t="s">
        <v>6061</v>
      </c>
      <c r="I3560" t="s">
        <v>1109</v>
      </c>
      <c r="J3560" s="2" t="str">
        <f>HYPERLINK("https://www.youtube.com/channel/UC00_LcMjTKAvTlDLNSpfZlA")</f>
        <v>https://www.youtube.com/channel/UC00_LcMjTKAvTlDLNSpfZlA</v>
      </c>
      <c r="K3560">
        <v>21715</v>
      </c>
      <c r="N3560" t="s">
        <v>425</v>
      </c>
      <c r="O3560" t="s">
        <v>1109</v>
      </c>
      <c r="P3560" s="2" t="str">
        <f>HYPERLINK("https://www.youtube.com/channel/UC00_LcMjTKAvTlDLNSpfZlA")</f>
        <v>https://www.youtube.com/channel/UC00_LcMjTKAvTlDLNSpfZlA</v>
      </c>
      <c r="Q3560">
        <v>21715</v>
      </c>
      <c r="R3560" t="s">
        <v>6067</v>
      </c>
      <c r="S3560" t="s">
        <v>6073</v>
      </c>
    </row>
    <row r="3561" spans="1:19" ht="14.25" customHeight="1" x14ac:dyDescent="0.3">
      <c r="A3561" t="s">
        <v>629</v>
      </c>
      <c r="B3561" t="s">
        <v>1943</v>
      </c>
      <c r="C3561" t="s">
        <v>95</v>
      </c>
      <c r="D3561" t="s">
        <v>4</v>
      </c>
      <c r="E3561" t="s">
        <v>1949</v>
      </c>
      <c r="F3561" t="s">
        <v>6056</v>
      </c>
      <c r="G3561" s="2" t="str">
        <f>HYPERLINK("https://www.youtube.com/watch?v=qbfIO9TH12A")</f>
        <v>https://www.youtube.com/watch?v=qbfIO9TH12A</v>
      </c>
      <c r="H3561" t="s">
        <v>6061</v>
      </c>
      <c r="I3561" t="s">
        <v>1947</v>
      </c>
      <c r="J3561" s="2" t="str">
        <f>HYPERLINK("https://www.youtube.com/channel/UCdLa97WrKW2kmoGjiSgy5Qg")</f>
        <v>https://www.youtube.com/channel/UCdLa97WrKW2kmoGjiSgy5Qg</v>
      </c>
      <c r="K3561">
        <v>4529</v>
      </c>
      <c r="N3561" t="s">
        <v>425</v>
      </c>
      <c r="O3561" t="s">
        <v>1947</v>
      </c>
      <c r="P3561" s="2" t="str">
        <f>HYPERLINK("https://www.youtube.com/channel/UCdLa97WrKW2kmoGjiSgy5Qg")</f>
        <v>https://www.youtube.com/channel/UCdLa97WrKW2kmoGjiSgy5Qg</v>
      </c>
      <c r="Q3561">
        <v>4529</v>
      </c>
      <c r="R3561" t="s">
        <v>6067</v>
      </c>
      <c r="S3561" t="s">
        <v>6073</v>
      </c>
    </row>
    <row r="3562" spans="1:19" ht="14.25" customHeight="1" x14ac:dyDescent="0.3">
      <c r="A3562" t="s">
        <v>629</v>
      </c>
      <c r="B3562" t="s">
        <v>1098</v>
      </c>
      <c r="C3562" t="s">
        <v>95</v>
      </c>
      <c r="D3562" t="s">
        <v>4</v>
      </c>
      <c r="E3562" t="s">
        <v>1102</v>
      </c>
      <c r="F3562" t="s">
        <v>6056</v>
      </c>
      <c r="G3562" s="2" t="str">
        <f>HYPERLINK("https://www.youtube.com/watch?v=RZ3mKuOFugw")</f>
        <v>https://www.youtube.com/watch?v=RZ3mKuOFugw</v>
      </c>
      <c r="H3562" t="s">
        <v>6061</v>
      </c>
      <c r="I3562" t="s">
        <v>972</v>
      </c>
      <c r="J3562" s="2" t="str">
        <f>HYPERLINK("https://www.youtube.com/channel/UCzZBveT-IpJfp-s18cDDKuQ")</f>
        <v>https://www.youtube.com/channel/UCzZBveT-IpJfp-s18cDDKuQ</v>
      </c>
      <c r="K3562">
        <v>2032</v>
      </c>
      <c r="L3562" t="s">
        <v>6063</v>
      </c>
      <c r="N3562" t="s">
        <v>425</v>
      </c>
      <c r="O3562" t="s">
        <v>972</v>
      </c>
      <c r="P3562" s="2" t="str">
        <f>HYPERLINK("https://www.youtube.com/channel/UCzZBveT-IpJfp-s18cDDKuQ")</f>
        <v>https://www.youtube.com/channel/UCzZBveT-IpJfp-s18cDDKuQ</v>
      </c>
      <c r="Q3562">
        <v>2032</v>
      </c>
      <c r="R3562" t="s">
        <v>6067</v>
      </c>
      <c r="S3562" t="s">
        <v>6073</v>
      </c>
    </row>
  </sheetData>
  <sortState ref="A2:S3562">
    <sortCondition ref="N2:N3562"/>
    <sortCondition ref="H2:H3562"/>
    <sortCondition ref="I2:I3562"/>
    <sortCondition ref="E2:E3562"/>
  </sortState>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Kateryna Kozlianska</cp:lastModifiedBy>
  <dcterms:modified xsi:type="dcterms:W3CDTF">2019-07-07T14:19:27Z</dcterms:modified>
</cp:coreProperties>
</file>