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A4260508-1630-4958-BD20-50285350A650}" xr6:coauthVersionLast="47" xr6:coauthVersionMax="47" xr10:uidLastSave="{00000000-0000-0000-0000-000000000000}"/>
  <bookViews>
    <workbookView xWindow="-120" yWindow="-120" windowWidth="29040" windowHeight="15840" activeTab="1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Grafico 2" sheetId="10" r:id="rId4"/>
    <sheet name="Produtos Tabela" sheetId="6" r:id="rId5"/>
    <sheet name="Lista de Indicadores (Tabela)" sheetId="9" state="hidden" r:id="rId6"/>
    <sheet name="Meu Gráfico" sheetId="5" state="hidden" r:id="rId7"/>
    <sheet name="Tabela de Produtos" sheetId="3" state="hidden" r:id="rId8"/>
    <sheet name="P-Gráfico" sheetId="4" state="hidden" r:id="rId9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G5" i="9"/>
  <c r="F5" i="9"/>
  <c r="D5" i="9"/>
  <c r="C5" i="9"/>
  <c r="B5" i="9"/>
  <c r="H4" i="8"/>
  <c r="D4" i="8"/>
  <c r="G4" i="8"/>
  <c r="F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8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<sst xmlns="http://schemas.openxmlformats.org/spreadsheetml/2006/main" count="389" uniqueCount="61">
  <si>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</si>
  <si>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</si>
  <si>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</si>
  <si>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</si>
  <si>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</si>
  <si>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</si>
  <si>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</si>
  <si>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</si>
  <si>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</si>
  <si>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</si>
  <si>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</si>
  <si>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</si>
  <si>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</si>
  <si>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</si>
  <si>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</si>
  <si>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</si>
  <si>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</si>
  <si>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</si>
  <si>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</si>
  <si>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</si>
  <si>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</si>
  <si>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</si>
  <si>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</si>
  <si>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</si>
  <si>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</si>
  <si>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</si>
  <si>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</si>
  <si>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</si>
  <si>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</si>
  <si>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</si>
  <si>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</si>
  <si>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</si>
  <si>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</si>
  <si>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</si>
  <si>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</si>
  <si>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</si>
  <si>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</si>
  <si>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</si>
  <si>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</si>
  <si>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</si>
  <si>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</si>
  <si>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</si>
  <si>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</si>
  <si>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</si>
  <si>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</si>
  <si>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</si>
  <si>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</si>
  <si>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</si>
  <si>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</si>
  <si>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</si>
  <si>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</si>
  <si>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</si>
  <si>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</si>
  <si>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</si>
  <si>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</si>
  <si>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</si>
  <si>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</si>
  <si>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</si>
  <si>
    <t>Todos os Produtos</t>
  </si>
  <si>
    <t>Média de Qtd em Estoque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</si>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</sst>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  <xf numFmtId="0" fontId="10" fillId="0" borderId="23" applyNumberFormat="0" applyFill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5" xfId="2" applyNumberFormat="1" applyFill="1" applyBorder="1" applyAlignment="1">
      <alignment horizontal="center" vertical="center" wrapText="1"/>
    </xf>
    <xf numFmtId="0" fontId="7" fillId="2" borderId="13" xfId="2" applyNumberForma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9" fillId="0" borderId="0" xfId="0" applyFont="1"/>
    <xf numFmtId="0" fontId="0" fillId="0" borderId="19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0" fillId="0" borderId="1" xfId="4" applyBorder="1"/>
    <xf numFmtId="0" fontId="0" fillId="0" borderId="1" xfId="0" pivotButton="1" applyBorder="1"/>
    <xf numFmtId="0" fontId="0" fillId="0" borderId="1" xfId="0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5">
    <cellStyle name="Cabeçalho Meteora" xfId="3" xr:uid="{5AB88DA2-1741-4E2D-B0E8-5223CA164138}"/>
    <cellStyle name="Normal" xfId="0" builtinId="0"/>
    <cellStyle name="Porcentagem" xfId="1" builtinId="5"/>
    <cellStyle name="Título 1" xfId="4" builtinId="16"/>
    <cellStyle name="Titulo Meteora" xfId="2" xr:uid="{BEE78EB7-AC5E-4F74-92AD-4A7505DF0739}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CCFF"/>
      <color rgb="FFFF66FF"/>
      <color rgb="FFCC99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[Meteora_Ecommerce.xlsx]Grafico 2!Tabela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Valor Total por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731334408019993E-17"/>
              <c:y val="8.4432709881858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0925337632079971E-17"/>
              <c:y val="5.15977671500248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8.2087356829584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185067526415994E-16"/>
              <c:y val="7.97420037773110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185067526415994E-16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79352580927387E-2"/>
          <c:y val="0.13572447309427596"/>
          <c:w val="0.93876509186351709"/>
          <c:h val="0.765822776628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chemeClr val="tx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20-4C8B-816A-75199B34485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20-4C8B-816A-75199B34485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B20-4C8B-816A-75199B34485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20-4C8B-816A-75199B344853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B20-4C8B-816A-75199B34485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20-4C8B-816A-75199B344853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chemeClr val="tx2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B20-4C8B-816A-75199B344853}"/>
              </c:ext>
            </c:extLst>
          </c:dPt>
          <c:dLbls>
            <c:dLbl>
              <c:idx val="0"/>
              <c:layout>
                <c:manualLayout>
                  <c:x val="-1.2731334408019993E-17"/>
                  <c:y val="8.4432709881858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20-4C8B-816A-75199B344853}"/>
                </c:ext>
              </c:extLst>
            </c:dLbl>
            <c:dLbl>
              <c:idx val="1"/>
              <c:layout>
                <c:manualLayout>
                  <c:x val="0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20-4C8B-816A-75199B344853}"/>
                </c:ext>
              </c:extLst>
            </c:dLbl>
            <c:dLbl>
              <c:idx val="2"/>
              <c:layout>
                <c:manualLayout>
                  <c:x val="-5.0925337632079971E-17"/>
                  <c:y val="5.15977671500248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20-4C8B-816A-75199B344853}"/>
                </c:ext>
              </c:extLst>
            </c:dLbl>
            <c:dLbl>
              <c:idx val="3"/>
              <c:layout>
                <c:manualLayout>
                  <c:x val="0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20-4C8B-816A-75199B344853}"/>
                </c:ext>
              </c:extLst>
            </c:dLbl>
            <c:dLbl>
              <c:idx val="4"/>
              <c:layout>
                <c:manualLayout>
                  <c:x val="-1.0185067526415994E-16"/>
                  <c:y val="8.20873568295849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20-4C8B-816A-75199B344853}"/>
                </c:ext>
              </c:extLst>
            </c:dLbl>
            <c:dLbl>
              <c:idx val="5"/>
              <c:layout>
                <c:manualLayout>
                  <c:x val="1.0185067526415994E-16"/>
                  <c:y val="7.9742003777311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20-4C8B-816A-75199B344853}"/>
                </c:ext>
              </c:extLst>
            </c:dLbl>
            <c:dLbl>
              <c:idx val="6"/>
              <c:layout>
                <c:manualLayout>
                  <c:x val="1.0185067526415994E-16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20-4C8B-816A-75199B344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2'!$A$4:$A$10</c:f>
              <c:strCache>
                <c:ptCount val="7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P</c:v>
                </c:pt>
                <c:pt idx="4">
                  <c:v>M</c:v>
                </c:pt>
                <c:pt idx="5">
                  <c:v>G</c:v>
                </c:pt>
                <c:pt idx="6">
                  <c:v>Único</c:v>
                </c:pt>
              </c:strCache>
            </c:strRef>
          </c:cat>
          <c:val>
            <c:numRef>
              <c:f>'Grafico 2'!$B$4:$B$10</c:f>
              <c:numCache>
                <c:formatCode>General</c:formatCode>
                <c:ptCount val="7"/>
                <c:pt idx="0">
                  <c:v>1249.5</c:v>
                </c:pt>
                <c:pt idx="1">
                  <c:v>1014.9</c:v>
                </c:pt>
                <c:pt idx="2">
                  <c:v>259.89999999999998</c:v>
                </c:pt>
                <c:pt idx="3">
                  <c:v>3591.7000000000003</c:v>
                </c:pt>
                <c:pt idx="4">
                  <c:v>3748.1000000000004</c:v>
                </c:pt>
                <c:pt idx="5">
                  <c:v>3108.1000000000004</c:v>
                </c:pt>
                <c:pt idx="6">
                  <c:v>3236.3999999999996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C8B-816A-75199B344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2713727"/>
        <c:axId val="552710847"/>
      </c:barChart>
      <c:catAx>
        <c:axId val="5527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10847"/>
        <c:crosses val="autoZero"/>
        <c:auto val="1"/>
        <c:lblAlgn val="ctr"/>
        <c:lblOffset val="100"/>
        <c:noMultiLvlLbl val="0"/>
      </c:catAx>
      <c:valAx>
        <c:axId val="552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4761</xdr:rowOff>
    </xdr:from>
    <xdr:to>
      <xdr:col>19</xdr:col>
      <xdr:colOff>1</xdr:colOff>
      <xdr:row>30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89738-BE93-899E-5281-6C1FA57FB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91.736610416665" createdVersion="8" refreshedVersion="8" minRefreshableVersion="3" recordCount="39" xr:uid="{4F4DBFB4-2E88-45E8-9620-DF7BF668EE40}">
  <cacheSource type="worksheet">
    <worksheetSource name="TB_Produtos"/>
  </cacheSource>
  <cacheFields count="10">
    <cacheField name="Produtos" numFmtId="164">
      <sharedItems/>
    </cacheField>
    <cacheField name="Tamanho" numFmtId="0">
      <sharedItems containsMixedTypes="1" containsNumber="1" containsInteger="1" minValue="36" maxValue="38" count="7">
        <s v="P"/>
        <s v="M"/>
        <s v="G"/>
        <s v="Único"/>
        <n v="36"/>
        <n v="37"/>
        <n v="38"/>
      </sharedItems>
    </cacheField>
    <cacheField name="Categoria" numFmtId="164">
      <sharedItems/>
    </cacheField>
    <cacheField name="Preço Unitário" numFmtId="164">
      <sharedItems containsSemiMixedTypes="0" containsString="0" containsNumber="1" minValue="25.9" maxValue="399.9"/>
    </cacheField>
    <cacheField name="Valor do Descoto" numFmtId="164">
      <sharedItems containsSemiMixedTypes="0" containsString="0" containsNumber="1" minValue="2.59" maxValue="39.99"/>
    </cacheField>
    <cacheField name="Valor p/uni já c/ des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249.5"/>
    </cacheField>
    <cacheField name="Valor do Descoto total" numFmtId="164">
      <sharedItems containsSemiMixedTypes="0" containsString="0" containsNumber="1" minValue="0" maxValue="124.95"/>
    </cacheField>
    <cacheField name="Valor Total c/ desconto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amiseta Lisa "/>
    <x v="0"/>
    <s v="Vestuário"/>
    <n v="25.9"/>
    <n v="2.59"/>
    <n v="23.31"/>
    <n v="12"/>
    <n v="310.79999999999995"/>
    <n v="31.08"/>
    <n v="279.71999999999997"/>
  </r>
  <r>
    <s v="Camiseta Lisa "/>
    <x v="1"/>
    <s v="Vestuário"/>
    <n v="29.9"/>
    <n v="2.99"/>
    <n v="26.909999999999997"/>
    <n v="10"/>
    <n v="299"/>
    <n v="29.900000000000002"/>
    <n v="269.10000000000002"/>
  </r>
  <r>
    <s v="Camiseta Lisa"/>
    <x v="2"/>
    <s v="Vestuário"/>
    <n v="32.9"/>
    <n v="3.29"/>
    <n v="29.61"/>
    <n v="6"/>
    <n v="197.39999999999998"/>
    <n v="19.739999999999998"/>
    <n v="177.65999999999997"/>
  </r>
  <r>
    <s v="Camiseta Estampada"/>
    <x v="0"/>
    <s v="Vestuário"/>
    <n v="39.9"/>
    <n v="3.99"/>
    <n v="35.909999999999997"/>
    <n v="12"/>
    <n v="478.79999999999995"/>
    <n v="47.879999999999995"/>
    <n v="430.91999999999996"/>
  </r>
  <r>
    <s v="Camiseta Estampada"/>
    <x v="1"/>
    <s v="Vestuário"/>
    <n v="39.9"/>
    <n v="3.99"/>
    <n v="35.909999999999997"/>
    <n v="10"/>
    <n v="399"/>
    <n v="39.900000000000006"/>
    <n v="359.1"/>
  </r>
  <r>
    <s v="Boné"/>
    <x v="3"/>
    <s v="Acessórios"/>
    <n v="39.9"/>
    <n v="3.99"/>
    <n v="35.909999999999997"/>
    <n v="11"/>
    <n v="438.9"/>
    <n v="43.89"/>
    <n v="395.01"/>
  </r>
  <r>
    <s v="Camiseta Estampada"/>
    <x v="2"/>
    <s v="Vestuário"/>
    <n v="42.5"/>
    <n v="4.25"/>
    <n v="38.25"/>
    <n v="6"/>
    <n v="255"/>
    <n v="25.5"/>
    <n v="229.5"/>
  </r>
  <r>
    <s v="Calça legging"/>
    <x v="0"/>
    <s v="Vestuário"/>
    <n v="44.9"/>
    <n v="4.49"/>
    <n v="40.409999999999997"/>
    <n v="5"/>
    <n v="224.5"/>
    <n v="22.450000000000003"/>
    <n v="202.05"/>
  </r>
  <r>
    <s v="Calça legging"/>
    <x v="1"/>
    <s v="Vestuário"/>
    <n v="46.9"/>
    <n v="4.6900000000000004"/>
    <n v="42.21"/>
    <n v="3"/>
    <n v="140.69999999999999"/>
    <n v="14.07"/>
    <n v="126.63"/>
  </r>
  <r>
    <s v="Calça legging"/>
    <x v="2"/>
    <s v="Vestuário"/>
    <n v="48.9"/>
    <n v="4.8900000000000006"/>
    <n v="44.01"/>
    <n v="2"/>
    <n v="97.8"/>
    <n v="9.7800000000000011"/>
    <n v="88.02"/>
  </r>
  <r>
    <s v="Cinto"/>
    <x v="3"/>
    <s v="Acessórios"/>
    <n v="49.9"/>
    <n v="4.99"/>
    <n v="44.91"/>
    <n v="21"/>
    <n v="1047.8999999999999"/>
    <n v="104.78999999999999"/>
    <n v="943.1099999999999"/>
  </r>
  <r>
    <s v="Bermuda"/>
    <x v="0"/>
    <s v="Vestuário"/>
    <n v="65.900000000000006"/>
    <n v="6.5900000000000007"/>
    <n v="59.31"/>
    <n v="12"/>
    <n v="790.80000000000007"/>
    <n v="79.080000000000013"/>
    <n v="711.72"/>
  </r>
  <r>
    <s v="Bermuda"/>
    <x v="1"/>
    <s v="Vestuário"/>
    <n v="69.900000000000006"/>
    <n v="6.9900000000000011"/>
    <n v="62.910000000000004"/>
    <n v="15"/>
    <n v="1048.5"/>
    <n v="104.85000000000001"/>
    <n v="943.65"/>
  </r>
  <r>
    <s v="Bermuda"/>
    <x v="2"/>
    <s v="Vestuário"/>
    <n v="70.900000000000006"/>
    <n v="7.0900000000000007"/>
    <n v="63.81"/>
    <n v="13"/>
    <n v="921.7"/>
    <n v="92.170000000000016"/>
    <n v="829.53"/>
  </r>
  <r>
    <s v="Calça jeans"/>
    <x v="0"/>
    <s v="Vestuário"/>
    <n v="85.9"/>
    <n v="8.5900000000000016"/>
    <n v="77.31"/>
    <n v="8"/>
    <n v="687.2"/>
    <n v="68.720000000000013"/>
    <n v="618.48"/>
  </r>
  <r>
    <s v="Calça jeans"/>
    <x v="1"/>
    <s v="Vestuário"/>
    <n v="89.9"/>
    <n v="8.99"/>
    <n v="80.910000000000011"/>
    <n v="5"/>
    <n v="449.5"/>
    <n v="44.95"/>
    <n v="404.55"/>
  </r>
  <r>
    <s v="Vestido curto"/>
    <x v="0"/>
    <s v="Vestuário"/>
    <n v="89.9"/>
    <n v="8.99"/>
    <n v="80.910000000000011"/>
    <n v="3"/>
    <n v="269.70000000000005"/>
    <n v="26.970000000000006"/>
    <n v="242.73000000000005"/>
  </r>
  <r>
    <s v="Vestido curto"/>
    <x v="1"/>
    <s v="Vestuário"/>
    <n v="91.4"/>
    <n v="9.14"/>
    <n v="82.26"/>
    <n v="0"/>
    <n v="0"/>
    <n v="0"/>
    <n v="0"/>
  </r>
  <r>
    <s v="Calça jeans"/>
    <x v="2"/>
    <s v="Vestuário"/>
    <n v="92.9"/>
    <n v="9.2900000000000009"/>
    <n v="83.61"/>
    <n v="6"/>
    <n v="557.40000000000009"/>
    <n v="55.740000000000009"/>
    <n v="501.66000000000008"/>
  </r>
  <r>
    <s v="Vestido curto"/>
    <x v="2"/>
    <s v="Vestuário"/>
    <n v="93.5"/>
    <n v="9.35"/>
    <n v="84.15"/>
    <n v="2"/>
    <n v="187"/>
    <n v="18.7"/>
    <n v="168.3"/>
  </r>
  <r>
    <s v="Vestido longo"/>
    <x v="0"/>
    <s v="Vestuário"/>
    <n v="140"/>
    <n v="14"/>
    <n v="126"/>
    <n v="2"/>
    <n v="280"/>
    <n v="28"/>
    <n v="252"/>
  </r>
  <r>
    <s v="Vestido longo"/>
    <x v="1"/>
    <s v="Vestuário"/>
    <n v="142.9"/>
    <n v="14.290000000000001"/>
    <n v="128.61000000000001"/>
    <n v="2"/>
    <n v="285.8"/>
    <n v="28.580000000000002"/>
    <n v="257.22000000000003"/>
  </r>
  <r>
    <s v="Bolsa coringa"/>
    <x v="3"/>
    <s v="Acessórios"/>
    <n v="145"/>
    <n v="14.5"/>
    <n v="130.5"/>
    <n v="2"/>
    <n v="290"/>
    <n v="29"/>
    <n v="261"/>
  </r>
  <r>
    <s v="Vestido longo"/>
    <x v="2"/>
    <s v="Vestuário"/>
    <n v="146"/>
    <n v="14.600000000000001"/>
    <n v="131.4"/>
    <n v="2"/>
    <n v="292"/>
    <n v="29.200000000000003"/>
    <n v="262.8"/>
  </r>
  <r>
    <s v="Tênis Nika"/>
    <x v="4"/>
    <s v="Calçado"/>
    <n v="199.9"/>
    <n v="19.990000000000002"/>
    <n v="179.91"/>
    <n v="0"/>
    <n v="0"/>
    <n v="0"/>
    <n v="0"/>
  </r>
  <r>
    <s v="Jaqueta jeans"/>
    <x v="0"/>
    <s v="Vestuário"/>
    <n v="249.9"/>
    <n v="24.990000000000002"/>
    <n v="224.91"/>
    <n v="1"/>
    <n v="249.9"/>
    <n v="24.990000000000002"/>
    <n v="224.91"/>
  </r>
  <r>
    <s v="Tênis Nika"/>
    <x v="5"/>
    <s v="Calçado"/>
    <n v="249.9"/>
    <n v="24.990000000000002"/>
    <n v="224.91"/>
    <n v="1"/>
    <n v="249.9"/>
    <n v="24.990000000000002"/>
    <n v="224.91"/>
  </r>
  <r>
    <s v="Tênis Atitas"/>
    <x v="4"/>
    <s v="Calçado"/>
    <n v="249.9"/>
    <n v="24.990000000000002"/>
    <n v="224.91"/>
    <n v="5"/>
    <n v="1249.5"/>
    <n v="124.95"/>
    <n v="1124.55"/>
  </r>
  <r>
    <s v="Tênis Atitas"/>
    <x v="5"/>
    <s v="Calçado"/>
    <n v="255"/>
    <n v="25.5"/>
    <n v="229.5"/>
    <n v="3"/>
    <n v="765"/>
    <n v="76.5"/>
    <n v="688.5"/>
  </r>
  <r>
    <s v="Jaqueta jeans"/>
    <x v="1"/>
    <s v="Vestuário"/>
    <n v="259.89999999999998"/>
    <n v="25.99"/>
    <n v="233.90999999999997"/>
    <n v="2"/>
    <n v="519.79999999999995"/>
    <n v="51.98"/>
    <n v="467.81999999999994"/>
  </r>
  <r>
    <s v="Tênis Nika"/>
    <x v="6"/>
    <s v="Calçado"/>
    <n v="259.89999999999998"/>
    <n v="25.99"/>
    <n v="233.90999999999997"/>
    <n v="0"/>
    <n v="0"/>
    <n v="0"/>
    <n v="0"/>
  </r>
  <r>
    <s v="Tênis Atitas"/>
    <x v="6"/>
    <s v="Calçado"/>
    <n v="259.89999999999998"/>
    <n v="25.99"/>
    <n v="233.90999999999997"/>
    <n v="1"/>
    <n v="259.89999999999998"/>
    <n v="25.99"/>
    <n v="233.90999999999997"/>
  </r>
  <r>
    <s v="Bolsa de couro"/>
    <x v="3"/>
    <s v="Acessórios"/>
    <n v="259.89999999999998"/>
    <n v="25.99"/>
    <n v="233.90999999999997"/>
    <n v="1"/>
    <n v="259.89999999999998"/>
    <n v="25.99"/>
    <n v="233.90999999999997"/>
  </r>
  <r>
    <s v="Jaqueta jeans"/>
    <x v="2"/>
    <s v="Vestuário"/>
    <n v="299.89999999999998"/>
    <n v="29.99"/>
    <n v="269.90999999999997"/>
    <n v="1"/>
    <n v="299.89999999999998"/>
    <n v="29.99"/>
    <n v="269.90999999999997"/>
  </r>
  <r>
    <s v="Jaqueta couro"/>
    <x v="2"/>
    <s v="Vestuário"/>
    <n v="299.89999999999998"/>
    <n v="29.99"/>
    <n v="269.90999999999997"/>
    <n v="1"/>
    <n v="299.89999999999998"/>
    <n v="29.99"/>
    <n v="269.90999999999997"/>
  </r>
  <r>
    <s v="Jaqueta couro"/>
    <x v="0"/>
    <s v="Vestuário"/>
    <n v="300"/>
    <n v="30"/>
    <n v="270"/>
    <n v="1"/>
    <n v="300"/>
    <n v="30"/>
    <n v="270"/>
  </r>
  <r>
    <s v="Jaqueta couro"/>
    <x v="1"/>
    <s v="Vestuário"/>
    <n v="302.89999999999998"/>
    <n v="30.29"/>
    <n v="272.60999999999996"/>
    <n v="2"/>
    <n v="605.79999999999995"/>
    <n v="60.58"/>
    <n v="545.21999999999991"/>
  </r>
  <r>
    <s v="Óculos quadrado"/>
    <x v="3"/>
    <s v="Acessórios"/>
    <n v="349.9"/>
    <n v="34.99"/>
    <n v="314.90999999999997"/>
    <n v="0"/>
    <n v="0"/>
    <n v="0"/>
    <n v="0"/>
  </r>
  <r>
    <s v="Óculos redondo"/>
    <x v="3"/>
    <s v="Acessórios"/>
    <n v="399.9"/>
    <n v="39.99"/>
    <n v="359.90999999999997"/>
    <n v="3"/>
    <n v="1199.6999999999998"/>
    <n v="119.96999999999998"/>
    <n v="1079.72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B716C-6A29-4F60-B615-34E8E01FD770}" name="Tabela dinâmica15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9">
  <location ref="A3:B1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6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Valor Total" fld="7" baseField="0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outline="0" fieldPosition="0">
        <references count="1">
          <reference field="1" count="0"/>
        </references>
      </pivotArea>
    </format>
    <format dxfId="45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B_Produtos" displayName="TB_Produtos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opLeftCell="C1" zoomScale="130" zoomScaleNormal="13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7"/>
    </row>
    <row r="2" spans="1:12" ht="1.5" customHeight="1" x14ac:dyDescent="0.3">
      <c r="A2" s="68"/>
      <c r="B2" s="69"/>
      <c r="C2" s="69"/>
      <c r="D2" s="69"/>
      <c r="E2" s="69"/>
      <c r="F2" s="69"/>
      <c r="G2" s="69"/>
      <c r="H2" s="69"/>
      <c r="I2" s="69"/>
      <c r="J2" s="70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71"/>
      <c r="B43" s="72"/>
      <c r="C43" s="72"/>
      <c r="D43" s="72"/>
      <c r="E43" s="72"/>
      <c r="F43" s="72"/>
      <c r="G43" s="72"/>
      <c r="H43" s="72"/>
      <c r="I43" s="72"/>
      <c r="J43" s="73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H8"/>
  <sheetViews>
    <sheetView tabSelected="1" workbookViewId="0">
      <selection activeCell="B4" sqref="B4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1:8" ht="20.25" thickBot="1" x14ac:dyDescent="0.35">
      <c r="A1" s="48"/>
      <c r="E1" s="62" t="s">
        <v>53</v>
      </c>
    </row>
    <row r="2" spans="1:8" s="54" customFormat="1" ht="29.25" customHeight="1" thickBot="1" x14ac:dyDescent="0.45">
      <c r="B2" s="77" t="s">
        <v>58</v>
      </c>
      <c r="C2" s="78"/>
      <c r="D2" s="79"/>
      <c r="F2" s="74" t="s">
        <v>39</v>
      </c>
      <c r="G2" s="75"/>
      <c r="H2" s="76"/>
    </row>
    <row r="3" spans="1:8" s="49" customFormat="1" ht="52.5" customHeight="1" x14ac:dyDescent="0.25">
      <c r="B3" s="51" t="s">
        <v>54</v>
      </c>
      <c r="C3" s="52" t="s">
        <v>56</v>
      </c>
      <c r="D3" s="52" t="s">
        <v>59</v>
      </c>
      <c r="E3" s="53"/>
      <c r="F3" s="51" t="s">
        <v>54</v>
      </c>
      <c r="G3" s="52" t="s">
        <v>56</v>
      </c>
      <c r="H3" s="52" t="s">
        <v>59</v>
      </c>
    </row>
    <row r="4" spans="1:8" s="50" customFormat="1" ht="52.5" customHeight="1" thickBot="1" x14ac:dyDescent="0.3">
      <c r="B4" s="58">
        <f>COUNTIF(Produtos!G4:G42,"&gt;0")</f>
        <v>35</v>
      </c>
      <c r="C4" s="59">
        <f>SUM(Produtos!G4:G42)</f>
        <v>192</v>
      </c>
      <c r="D4" s="60">
        <f>AVERAGE(Int_Quantidade)</f>
        <v>4.9230769230769234</v>
      </c>
      <c r="F4" s="58">
        <f>COUNTIF(Int_Nome_Produtos,F2)</f>
        <v>3</v>
      </c>
      <c r="G4" s="59">
        <f>SUMIF(Int_Nome_Produtos,F2,Int_Quantidade)</f>
        <v>28</v>
      </c>
      <c r="H4" s="60">
        <f>AVERAGEIF(Int_Nome_Produtos,F2,Int_Quantidade)</f>
        <v>9.3333333333333339</v>
      </c>
    </row>
    <row r="7" spans="1:8" ht="15.75" thickBot="1" x14ac:dyDescent="0.3"/>
    <row r="8" spans="1:8" ht="60.75" thickBot="1" x14ac:dyDescent="0.3">
      <c r="B8" s="55" t="s">
        <v>55</v>
      </c>
      <c r="C8" s="56">
        <f>Produtos!G44</f>
        <v>192</v>
      </c>
      <c r="D8" s="56"/>
      <c r="F8" s="57" t="s">
        <v>57</v>
      </c>
      <c r="G8" s="56"/>
      <c r="H8" s="56"/>
    </row>
  </sheetData>
  <mergeCells count="2">
    <mergeCell ref="F2:H2"/>
    <mergeCell ref="B2:D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7766-F695-43C5-880E-1D9A46886306}">
  <dimension ref="A3:B10"/>
  <sheetViews>
    <sheetView workbookViewId="0">
      <selection activeCell="L34" sqref="L34"/>
    </sheetView>
  </sheetViews>
  <sheetFormatPr defaultRowHeight="15" x14ac:dyDescent="0.25"/>
  <cols>
    <col min="1" max="1" width="11.42578125" bestFit="1" customWidth="1"/>
    <col min="2" max="2" width="18.85546875" bestFit="1" customWidth="1"/>
  </cols>
  <sheetData>
    <row r="3" spans="1:2" x14ac:dyDescent="0.25">
      <c r="A3" s="63" t="s">
        <v>6</v>
      </c>
      <c r="B3" s="64" t="s">
        <v>60</v>
      </c>
    </row>
    <row r="4" spans="1:2" x14ac:dyDescent="0.25">
      <c r="A4" s="64">
        <v>36</v>
      </c>
      <c r="B4" s="64">
        <v>1249.5</v>
      </c>
    </row>
    <row r="5" spans="1:2" x14ac:dyDescent="0.25">
      <c r="A5" s="64">
        <v>37</v>
      </c>
      <c r="B5" s="64">
        <v>1014.9</v>
      </c>
    </row>
    <row r="6" spans="1:2" x14ac:dyDescent="0.25">
      <c r="A6" s="64">
        <v>38</v>
      </c>
      <c r="B6" s="64">
        <v>259.89999999999998</v>
      </c>
    </row>
    <row r="7" spans="1:2" x14ac:dyDescent="0.25">
      <c r="A7" s="64" t="s">
        <v>7</v>
      </c>
      <c r="B7" s="64">
        <v>3591.7000000000003</v>
      </c>
    </row>
    <row r="8" spans="1:2" x14ac:dyDescent="0.25">
      <c r="A8" s="64" t="s">
        <v>8</v>
      </c>
      <c r="B8" s="64">
        <v>3748.1000000000004</v>
      </c>
    </row>
    <row r="9" spans="1:2" x14ac:dyDescent="0.25">
      <c r="A9" s="64" t="s">
        <v>9</v>
      </c>
      <c r="B9" s="64">
        <v>3108.1000000000004</v>
      </c>
    </row>
    <row r="10" spans="1:2" x14ac:dyDescent="0.25">
      <c r="A10" s="64" t="s">
        <v>16</v>
      </c>
      <c r="B10" s="64">
        <v>3236.3999999999996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topLeftCell="A12" zoomScale="115" zoomScaleNormal="115" workbookViewId="0">
      <selection activeCell="A3" sqref="A3:J4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SUBTOTAL(109,TB_Produtos[Preço Unitário])</f>
        <v>5962.2999999999993</v>
      </c>
      <c r="E43" s="44">
        <f>SUBTOTAL(109,TB_Produtos[Valor do Descoto])</f>
        <v>596.23000000000013</v>
      </c>
      <c r="F43" s="44">
        <f>SUBTOTAL(109,TB_Produtos[Valor p/uni já c/ desonto])</f>
        <v>5366.0699999999988</v>
      </c>
      <c r="G43" s="61">
        <f>SUBTOTAL(109,TB_Produtos[Qtd])</f>
        <v>192</v>
      </c>
      <c r="H43" s="44">
        <f>SUBTOTAL(109,TB_Produtos[Valor Total])</f>
        <v>16208.599999999995</v>
      </c>
      <c r="I43" s="44">
        <f>SUBTOTAL(109,TB_Produtos[Valor do Descoto total])</f>
        <v>1620.8600000000001</v>
      </c>
      <c r="J43" s="44">
        <f>SUBTOTAL(109,TB_Produtos[Valor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BDA5-88AD-4C07-8122-123217BA43DE}">
  <dimension ref="B1:H5"/>
  <sheetViews>
    <sheetView workbookViewId="0">
      <selection activeCell="E1" sqref="E1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2:8" ht="19.5" x14ac:dyDescent="0.3">
      <c r="E1" s="62" t="s">
        <v>53</v>
      </c>
    </row>
    <row r="2" spans="2:8" ht="15.75" thickBot="1" x14ac:dyDescent="0.3"/>
    <row r="3" spans="2:8" s="54" customFormat="1" ht="29.25" customHeight="1" thickBot="1" x14ac:dyDescent="0.45">
      <c r="B3" s="77" t="s">
        <v>58</v>
      </c>
      <c r="C3" s="78"/>
      <c r="D3" s="79"/>
      <c r="F3" s="74" t="s">
        <v>39</v>
      </c>
      <c r="G3" s="75"/>
      <c r="H3" s="76"/>
    </row>
    <row r="4" spans="2:8" s="49" customFormat="1" ht="52.5" customHeight="1" x14ac:dyDescent="0.25">
      <c r="B4" s="51" t="s">
        <v>54</v>
      </c>
      <c r="C4" s="52" t="s">
        <v>56</v>
      </c>
      <c r="D4" s="52" t="s">
        <v>59</v>
      </c>
      <c r="E4" s="53"/>
      <c r="F4" s="51" t="s">
        <v>54</v>
      </c>
      <c r="G4" s="52" t="s">
        <v>56</v>
      </c>
      <c r="H4" s="52" t="s">
        <v>59</v>
      </c>
    </row>
    <row r="5" spans="2:8" s="50" customFormat="1" ht="52.5" customHeight="1" thickBot="1" x14ac:dyDescent="0.3">
      <c r="B5" s="58">
        <f>COUNTA(TB_Produtos[Produtos])</f>
        <v>39</v>
      </c>
      <c r="C5" s="59">
        <f>SUM(TB_Produtos[Qtd])</f>
        <v>192</v>
      </c>
      <c r="D5" s="60">
        <f>AVERAGE(TB_Produtos[Qtd],TB_Produtos[Produtos])</f>
        <v>4.9230769230769234</v>
      </c>
      <c r="F5" s="58">
        <f>COUNTIF(TB_Produtos[Produtos],F3)</f>
        <v>3</v>
      </c>
      <c r="G5" s="59">
        <f>SUMIF(TB_Produtos[Produtos],F3,TB_Produtos[Qtd])</f>
        <v>28</v>
      </c>
      <c r="H5" s="60">
        <f>AVERAGEIF(TB_Produtos[Produtos],F3,TB_Produtos[Qtd])</f>
        <v>9.3333333333333339</v>
      </c>
    </row>
  </sheetData>
  <mergeCells count="2">
    <mergeCell ref="B3:D3"/>
    <mergeCell ref="F3:H3"/>
  </mergeCells>
  <dataValidations disablePrompts="1" count="1">
    <dataValidation type="list" errorStyle="information" showErrorMessage="1" errorTitle="Erro de Digitação" error="Este produto não está listado na mensagem original" promptTitle="Menssagem de entrada" prompt="Teste_x000a_" sqref="F3" xr:uid="{9D87A1D4-9E73-48B5-A36B-EFBBF0E43357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</row>
    <row r="2" spans="1:11" ht="3" customHeight="1" x14ac:dyDescent="0.3">
      <c r="A2" s="4"/>
      <c r="B2" s="4"/>
      <c r="C2" s="4"/>
      <c r="D2" s="10"/>
      <c r="E2" s="81"/>
      <c r="F2" s="81"/>
      <c r="G2" s="81"/>
      <c r="H2" s="81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4" baseType="lpstr">
      <vt:lpstr>Produtos</vt:lpstr>
      <vt:lpstr>Lista de Indicadores</vt:lpstr>
      <vt:lpstr>Filtro Avançado</vt:lpstr>
      <vt:lpstr>Grafico 2</vt:lpstr>
      <vt:lpstr>Produtos Tabela</vt:lpstr>
      <vt:lpstr>Lista de Indicadores (Tabela)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2024-04-14T07:46:47Z</dcterms:modified>
</cp:coreProperties>
</file>