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34915cc2bfd55/Documents/"/>
    </mc:Choice>
  </mc:AlternateContent>
  <xr:revisionPtr revIDLastSave="2888" documentId="8_{E0D3B657-DB53-414B-94A9-8C687145053B}" xr6:coauthVersionLast="47" xr6:coauthVersionMax="47" xr10:uidLastSave="{8796B71C-120E-4F64-9DF5-5901FA94F9EA}"/>
  <bookViews>
    <workbookView xWindow="-108" yWindow="-108" windowWidth="23256" windowHeight="12456" xr2:uid="{C7EB9DF5-9DF0-4172-9E7F-758125BC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39" i="1" l="1"/>
  <c r="T139" i="1"/>
  <c r="S139" i="1"/>
  <c r="R139" i="1"/>
  <c r="T140" i="1"/>
  <c r="V140" i="1"/>
  <c r="W140" i="1"/>
  <c r="S140" i="1"/>
  <c r="R140" i="1"/>
  <c r="V141" i="1"/>
  <c r="T141" i="1"/>
  <c r="S141" i="1"/>
  <c r="R141" i="1"/>
  <c r="W142" i="1"/>
  <c r="V142" i="1"/>
  <c r="T142" i="1"/>
  <c r="S142" i="1"/>
  <c r="R142" i="1"/>
  <c r="V138" i="1"/>
  <c r="T138" i="1"/>
  <c r="S138" i="1"/>
  <c r="R138" i="1"/>
  <c r="V137" i="1"/>
  <c r="T137" i="1"/>
  <c r="S137" i="1"/>
  <c r="R137" i="1"/>
  <c r="T136" i="1"/>
  <c r="V136" i="1"/>
  <c r="S136" i="1"/>
  <c r="R136" i="1"/>
  <c r="T135" i="1"/>
  <c r="S135" i="1"/>
  <c r="R135" i="1"/>
  <c r="R131" i="1"/>
  <c r="S131" i="1"/>
  <c r="T131" i="1"/>
  <c r="V131" i="1"/>
  <c r="X134" i="1"/>
  <c r="V134" i="1"/>
  <c r="T134" i="1"/>
  <c r="S134" i="1"/>
  <c r="R134" i="1"/>
  <c r="V79" i="1"/>
  <c r="T79" i="1"/>
  <c r="S79" i="1"/>
  <c r="R79" i="1"/>
  <c r="V96" i="1"/>
  <c r="T96" i="1"/>
  <c r="S96" i="1"/>
  <c r="R96" i="1"/>
  <c r="W132" i="1"/>
  <c r="V132" i="1"/>
  <c r="T132" i="1"/>
  <c r="S132" i="1"/>
  <c r="R132" i="1"/>
  <c r="V133" i="1"/>
  <c r="T133" i="1"/>
  <c r="S133" i="1"/>
  <c r="R133" i="1"/>
  <c r="X130" i="1"/>
  <c r="V130" i="1"/>
  <c r="T130" i="1"/>
  <c r="S130" i="1"/>
  <c r="R130" i="1"/>
  <c r="V120" i="1"/>
  <c r="T120" i="1"/>
  <c r="S120" i="1"/>
  <c r="R120" i="1"/>
  <c r="T127" i="1"/>
  <c r="V127" i="1"/>
  <c r="S127" i="1"/>
  <c r="R127" i="1"/>
  <c r="T129" i="1"/>
  <c r="V129" i="1"/>
  <c r="S129" i="1"/>
  <c r="R129" i="1"/>
  <c r="W49" i="1"/>
  <c r="V49" i="1"/>
  <c r="T49" i="1"/>
  <c r="S49" i="1"/>
  <c r="R49" i="1"/>
  <c r="W63" i="1"/>
  <c r="V63" i="1"/>
  <c r="T63" i="1"/>
  <c r="S63" i="1"/>
  <c r="R63" i="1"/>
  <c r="V61" i="1"/>
  <c r="T61" i="1"/>
  <c r="S61" i="1"/>
  <c r="R61" i="1"/>
  <c r="V46" i="1"/>
  <c r="T46" i="1"/>
  <c r="S46" i="1"/>
  <c r="R46" i="1"/>
  <c r="V55" i="1"/>
  <c r="W55" i="1"/>
  <c r="S55" i="1"/>
  <c r="R55" i="1"/>
  <c r="T55" i="1"/>
  <c r="W54" i="1"/>
  <c r="S3" i="1"/>
  <c r="X3" i="1"/>
  <c r="Z3" i="1"/>
  <c r="S2" i="1"/>
  <c r="R78" i="1"/>
  <c r="S48" i="1"/>
  <c r="V48" i="1"/>
  <c r="T48" i="1"/>
  <c r="R48" i="1"/>
  <c r="X48" i="1"/>
  <c r="X43" i="1"/>
  <c r="V43" i="1"/>
  <c r="T43" i="1"/>
  <c r="S43" i="1"/>
  <c r="R43" i="1"/>
  <c r="S6" i="1"/>
  <c r="S51" i="1"/>
  <c r="V45" i="1"/>
  <c r="S45" i="1"/>
  <c r="R45" i="1"/>
  <c r="T45" i="1"/>
  <c r="V47" i="1"/>
  <c r="R47" i="1"/>
  <c r="S47" i="1"/>
  <c r="T47" i="1"/>
  <c r="V41" i="1"/>
  <c r="S42" i="1"/>
  <c r="S62" i="1"/>
  <c r="W62" i="1"/>
  <c r="V62" i="1"/>
  <c r="T62" i="1"/>
  <c r="R62" i="1"/>
  <c r="V73" i="1"/>
  <c r="U73" i="1"/>
  <c r="N73" i="1"/>
  <c r="S36" i="1"/>
  <c r="V80" i="1"/>
  <c r="T80" i="1"/>
  <c r="S80" i="1"/>
  <c r="R80" i="1"/>
  <c r="P80" i="1"/>
  <c r="X80" i="1"/>
  <c r="V4" i="1"/>
  <c r="T4" i="1"/>
  <c r="S4" i="1"/>
  <c r="R4" i="1"/>
  <c r="X8" i="1"/>
  <c r="T8" i="1"/>
  <c r="V8" i="1"/>
  <c r="W8" i="1"/>
  <c r="S8" i="1"/>
  <c r="R8" i="1"/>
  <c r="W85" i="1"/>
  <c r="V85" i="1"/>
  <c r="U85" i="1"/>
  <c r="T85" i="1"/>
  <c r="S85" i="1"/>
  <c r="R85" i="1"/>
  <c r="V87" i="1"/>
  <c r="W87" i="1"/>
  <c r="S87" i="1"/>
  <c r="R87" i="1"/>
  <c r="V86" i="1"/>
  <c r="T86" i="1"/>
  <c r="S86" i="1"/>
  <c r="R86" i="1"/>
  <c r="T88" i="1"/>
  <c r="V88" i="1"/>
  <c r="W88" i="1"/>
  <c r="S88" i="1"/>
  <c r="R88" i="1"/>
  <c r="V93" i="1"/>
  <c r="T93" i="1"/>
  <c r="S93" i="1"/>
  <c r="R93" i="1"/>
  <c r="V91" i="1"/>
  <c r="T91" i="1"/>
  <c r="S91" i="1"/>
  <c r="R91" i="1"/>
  <c r="N94" i="1"/>
  <c r="V95" i="1"/>
  <c r="T95" i="1"/>
  <c r="S95" i="1"/>
  <c r="R95" i="1"/>
  <c r="P97" i="1"/>
  <c r="W98" i="1"/>
  <c r="V98" i="1"/>
  <c r="S98" i="1"/>
  <c r="T98" i="1"/>
  <c r="R98" i="1"/>
  <c r="P98" i="1"/>
  <c r="V101" i="1"/>
  <c r="T101" i="1"/>
  <c r="S101" i="1"/>
  <c r="R101" i="1"/>
  <c r="V102" i="1"/>
  <c r="T102" i="1"/>
  <c r="S102" i="1"/>
  <c r="R102" i="1"/>
  <c r="N103" i="1"/>
  <c r="V103" i="1"/>
  <c r="P103" i="1"/>
  <c r="V100" i="1"/>
  <c r="T100" i="1"/>
  <c r="S100" i="1"/>
  <c r="R100" i="1"/>
  <c r="V105" i="1"/>
  <c r="T105" i="1"/>
  <c r="S105" i="1"/>
  <c r="R105" i="1"/>
  <c r="V83" i="1"/>
  <c r="T83" i="1"/>
  <c r="S83" i="1"/>
  <c r="R83" i="1"/>
  <c r="P83" i="1"/>
  <c r="X82" i="1"/>
  <c r="W82" i="1"/>
  <c r="V82" i="1"/>
  <c r="U82" i="1"/>
  <c r="T82" i="1"/>
  <c r="S82" i="1"/>
  <c r="R82" i="1"/>
  <c r="V90" i="1"/>
  <c r="T90" i="1"/>
  <c r="S90" i="1"/>
  <c r="R90" i="1"/>
  <c r="T106" i="1"/>
  <c r="S106" i="1"/>
  <c r="R106" i="1"/>
  <c r="V109" i="1"/>
  <c r="T109" i="1"/>
  <c r="S109" i="1"/>
  <c r="R109" i="1"/>
  <c r="N109" i="1"/>
  <c r="R108" i="1"/>
  <c r="T108" i="1"/>
  <c r="V108" i="1"/>
  <c r="S108" i="1"/>
  <c r="W104" i="1"/>
  <c r="V104" i="1"/>
  <c r="T104" i="1"/>
  <c r="S104" i="1"/>
  <c r="R104" i="1"/>
  <c r="W99" i="1"/>
  <c r="V99" i="1"/>
  <c r="T99" i="1"/>
  <c r="S99" i="1"/>
  <c r="R99" i="1"/>
  <c r="V107" i="1"/>
  <c r="T107" i="1"/>
  <c r="S107" i="1"/>
  <c r="R107" i="1"/>
  <c r="W110" i="1"/>
  <c r="V110" i="1"/>
  <c r="T110" i="1"/>
  <c r="S110" i="1"/>
  <c r="R110" i="1"/>
  <c r="V116" i="1"/>
  <c r="T116" i="1"/>
  <c r="S116" i="1"/>
  <c r="R116" i="1"/>
  <c r="W115" i="1"/>
  <c r="V115" i="1"/>
  <c r="T115" i="1"/>
  <c r="S115" i="1"/>
  <c r="R115" i="1"/>
  <c r="V118" i="1"/>
  <c r="T118" i="1"/>
  <c r="S118" i="1"/>
  <c r="R118" i="1"/>
  <c r="V112" i="1"/>
  <c r="T112" i="1"/>
  <c r="S112" i="1"/>
  <c r="R112" i="1"/>
  <c r="V117" i="1"/>
  <c r="W119" i="1"/>
  <c r="V119" i="1"/>
  <c r="T119" i="1"/>
  <c r="S119" i="1"/>
  <c r="R119" i="1"/>
  <c r="T111" i="1"/>
  <c r="V111" i="1"/>
  <c r="W111" i="1"/>
  <c r="S111" i="1"/>
  <c r="R111" i="1"/>
  <c r="V113" i="1"/>
  <c r="T113" i="1"/>
  <c r="S113" i="1"/>
  <c r="R113" i="1"/>
  <c r="U121" i="1"/>
  <c r="S121" i="1"/>
  <c r="W125" i="1"/>
  <c r="V125" i="1"/>
  <c r="T125" i="1"/>
  <c r="S125" i="1"/>
  <c r="R125" i="1"/>
  <c r="W122" i="1"/>
  <c r="S122" i="1"/>
  <c r="W126" i="1"/>
  <c r="V126" i="1"/>
  <c r="T126" i="1"/>
  <c r="S126" i="1"/>
  <c r="R126" i="1"/>
  <c r="V81" i="1"/>
  <c r="U81" i="1"/>
  <c r="V76" i="1"/>
  <c r="T76" i="1"/>
  <c r="S76" i="1"/>
  <c r="R76" i="1"/>
  <c r="S75" i="1"/>
  <c r="W50" i="1"/>
  <c r="V50" i="1"/>
  <c r="T50" i="1"/>
  <c r="S50" i="1"/>
  <c r="R50" i="1"/>
  <c r="V44" i="1"/>
  <c r="T44" i="1"/>
  <c r="S44" i="1"/>
  <c r="R44" i="1"/>
  <c r="W123" i="1"/>
  <c r="V123" i="1"/>
  <c r="T123" i="1"/>
  <c r="S123" i="1"/>
  <c r="R123" i="1"/>
  <c r="W128" i="1"/>
  <c r="V128" i="1"/>
  <c r="T128" i="1"/>
  <c r="S128" i="1"/>
  <c r="R128" i="1"/>
  <c r="V124" i="1"/>
  <c r="T124" i="1"/>
  <c r="S124" i="1"/>
  <c r="R124" i="1"/>
  <c r="W40" i="1"/>
  <c r="V40" i="1"/>
  <c r="T40" i="1"/>
  <c r="S40" i="1"/>
  <c r="R40" i="1"/>
  <c r="W12" i="1"/>
  <c r="V12" i="1"/>
  <c r="T12" i="1"/>
  <c r="S12" i="1"/>
  <c r="R12" i="1"/>
  <c r="V7" i="1"/>
  <c r="T7" i="1"/>
  <c r="S7" i="1"/>
  <c r="R7" i="1"/>
  <c r="V84" i="1"/>
  <c r="T84" i="1"/>
  <c r="S84" i="1"/>
  <c r="R84" i="1"/>
  <c r="P84" i="1"/>
  <c r="V13" i="1"/>
  <c r="T13" i="1"/>
  <c r="S13" i="1"/>
  <c r="R13" i="1"/>
  <c r="V38" i="1"/>
  <c r="R38" i="1"/>
  <c r="T38" i="1"/>
  <c r="S38" i="1"/>
  <c r="S34" i="1"/>
  <c r="W53" i="1"/>
  <c r="S74" i="1"/>
  <c r="W52" i="1"/>
  <c r="V52" i="1"/>
  <c r="T52" i="1"/>
  <c r="S52" i="1"/>
  <c r="R52" i="1"/>
  <c r="W58" i="1"/>
  <c r="V58" i="1"/>
  <c r="T58" i="1"/>
  <c r="S58" i="1"/>
  <c r="R58" i="1"/>
  <c r="V57" i="1"/>
  <c r="T57" i="1"/>
  <c r="S57" i="1"/>
  <c r="R57" i="1"/>
  <c r="V56" i="1"/>
  <c r="T56" i="1"/>
  <c r="S56" i="1"/>
  <c r="R56" i="1"/>
  <c r="W68" i="1"/>
  <c r="V68" i="1"/>
  <c r="T68" i="1"/>
  <c r="S68" i="1"/>
  <c r="R68" i="1"/>
  <c r="V64" i="1"/>
  <c r="T64" i="1"/>
  <c r="S64" i="1"/>
  <c r="R64" i="1"/>
  <c r="V65" i="1"/>
  <c r="S65" i="1"/>
  <c r="W72" i="1"/>
  <c r="V72" i="1"/>
  <c r="T72" i="1"/>
  <c r="R72" i="1"/>
  <c r="T70" i="1"/>
  <c r="V70" i="1"/>
  <c r="S70" i="1"/>
  <c r="R70" i="1"/>
  <c r="S69" i="1"/>
  <c r="W66" i="1"/>
  <c r="V66" i="1"/>
  <c r="T66" i="1"/>
  <c r="S66" i="1"/>
  <c r="R66" i="1"/>
  <c r="S15" i="1"/>
  <c r="V71" i="1"/>
  <c r="S71" i="1"/>
  <c r="T71" i="1"/>
  <c r="R71" i="1"/>
  <c r="V16" i="1"/>
  <c r="S16" i="1"/>
  <c r="W33" i="1"/>
  <c r="V33" i="1"/>
  <c r="T33" i="1"/>
  <c r="S33" i="1"/>
  <c r="R33" i="1"/>
  <c r="W32" i="1" l="1"/>
  <c r="S32" i="1"/>
  <c r="V31" i="1"/>
  <c r="R31" i="1"/>
  <c r="W37" i="1"/>
  <c r="R18" i="1"/>
  <c r="T18" i="1"/>
  <c r="V18" i="1"/>
  <c r="S18" i="1"/>
  <c r="V35" i="1"/>
  <c r="T35" i="1"/>
  <c r="S35" i="1"/>
  <c r="R35" i="1"/>
  <c r="V25" i="1" l="1"/>
  <c r="S25" i="1"/>
  <c r="T25" i="1"/>
  <c r="R25" i="1"/>
  <c r="W26" i="1"/>
  <c r="S26" i="1"/>
  <c r="V5" i="1"/>
  <c r="S5" i="1"/>
  <c r="R5" i="1"/>
  <c r="V24" i="1" l="1"/>
  <c r="T24" i="1"/>
  <c r="S24" i="1"/>
  <c r="R24" i="1"/>
  <c r="S14" i="1" l="1"/>
  <c r="V14" i="1"/>
  <c r="T14" i="1"/>
  <c r="R14" i="1"/>
  <c r="T17" i="1" l="1"/>
  <c r="V17" i="1"/>
  <c r="S17" i="1"/>
  <c r="R17" i="1"/>
  <c r="AD29" i="1"/>
  <c r="S29" i="1"/>
  <c r="W29" i="1"/>
  <c r="V29" i="1"/>
  <c r="T29" i="1"/>
  <c r="R29" i="1"/>
  <c r="P29" i="1"/>
  <c r="R20" i="1"/>
  <c r="V20" i="1"/>
  <c r="T20" i="1"/>
  <c r="S20" i="1"/>
  <c r="AD30" i="1"/>
  <c r="V30" i="1"/>
  <c r="T30" i="1"/>
  <c r="S30" i="1"/>
  <c r="R30" i="1"/>
  <c r="V22" i="1"/>
  <c r="S22" i="1"/>
  <c r="S9" i="1" l="1"/>
  <c r="W9" i="1"/>
  <c r="R9" i="1"/>
  <c r="T9" i="1"/>
  <c r="V9" i="1"/>
  <c r="V10" i="1"/>
  <c r="T10" i="1"/>
  <c r="S10" i="1"/>
  <c r="R10" i="1"/>
  <c r="R23" i="1"/>
  <c r="T23" i="1"/>
  <c r="V23" i="1"/>
  <c r="S23" i="1"/>
  <c r="V19" i="1" l="1"/>
  <c r="T19" i="1"/>
  <c r="S19" i="1"/>
  <c r="R19" i="1"/>
  <c r="P19" i="1"/>
  <c r="T21" i="1"/>
  <c r="V21" i="1"/>
  <c r="S21" i="1"/>
  <c r="R21" i="1"/>
  <c r="AD28" i="1"/>
  <c r="V28" i="1"/>
  <c r="T28" i="1"/>
  <c r="S28" i="1"/>
  <c r="R28" i="1"/>
  <c r="S27" i="1"/>
  <c r="U27" i="1"/>
  <c r="S11" i="1"/>
  <c r="R11" i="1"/>
  <c r="W11" i="1"/>
  <c r="V11" i="1"/>
  <c r="U11" i="1"/>
  <c r="T11" i="1"/>
</calcChain>
</file>

<file path=xl/sharedStrings.xml><?xml version="1.0" encoding="utf-8"?>
<sst xmlns="http://schemas.openxmlformats.org/spreadsheetml/2006/main" count="605" uniqueCount="91">
  <si>
    <t>Date</t>
  </si>
  <si>
    <t>Checkout Time</t>
  </si>
  <si>
    <t>Cashier</t>
  </si>
  <si>
    <t>Day of the Week</t>
  </si>
  <si>
    <t>Total Savings</t>
  </si>
  <si>
    <t>Terminal</t>
  </si>
  <si>
    <t>Item Total</t>
  </si>
  <si>
    <t>Grocery qty</t>
  </si>
  <si>
    <t>Produce qty</t>
  </si>
  <si>
    <t>Cost (total)</t>
  </si>
  <si>
    <t>Grocery cost</t>
  </si>
  <si>
    <t>Dairy-Deli cost</t>
  </si>
  <si>
    <t>Meat qty</t>
  </si>
  <si>
    <t>Meat cost</t>
  </si>
  <si>
    <t>Service deli qty</t>
  </si>
  <si>
    <t>Service Deli cost</t>
  </si>
  <si>
    <t>Produce cost</t>
  </si>
  <si>
    <t>Dolores</t>
  </si>
  <si>
    <t>Sunday</t>
  </si>
  <si>
    <t>Store</t>
  </si>
  <si>
    <t>Lucky</t>
  </si>
  <si>
    <t>Self Serve</t>
  </si>
  <si>
    <t>Saturday</t>
  </si>
  <si>
    <t>Safeway</t>
  </si>
  <si>
    <t>Seafood qty</t>
  </si>
  <si>
    <t>Seafood cost</t>
  </si>
  <si>
    <t>Baked Goods cost</t>
  </si>
  <si>
    <t>Baked Goods qty</t>
  </si>
  <si>
    <t>Angela</t>
  </si>
  <si>
    <t>Location</t>
  </si>
  <si>
    <t>Fremont, CA</t>
  </si>
  <si>
    <t>Windsor, CA</t>
  </si>
  <si>
    <t>Dairy-Deli (frz/refrig) qty</t>
  </si>
  <si>
    <t>Alisha(Leigh)</t>
  </si>
  <si>
    <t>Jacqui</t>
  </si>
  <si>
    <t>Alcohol qty</t>
  </si>
  <si>
    <t>Alcohol Cost</t>
  </si>
  <si>
    <t>Coupon qty</t>
  </si>
  <si>
    <t>Coupon Cost</t>
  </si>
  <si>
    <t>Gen Merch qty</t>
  </si>
  <si>
    <t>Gen Merch cost</t>
  </si>
  <si>
    <t>Martin</t>
  </si>
  <si>
    <t>Tuesday</t>
  </si>
  <si>
    <t>Dawn</t>
  </si>
  <si>
    <t>Theresa</t>
  </si>
  <si>
    <t>jamie</t>
  </si>
  <si>
    <t>Friday</t>
  </si>
  <si>
    <t>John B</t>
  </si>
  <si>
    <t>Erwin</t>
  </si>
  <si>
    <t>CVS</t>
  </si>
  <si>
    <t>Jean</t>
  </si>
  <si>
    <t>Wednesday</t>
  </si>
  <si>
    <t>Taxes</t>
  </si>
  <si>
    <t>Jarvis/Fremont, CA</t>
  </si>
  <si>
    <t>Dean</t>
  </si>
  <si>
    <t>FastLane1</t>
  </si>
  <si>
    <t>Monday</t>
  </si>
  <si>
    <t>Misc qty</t>
  </si>
  <si>
    <t>Misc cost</t>
  </si>
  <si>
    <t>Aminah</t>
  </si>
  <si>
    <t>Alejandra</t>
  </si>
  <si>
    <t>FastLane4</t>
  </si>
  <si>
    <t>Jessica</t>
  </si>
  <si>
    <t>Annette</t>
  </si>
  <si>
    <t>Jamie</t>
  </si>
  <si>
    <t>Richard R</t>
  </si>
  <si>
    <t>Jenn</t>
  </si>
  <si>
    <t>Emma</t>
  </si>
  <si>
    <t>Fastlane</t>
  </si>
  <si>
    <t>Caitlin</t>
  </si>
  <si>
    <t>Sprouts</t>
  </si>
  <si>
    <t>Newark, CA</t>
  </si>
  <si>
    <t>Fastlane 2</t>
  </si>
  <si>
    <t>Self</t>
  </si>
  <si>
    <t>Adnan</t>
  </si>
  <si>
    <t>Andrew</t>
  </si>
  <si>
    <t>Paola</t>
  </si>
  <si>
    <t>John</t>
  </si>
  <si>
    <t>FastLane 1</t>
  </si>
  <si>
    <t>Kai</t>
  </si>
  <si>
    <t>Thursday</t>
  </si>
  <si>
    <t>Martie</t>
  </si>
  <si>
    <t>Fastlane3</t>
  </si>
  <si>
    <t>Molly</t>
  </si>
  <si>
    <t>Madison</t>
  </si>
  <si>
    <t>Jazmyn</t>
  </si>
  <si>
    <t>FastLane 2</t>
  </si>
  <si>
    <t>San Jose, CA</t>
  </si>
  <si>
    <t>Calvin Sousa</t>
  </si>
  <si>
    <t>Ranjit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</si>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</sst>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1665-E29A-4597-BD6C-AA5DAB5BE6D1}">
  <dimension ref="A1:AG142"/>
  <sheetViews>
    <sheetView tabSelected="1" workbookViewId="0">
      <pane ySplit="1" topLeftCell="A122" activePane="bottomLeft" state="frozen"/>
      <selection pane="bottomLeft" activeCell="B142" sqref="B142"/>
    </sheetView>
  </sheetViews>
  <sheetFormatPr defaultRowHeight="14.4" x14ac:dyDescent="0.3"/>
  <cols>
    <col min="1" max="1" width="15" customWidth="1"/>
    <col min="2" max="4" width="17.5546875" customWidth="1"/>
    <col min="5" max="8" width="15.33203125" customWidth="1"/>
    <col min="9" max="9" width="26.109375" customWidth="1"/>
    <col min="10" max="13" width="18.21875" customWidth="1"/>
    <col min="14" max="19" width="18.21875" style="4" customWidth="1"/>
    <col min="20" max="20" width="13.6640625" style="4" customWidth="1"/>
    <col min="21" max="21" width="16.77734375" style="4" customWidth="1"/>
    <col min="22" max="24" width="13.6640625" style="4" customWidth="1"/>
    <col min="25" max="26" width="11.88671875" style="4" customWidth="1"/>
    <col min="27" max="27" width="18" customWidth="1"/>
    <col min="28" max="28" width="17.5546875" customWidth="1"/>
    <col min="29" max="29" width="17.21875" customWidth="1"/>
    <col min="30" max="30" width="15.88671875" style="4" customWidth="1"/>
    <col min="33" max="33" width="12" customWidth="1"/>
  </cols>
  <sheetData>
    <row r="1" spans="1:33" s="1" customFormat="1" ht="15.6" x14ac:dyDescent="0.3">
      <c r="A1" s="1" t="s">
        <v>0</v>
      </c>
      <c r="B1" s="1" t="s">
        <v>6</v>
      </c>
      <c r="C1" s="1" t="s">
        <v>27</v>
      </c>
      <c r="D1" s="1" t="s">
        <v>35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32</v>
      </c>
      <c r="J1" s="1" t="s">
        <v>39</v>
      </c>
      <c r="K1" s="1" t="s">
        <v>24</v>
      </c>
      <c r="L1" s="1" t="s">
        <v>57</v>
      </c>
      <c r="M1" s="1" t="s">
        <v>37</v>
      </c>
      <c r="N1" s="5" t="s">
        <v>58</v>
      </c>
      <c r="O1" s="5" t="s">
        <v>36</v>
      </c>
      <c r="P1" s="5" t="s">
        <v>26</v>
      </c>
      <c r="Q1" s="5" t="s">
        <v>25</v>
      </c>
      <c r="R1" s="5" t="s">
        <v>13</v>
      </c>
      <c r="S1" s="5" t="s">
        <v>10</v>
      </c>
      <c r="T1" s="5" t="s">
        <v>16</v>
      </c>
      <c r="U1" s="5" t="s">
        <v>15</v>
      </c>
      <c r="V1" s="5" t="s">
        <v>11</v>
      </c>
      <c r="W1" s="5" t="s">
        <v>40</v>
      </c>
      <c r="X1" s="5" t="s">
        <v>38</v>
      </c>
      <c r="Y1" s="5" t="s">
        <v>9</v>
      </c>
      <c r="Z1" s="5" t="s">
        <v>52</v>
      </c>
      <c r="AA1" s="1" t="s">
        <v>1</v>
      </c>
      <c r="AB1" s="1" t="s">
        <v>2</v>
      </c>
      <c r="AC1" s="1" t="s">
        <v>3</v>
      </c>
      <c r="AD1" s="5" t="s">
        <v>4</v>
      </c>
      <c r="AE1" s="1" t="s">
        <v>5</v>
      </c>
      <c r="AF1" s="1" t="s">
        <v>19</v>
      </c>
      <c r="AG1" s="1" t="s">
        <v>29</v>
      </c>
    </row>
    <row r="2" spans="1:33" x14ac:dyDescent="0.3">
      <c r="A2" s="2">
        <v>34826</v>
      </c>
      <c r="B2">
        <v>23</v>
      </c>
      <c r="E2">
        <v>23</v>
      </c>
      <c r="S2" s="4">
        <f>2.65+0.99+1.89+1.89+3.69+5.49+1.69+2.29+2.49+0.95+7.59+2.79+1.89+1.69+2.35+3.69+4.99+1.39+2.83+2.43+3.69+11.95+7.99</f>
        <v>79.289999999999992</v>
      </c>
      <c r="Y2" s="4">
        <v>83.72</v>
      </c>
      <c r="Z2" s="4">
        <v>4.43</v>
      </c>
      <c r="AA2" s="3">
        <v>0.8881944444444444</v>
      </c>
      <c r="AC2" t="s">
        <v>18</v>
      </c>
      <c r="AD2" s="4">
        <v>0</v>
      </c>
      <c r="AF2" t="s">
        <v>23</v>
      </c>
      <c r="AG2" t="s">
        <v>87</v>
      </c>
    </row>
    <row r="3" spans="1:33" x14ac:dyDescent="0.3">
      <c r="A3" s="2">
        <v>34835</v>
      </c>
      <c r="B3">
        <v>22</v>
      </c>
      <c r="E3">
        <v>22</v>
      </c>
      <c r="S3" s="4">
        <f>0.99+0.05+4.99+8.39+4.65+2.79+1.59+2.79+0.85+0.85+2.97+1.79+3.89+1.99+1.99+2.09+1.99+1.99+0.79+0.79+1.39+1.69</f>
        <v>51.300000000000011</v>
      </c>
      <c r="X3" s="4">
        <f>0.99+0.58</f>
        <v>1.5699999999999998</v>
      </c>
      <c r="Y3" s="4">
        <v>50.51</v>
      </c>
      <c r="Z3" s="4">
        <f>0.85+0.78</f>
        <v>1.63</v>
      </c>
      <c r="AA3" s="3">
        <v>0.99313657407407396</v>
      </c>
      <c r="AC3" t="s">
        <v>42</v>
      </c>
      <c r="AD3" s="4">
        <v>0</v>
      </c>
      <c r="AF3" t="s">
        <v>23</v>
      </c>
      <c r="AG3" t="s">
        <v>87</v>
      </c>
    </row>
    <row r="4" spans="1:33" x14ac:dyDescent="0.3">
      <c r="A4" s="2">
        <v>43723</v>
      </c>
      <c r="B4">
        <v>19</v>
      </c>
      <c r="E4">
        <v>3</v>
      </c>
      <c r="F4">
        <v>4</v>
      </c>
      <c r="G4">
        <v>2</v>
      </c>
      <c r="H4">
        <v>1</v>
      </c>
      <c r="I4">
        <v>9</v>
      </c>
      <c r="R4" s="4">
        <f>3.99+12.99</f>
        <v>16.98</v>
      </c>
      <c r="S4" s="4">
        <f>2+2+4.99</f>
        <v>8.99</v>
      </c>
      <c r="T4" s="4">
        <f>2.99+6.46+3.99+1.49</f>
        <v>14.93</v>
      </c>
      <c r="U4" s="4">
        <v>10.99</v>
      </c>
      <c r="V4" s="4">
        <f>8.59+2.5+2.5+2.5+2.5+1.79+4.99+0.1+5</f>
        <v>30.47</v>
      </c>
      <c r="Y4" s="4">
        <v>82.36</v>
      </c>
      <c r="Z4" s="4">
        <v>0</v>
      </c>
      <c r="AA4" s="3">
        <v>0.58703703703703702</v>
      </c>
      <c r="AB4" t="s">
        <v>41</v>
      </c>
      <c r="AC4" s="3" t="s">
        <v>18</v>
      </c>
      <c r="AD4" s="4">
        <v>9.94</v>
      </c>
      <c r="AE4">
        <v>3</v>
      </c>
      <c r="AF4" t="s">
        <v>20</v>
      </c>
      <c r="AG4" t="s">
        <v>30</v>
      </c>
    </row>
    <row r="5" spans="1:33" x14ac:dyDescent="0.3">
      <c r="A5" s="2">
        <v>43821</v>
      </c>
      <c r="B5">
        <v>31</v>
      </c>
      <c r="D5">
        <v>1</v>
      </c>
      <c r="E5">
        <v>15</v>
      </c>
      <c r="G5">
        <v>5</v>
      </c>
      <c r="I5">
        <v>9</v>
      </c>
      <c r="J5">
        <v>1</v>
      </c>
      <c r="O5" s="4">
        <v>3.99</v>
      </c>
      <c r="R5" s="4">
        <f>3.99+17.84+5.99+2.5+2.5</f>
        <v>32.82</v>
      </c>
      <c r="S5" s="4">
        <f>1.5+1.5+2.49+0.69+4.39+4.49+0.79+0.79+2+0.49+5.29+3.29+2.99+2.49+2.99</f>
        <v>36.18</v>
      </c>
      <c r="V5" s="4">
        <f>4.99+4.69+4.99+2+4.75+0.1+4.79+3.99+1.25</f>
        <v>31.550000000000004</v>
      </c>
      <c r="W5" s="4">
        <v>3.39</v>
      </c>
      <c r="Y5" s="4">
        <v>108.33</v>
      </c>
      <c r="AA5" s="3">
        <v>0.60655092592592597</v>
      </c>
      <c r="AB5" t="s">
        <v>45</v>
      </c>
      <c r="AC5" t="s">
        <v>18</v>
      </c>
      <c r="AD5" s="4">
        <v>12.9</v>
      </c>
      <c r="AE5">
        <v>1</v>
      </c>
      <c r="AF5" t="s">
        <v>20</v>
      </c>
      <c r="AG5" t="s">
        <v>30</v>
      </c>
    </row>
    <row r="6" spans="1:33" x14ac:dyDescent="0.3">
      <c r="A6" s="2">
        <v>43837</v>
      </c>
      <c r="B6">
        <v>5</v>
      </c>
      <c r="E6">
        <v>4</v>
      </c>
      <c r="H6">
        <v>1</v>
      </c>
      <c r="S6" s="4">
        <f>1.99+0.05+2.99+3.59</f>
        <v>8.620000000000001</v>
      </c>
      <c r="U6" s="4">
        <v>5.99</v>
      </c>
      <c r="Y6" s="4">
        <v>14.8</v>
      </c>
      <c r="Z6" s="4">
        <v>0.19</v>
      </c>
      <c r="AA6" s="3">
        <v>0.49427083333333338</v>
      </c>
      <c r="AB6" t="s">
        <v>55</v>
      </c>
      <c r="AC6" t="s">
        <v>42</v>
      </c>
      <c r="AD6" s="4">
        <v>1.8</v>
      </c>
      <c r="AE6" t="s">
        <v>73</v>
      </c>
      <c r="AF6" t="s">
        <v>20</v>
      </c>
      <c r="AG6" t="s">
        <v>30</v>
      </c>
    </row>
    <row r="7" spans="1:33" x14ac:dyDescent="0.3">
      <c r="A7" s="2">
        <v>43842</v>
      </c>
      <c r="B7">
        <v>26</v>
      </c>
      <c r="E7">
        <v>9</v>
      </c>
      <c r="F7">
        <v>6</v>
      </c>
      <c r="G7">
        <v>4</v>
      </c>
      <c r="I7">
        <v>7</v>
      </c>
      <c r="M7">
        <v>1</v>
      </c>
      <c r="R7" s="4">
        <f>4.23+8.17+11.99+2</f>
        <v>26.39</v>
      </c>
      <c r="S7" s="4">
        <f>2.5+2.5+2.5+2.5+4.19+1.99+2.99+0.1+2.19</f>
        <v>21.460000000000004</v>
      </c>
      <c r="T7" s="4">
        <f>2.99+2.5+2.89+1.24+4.99+2</f>
        <v>16.61</v>
      </c>
      <c r="V7" s="4">
        <f>2.5+2.5+2.5+4.75+0.1+2.69+1.96</f>
        <v>17</v>
      </c>
      <c r="X7" s="4">
        <v>1</v>
      </c>
      <c r="Y7" s="4">
        <v>80.66</v>
      </c>
      <c r="Z7" s="4">
        <v>0.2</v>
      </c>
      <c r="AA7" s="3">
        <v>0.62033564814814812</v>
      </c>
      <c r="AB7" t="s">
        <v>64</v>
      </c>
      <c r="AC7" t="s">
        <v>18</v>
      </c>
      <c r="AD7" s="4">
        <v>11.27</v>
      </c>
      <c r="AE7">
        <v>7</v>
      </c>
      <c r="AF7" t="s">
        <v>20</v>
      </c>
      <c r="AG7" t="s">
        <v>30</v>
      </c>
    </row>
    <row r="8" spans="1:33" x14ac:dyDescent="0.3">
      <c r="A8" s="2">
        <v>43849</v>
      </c>
      <c r="B8">
        <v>44</v>
      </c>
      <c r="E8">
        <v>21</v>
      </c>
      <c r="F8">
        <v>6</v>
      </c>
      <c r="G8">
        <v>7</v>
      </c>
      <c r="I8">
        <v>8</v>
      </c>
      <c r="J8">
        <v>2</v>
      </c>
      <c r="M8">
        <v>2</v>
      </c>
      <c r="R8" s="4">
        <f>8.76+2.5+2.5+5.99+4.49+6.29+6.36</f>
        <v>36.89</v>
      </c>
      <c r="S8" s="4">
        <f>1.5+1.5+2.5+2.5+2.99+1.99+2.79+5.49+1.39+1.39+0.99+1.79+2.99+1.49+1.49+1.99+1.95+3.99+2+2+1.29</f>
        <v>46.01</v>
      </c>
      <c r="T8" s="4">
        <f>2.99+2.89+1.98+2.13+1.88</f>
        <v>11.870000000000001</v>
      </c>
      <c r="V8" s="4">
        <f>1.79+4.49+2.99+3.29+4.75+0.1+2.5+2.5</f>
        <v>22.41</v>
      </c>
      <c r="W8" s="4">
        <f>2.49+2.49</f>
        <v>4.9800000000000004</v>
      </c>
      <c r="X8" s="4">
        <f>2+3+2+1</f>
        <v>8</v>
      </c>
      <c r="Y8" s="4">
        <v>114.61</v>
      </c>
      <c r="Z8" s="4">
        <v>0.45</v>
      </c>
      <c r="AA8" s="3">
        <v>0.70678240740740739</v>
      </c>
      <c r="AB8" t="s">
        <v>65</v>
      </c>
      <c r="AC8" t="s">
        <v>18</v>
      </c>
      <c r="AD8" s="4">
        <v>39.299999999999997</v>
      </c>
      <c r="AE8">
        <v>2</v>
      </c>
      <c r="AF8" t="s">
        <v>20</v>
      </c>
      <c r="AG8" t="s">
        <v>30</v>
      </c>
    </row>
    <row r="9" spans="1:33" x14ac:dyDescent="0.3">
      <c r="A9" s="2">
        <v>43856</v>
      </c>
      <c r="B9">
        <v>27</v>
      </c>
      <c r="C9">
        <v>1</v>
      </c>
      <c r="E9">
        <v>7</v>
      </c>
      <c r="F9">
        <v>4</v>
      </c>
      <c r="G9">
        <v>6</v>
      </c>
      <c r="I9">
        <v>7</v>
      </c>
      <c r="J9">
        <v>2</v>
      </c>
      <c r="P9" s="4">
        <v>2.99</v>
      </c>
      <c r="R9" s="4">
        <f>5.76+18.05+4.47+7.19+3.5+6.86</f>
        <v>45.83</v>
      </c>
      <c r="S9" s="4">
        <f>2.99+3+4.09+3.99+1.95+3.99</f>
        <v>20.009999999999998</v>
      </c>
      <c r="T9" s="4">
        <f>2.99+2.99+4.79+1.49</f>
        <v>12.26</v>
      </c>
      <c r="V9" s="4">
        <f>4.75+2.5+2.5+2.5+2.69+2.99</f>
        <v>17.93</v>
      </c>
      <c r="W9" s="4">
        <f>2.59+3.39</f>
        <v>5.98</v>
      </c>
      <c r="Y9" s="4">
        <v>109.54</v>
      </c>
      <c r="AA9" s="3">
        <v>0.68596064814814817</v>
      </c>
      <c r="AB9" t="s">
        <v>41</v>
      </c>
      <c r="AC9" t="s">
        <v>18</v>
      </c>
      <c r="AD9" s="4">
        <v>27.89</v>
      </c>
      <c r="AE9">
        <v>2</v>
      </c>
      <c r="AF9" t="s">
        <v>20</v>
      </c>
      <c r="AG9" t="s">
        <v>30</v>
      </c>
    </row>
    <row r="10" spans="1:33" x14ac:dyDescent="0.3">
      <c r="A10" s="2">
        <v>43863</v>
      </c>
      <c r="B10">
        <v>19</v>
      </c>
      <c r="E10">
        <v>6</v>
      </c>
      <c r="F10">
        <v>3</v>
      </c>
      <c r="G10">
        <v>5</v>
      </c>
      <c r="I10">
        <v>5</v>
      </c>
      <c r="R10" s="4">
        <f>3.99+4.99+11.93+6.83+7.55</f>
        <v>35.29</v>
      </c>
      <c r="S10" s="4">
        <f>1.5+1.5+3.79+0.89+0.89+5.29</f>
        <v>13.86</v>
      </c>
      <c r="T10" s="4">
        <f>2.99+2.89+3.99</f>
        <v>9.870000000000001</v>
      </c>
      <c r="V10" s="4">
        <f>3.49+4.75+2.69+6</f>
        <v>16.93</v>
      </c>
      <c r="Y10" s="4">
        <v>76.05</v>
      </c>
      <c r="AA10" s="3">
        <v>0.80599537037037028</v>
      </c>
      <c r="AB10" t="s">
        <v>34</v>
      </c>
      <c r="AC10" t="s">
        <v>18</v>
      </c>
      <c r="AD10" s="4">
        <v>12.4</v>
      </c>
      <c r="AE10">
        <v>2</v>
      </c>
      <c r="AF10" t="s">
        <v>20</v>
      </c>
      <c r="AG10" t="s">
        <v>30</v>
      </c>
    </row>
    <row r="11" spans="1:33" x14ac:dyDescent="0.3">
      <c r="A11" s="2">
        <v>43870</v>
      </c>
      <c r="B11">
        <v>25</v>
      </c>
      <c r="E11">
        <v>6</v>
      </c>
      <c r="F11">
        <v>4</v>
      </c>
      <c r="G11">
        <v>3</v>
      </c>
      <c r="H11">
        <v>3</v>
      </c>
      <c r="I11">
        <v>7</v>
      </c>
      <c r="J11">
        <v>2</v>
      </c>
      <c r="R11" s="4">
        <f>6.99+11.31+3.32</f>
        <v>21.62</v>
      </c>
      <c r="S11" s="4">
        <f>2.79+2.49+5.89+1.99+4.99+2.79</f>
        <v>20.939999999999998</v>
      </c>
      <c r="T11" s="4">
        <f>1.53+4.79+4.99+5.29</f>
        <v>16.600000000000001</v>
      </c>
      <c r="U11" s="4">
        <f>4.99+11.99+4.99</f>
        <v>21.97</v>
      </c>
      <c r="V11" s="4">
        <f>4.79+7.39+11.85+3.99+0.1+2.5+2.5</f>
        <v>33.120000000000005</v>
      </c>
      <c r="W11" s="4">
        <f>12.29+1.99</f>
        <v>14.28</v>
      </c>
      <c r="Y11" s="4">
        <v>130.34</v>
      </c>
      <c r="AA11" s="3">
        <v>0.84060185185185177</v>
      </c>
      <c r="AB11" t="s">
        <v>17</v>
      </c>
      <c r="AC11" t="s">
        <v>18</v>
      </c>
      <c r="AD11" s="4">
        <v>7.8</v>
      </c>
      <c r="AE11">
        <v>3</v>
      </c>
      <c r="AF11" t="s">
        <v>20</v>
      </c>
      <c r="AG11" t="s">
        <v>30</v>
      </c>
    </row>
    <row r="12" spans="1:33" x14ac:dyDescent="0.3">
      <c r="A12" s="2">
        <v>43904</v>
      </c>
      <c r="B12">
        <v>36</v>
      </c>
      <c r="C12">
        <v>1</v>
      </c>
      <c r="E12">
        <v>14</v>
      </c>
      <c r="F12">
        <v>5</v>
      </c>
      <c r="G12">
        <v>7</v>
      </c>
      <c r="I12">
        <v>3</v>
      </c>
      <c r="J12">
        <v>6</v>
      </c>
      <c r="P12" s="4">
        <v>5.99</v>
      </c>
      <c r="R12" s="4">
        <f>9.39+6.99+4.99+2.99+11.99+2.99</f>
        <v>39.340000000000011</v>
      </c>
      <c r="S12" s="4">
        <f>2.79+2.79+3.59+5.49+10.99+2.49+2.19+3.49+1.99+2.5+2.5+3.49+5.69+5.29</f>
        <v>55.28</v>
      </c>
      <c r="T12" s="4">
        <f>2.04+0.99+5.29+1.99+1.99</f>
        <v>12.3</v>
      </c>
      <c r="V12" s="4">
        <f>3.99+2.69+15.99</f>
        <v>22.67</v>
      </c>
      <c r="W12" s="4">
        <f>7.99+6.19+0.99+1.99+1.99+8.19</f>
        <v>27.339999999999996</v>
      </c>
      <c r="Y12" s="4">
        <v>182.19</v>
      </c>
      <c r="Z12" s="4">
        <v>4.8099999999999996</v>
      </c>
      <c r="AA12" s="3">
        <v>0.8924537037037038</v>
      </c>
      <c r="AB12" t="s">
        <v>65</v>
      </c>
      <c r="AC12" t="s">
        <v>22</v>
      </c>
      <c r="AD12" s="4">
        <v>14.26</v>
      </c>
      <c r="AE12">
        <v>2</v>
      </c>
      <c r="AF12" t="s">
        <v>20</v>
      </c>
      <c r="AG12" t="s">
        <v>30</v>
      </c>
    </row>
    <row r="13" spans="1:33" x14ac:dyDescent="0.3">
      <c r="A13" s="2">
        <v>43912</v>
      </c>
      <c r="B13">
        <v>35</v>
      </c>
      <c r="E13">
        <v>16</v>
      </c>
      <c r="F13">
        <v>5</v>
      </c>
      <c r="G13">
        <v>7</v>
      </c>
      <c r="I13">
        <v>7</v>
      </c>
      <c r="R13" s="4">
        <f>5.59+6.94+8.89+5.49+4.99+4.14+6.98</f>
        <v>43.02000000000001</v>
      </c>
      <c r="S13" s="4">
        <f>1+1+1.69+1.99+2.99+3.19+1.5+1.5+1.5+0.69+3.49+2.99+1.99+4.19+3.99+3.99+2.99</f>
        <v>40.680000000000007</v>
      </c>
      <c r="T13" s="4">
        <f>4.79+0.99+1.98+4.99</f>
        <v>12.75</v>
      </c>
      <c r="V13" s="4">
        <f>3.99+3.49+5.29+3.49+4.75+0.1+6</f>
        <v>27.11</v>
      </c>
      <c r="Y13" s="4">
        <v>122.06</v>
      </c>
      <c r="Z13" s="4">
        <v>0</v>
      </c>
      <c r="AA13" s="3">
        <v>0.35932870370370368</v>
      </c>
      <c r="AB13" t="s">
        <v>63</v>
      </c>
      <c r="AC13" t="s">
        <v>18</v>
      </c>
      <c r="AD13" s="4">
        <v>12.27</v>
      </c>
      <c r="AE13">
        <v>6</v>
      </c>
      <c r="AF13" t="s">
        <v>20</v>
      </c>
      <c r="AG13" t="s">
        <v>30</v>
      </c>
    </row>
    <row r="14" spans="1:33" x14ac:dyDescent="0.3">
      <c r="A14" s="2">
        <v>43940</v>
      </c>
      <c r="B14">
        <v>30</v>
      </c>
      <c r="E14">
        <v>12</v>
      </c>
      <c r="F14">
        <v>4</v>
      </c>
      <c r="G14">
        <v>6</v>
      </c>
      <c r="I14">
        <v>7</v>
      </c>
      <c r="J14">
        <v>1</v>
      </c>
      <c r="R14" s="4">
        <f>4.99+4.99+7.44+6.76+7.62+7.99</f>
        <v>39.79</v>
      </c>
      <c r="S14" s="4">
        <f>2.29+8.39+1.5+2.5+2.5+3.39+3.79+3.79+3.99+2.49+5.29+3.59</f>
        <v>43.510000000000005</v>
      </c>
      <c r="T14" s="4">
        <f>2.99+4.79+3.99+3.99</f>
        <v>15.76</v>
      </c>
      <c r="V14" s="4">
        <f>7.29+2.51+3.99+5.29+2.69+2.99+3.29</f>
        <v>28.050000000000004</v>
      </c>
      <c r="W14" s="4">
        <v>4.79</v>
      </c>
      <c r="Y14" s="4">
        <v>133.12</v>
      </c>
      <c r="AA14" s="3">
        <v>0.35027777777777774</v>
      </c>
      <c r="AB14" t="s">
        <v>34</v>
      </c>
      <c r="AC14" t="s">
        <v>18</v>
      </c>
      <c r="AD14" s="4">
        <v>3.77</v>
      </c>
      <c r="AE14">
        <v>5</v>
      </c>
      <c r="AF14" t="s">
        <v>20</v>
      </c>
      <c r="AG14" t="s">
        <v>30</v>
      </c>
    </row>
    <row r="15" spans="1:33" x14ac:dyDescent="0.3">
      <c r="A15" s="2">
        <v>43943</v>
      </c>
      <c r="B15">
        <v>12</v>
      </c>
      <c r="E15">
        <v>11</v>
      </c>
      <c r="F15">
        <v>1</v>
      </c>
      <c r="S15" s="4">
        <f>1.5+1.5+4.29+2.99+1.19+1.19+1.19+1.19+3.99+0.5+5.29</f>
        <v>24.82</v>
      </c>
      <c r="T15" s="4">
        <v>2.99</v>
      </c>
      <c r="Y15" s="4">
        <v>27.81</v>
      </c>
      <c r="Z15" s="4">
        <v>0</v>
      </c>
      <c r="AA15" s="3">
        <v>0.55157407407407411</v>
      </c>
      <c r="AB15" t="s">
        <v>21</v>
      </c>
      <c r="AC15" t="s">
        <v>51</v>
      </c>
      <c r="AD15" s="4">
        <v>0</v>
      </c>
      <c r="AE15">
        <v>23</v>
      </c>
      <c r="AF15" t="s">
        <v>20</v>
      </c>
      <c r="AG15" t="s">
        <v>30</v>
      </c>
    </row>
    <row r="16" spans="1:33" x14ac:dyDescent="0.3">
      <c r="A16" s="2">
        <v>43950</v>
      </c>
      <c r="B16">
        <v>8</v>
      </c>
      <c r="E16">
        <v>6</v>
      </c>
      <c r="I16">
        <v>2</v>
      </c>
      <c r="S16" s="4">
        <f>2.99+2.99+1.99+0.05+1.99+3.99</f>
        <v>14.000000000000002</v>
      </c>
      <c r="V16" s="4">
        <f>4.99+1.99</f>
        <v>6.98</v>
      </c>
      <c r="Y16" s="4">
        <v>21.28</v>
      </c>
      <c r="AA16" s="6">
        <v>0.7715277777777777</v>
      </c>
      <c r="AB16" t="s">
        <v>21</v>
      </c>
      <c r="AC16" t="s">
        <v>51</v>
      </c>
      <c r="AD16" s="4">
        <v>0</v>
      </c>
      <c r="AF16" t="s">
        <v>23</v>
      </c>
      <c r="AG16" t="s">
        <v>30</v>
      </c>
    </row>
    <row r="17" spans="1:33" x14ac:dyDescent="0.3">
      <c r="A17" s="2">
        <v>43954</v>
      </c>
      <c r="B17">
        <v>46</v>
      </c>
      <c r="E17">
        <v>24</v>
      </c>
      <c r="F17">
        <v>6</v>
      </c>
      <c r="G17">
        <v>7</v>
      </c>
      <c r="I17">
        <v>8</v>
      </c>
      <c r="J17">
        <v>1</v>
      </c>
      <c r="R17" s="4">
        <f>4.99+7.99+5.99+3.99+12.17+5.99+15.91</f>
        <v>57.03</v>
      </c>
      <c r="S17" s="4">
        <f>1.89+1.89+5.49+0.99+3.19+4.99+3.19+1.32+2.19+1.5+3.5+4.99+1.5+1.19+1.19+3.79+1.85+4.29+1.69+3.29+4.29+1.89+4.29</f>
        <v>64.39</v>
      </c>
      <c r="T17" s="4">
        <f>1.99+2.99+2.99+3.79+0.69+4.99</f>
        <v>17.440000000000001</v>
      </c>
      <c r="V17" s="4">
        <f>3.95+4.89+3.99+3.49+12.49+4.75+2.69+6</f>
        <v>42.25</v>
      </c>
      <c r="W17" s="4">
        <v>3.39</v>
      </c>
      <c r="Y17" s="4">
        <v>186.38</v>
      </c>
      <c r="AA17" s="3">
        <v>0.34628472222222223</v>
      </c>
      <c r="AB17" t="s">
        <v>44</v>
      </c>
      <c r="AC17" t="s">
        <v>18</v>
      </c>
      <c r="AD17" s="4">
        <v>13.07</v>
      </c>
      <c r="AE17">
        <v>7</v>
      </c>
      <c r="AF17" t="s">
        <v>20</v>
      </c>
      <c r="AG17" t="s">
        <v>30</v>
      </c>
    </row>
    <row r="18" spans="1:33" x14ac:dyDescent="0.3">
      <c r="A18" s="2">
        <v>43955</v>
      </c>
      <c r="B18">
        <v>40</v>
      </c>
      <c r="C18">
        <v>1</v>
      </c>
      <c r="E18">
        <v>21</v>
      </c>
      <c r="F18">
        <v>4</v>
      </c>
      <c r="G18">
        <v>5</v>
      </c>
      <c r="I18">
        <v>7</v>
      </c>
      <c r="J18">
        <v>1</v>
      </c>
      <c r="M18">
        <v>1</v>
      </c>
      <c r="R18" s="4">
        <f>4.99+10.63+11.19+4.99+9.24</f>
        <v>41.040000000000006</v>
      </c>
      <c r="S18" s="4">
        <f>1.99+1.99+2.5+2.5+1.88+0.34+0.33+0.33+1.25+2+0.45+0.45+3.79+0.1+2.29+1.99+6.99+6.29+3.5</f>
        <v>40.959999999999994</v>
      </c>
      <c r="T18" s="4">
        <f>2+2+1.99+1.99</f>
        <v>7.98</v>
      </c>
      <c r="V18" s="4">
        <f>8.59+4.79+3+4.75+1.88+10+2.19</f>
        <v>35.199999999999996</v>
      </c>
      <c r="W18" s="4">
        <v>1.99</v>
      </c>
      <c r="X18" s="4">
        <v>-0.5</v>
      </c>
      <c r="Y18" s="4">
        <v>114</v>
      </c>
      <c r="AA18" s="3">
        <v>0.35266203703703702</v>
      </c>
      <c r="AB18" t="s">
        <v>44</v>
      </c>
      <c r="AC18" t="s">
        <v>18</v>
      </c>
      <c r="AD18" s="4">
        <v>26.17</v>
      </c>
      <c r="AE18">
        <v>7</v>
      </c>
      <c r="AF18" t="s">
        <v>20</v>
      </c>
      <c r="AG18" t="s">
        <v>30</v>
      </c>
    </row>
    <row r="19" spans="1:33" x14ac:dyDescent="0.3">
      <c r="A19" s="2">
        <v>43961</v>
      </c>
      <c r="B19">
        <v>28</v>
      </c>
      <c r="C19">
        <v>2</v>
      </c>
      <c r="E19">
        <v>10</v>
      </c>
      <c r="F19">
        <v>3</v>
      </c>
      <c r="G19">
        <v>5</v>
      </c>
      <c r="I19">
        <v>7</v>
      </c>
      <c r="J19">
        <v>1</v>
      </c>
      <c r="P19" s="4">
        <f>3.99+1.89</f>
        <v>5.88</v>
      </c>
      <c r="R19" s="4">
        <f>5.81+5.79+14.01+8.39+5.99</f>
        <v>39.99</v>
      </c>
      <c r="S19" s="4">
        <f>4.49+3.19+5.39+5.49+5.99+3.39+3.59+4.49+1.99+5.29</f>
        <v>43.300000000000004</v>
      </c>
      <c r="T19" s="4">
        <f>2.5+2.89+2.49</f>
        <v>7.8800000000000008</v>
      </c>
      <c r="V19" s="4">
        <f>2.51+8.59+2.99+4.75+2.69+2.39</f>
        <v>23.92</v>
      </c>
      <c r="W19" s="4">
        <v>5.49</v>
      </c>
      <c r="Y19" s="4">
        <v>128.04</v>
      </c>
      <c r="AA19" s="3">
        <v>0.34020833333333328</v>
      </c>
      <c r="AB19" t="s">
        <v>34</v>
      </c>
      <c r="AC19" t="s">
        <v>18</v>
      </c>
      <c r="AD19" s="4">
        <v>9.6199999999999992</v>
      </c>
      <c r="AE19">
        <v>5</v>
      </c>
      <c r="AF19" t="s">
        <v>20</v>
      </c>
      <c r="AG19" t="s">
        <v>30</v>
      </c>
    </row>
    <row r="20" spans="1:33" x14ac:dyDescent="0.3">
      <c r="A20" s="2">
        <v>43968</v>
      </c>
      <c r="B20">
        <v>32</v>
      </c>
      <c r="C20">
        <v>1</v>
      </c>
      <c r="E20">
        <v>15</v>
      </c>
      <c r="F20">
        <v>4</v>
      </c>
      <c r="G20">
        <v>4</v>
      </c>
      <c r="I20">
        <v>8</v>
      </c>
      <c r="P20" s="4">
        <v>3.69</v>
      </c>
      <c r="R20" s="4">
        <f>10.57+9.51+12.65+2.79</f>
        <v>35.519999999999996</v>
      </c>
      <c r="S20" s="4">
        <f>2.29+1.99+1.99+2.5+2.5+4.49+1+4.69+6.49+3.99+4.29+2.99+2.14+5.29+3.99</f>
        <v>50.63</v>
      </c>
      <c r="T20" s="4">
        <f>2.99+3.99+4.79+5.29</f>
        <v>17.059999999999999</v>
      </c>
      <c r="V20" s="4">
        <f>4.89+2.49+2.5+2.5+3.29+4.75+2.99</f>
        <v>23.409999999999997</v>
      </c>
      <c r="Y20" s="4">
        <v>130.94</v>
      </c>
      <c r="AA20" s="3">
        <v>0.33787037037037032</v>
      </c>
      <c r="AB20" t="s">
        <v>44</v>
      </c>
      <c r="AC20" t="s">
        <v>18</v>
      </c>
      <c r="AD20" s="4">
        <v>13.33</v>
      </c>
      <c r="AE20">
        <v>5</v>
      </c>
      <c r="AF20" t="s">
        <v>20</v>
      </c>
      <c r="AG20" t="s">
        <v>30</v>
      </c>
    </row>
    <row r="21" spans="1:33" x14ac:dyDescent="0.3">
      <c r="A21" s="2">
        <v>43982</v>
      </c>
      <c r="B21">
        <v>39</v>
      </c>
      <c r="E21">
        <v>18</v>
      </c>
      <c r="F21">
        <v>7</v>
      </c>
      <c r="G21">
        <v>5</v>
      </c>
      <c r="I21">
        <v>8</v>
      </c>
      <c r="J21">
        <v>1</v>
      </c>
      <c r="R21" s="4">
        <f>7.99+5.99+7.74+16.28+5.99</f>
        <v>43.99</v>
      </c>
      <c r="S21" s="4">
        <f>5.29+3.59+3+3+2.99+3.79+2.19+5.99+0.34+0.34+0.33+0.33+0.33+0.33+3.39+5.29+4.99+3.99</f>
        <v>49.499999999999993</v>
      </c>
      <c r="T21" s="4">
        <f>2.99+3.82+2.89+0.99+2.49+1.99+1.99</f>
        <v>17.16</v>
      </c>
      <c r="V21" s="4">
        <f>4.89+6.99+6.99+4.75+2.69+3.29+3.29</f>
        <v>32.89</v>
      </c>
      <c r="W21" s="4">
        <v>5.79</v>
      </c>
      <c r="Y21" s="4">
        <v>144.97</v>
      </c>
      <c r="AA21" s="3">
        <v>0.33406249999999998</v>
      </c>
      <c r="AB21" t="s">
        <v>33</v>
      </c>
      <c r="AC21" t="s">
        <v>18</v>
      </c>
      <c r="AD21" s="4">
        <v>17.71</v>
      </c>
      <c r="AE21">
        <v>7</v>
      </c>
      <c r="AF21" t="s">
        <v>20</v>
      </c>
      <c r="AG21" t="s">
        <v>30</v>
      </c>
    </row>
    <row r="22" spans="1:33" x14ac:dyDescent="0.3">
      <c r="A22" s="2">
        <v>43984</v>
      </c>
      <c r="B22">
        <v>18</v>
      </c>
      <c r="E22">
        <v>5</v>
      </c>
      <c r="G22">
        <v>1</v>
      </c>
      <c r="I22">
        <v>12</v>
      </c>
      <c r="R22" s="4">
        <v>4.09</v>
      </c>
      <c r="S22" s="4">
        <f>3.29+3.29+4.39+2.5+2.99</f>
        <v>16.46</v>
      </c>
      <c r="V22" s="4">
        <f>4.79+1+6.29+4.59+3.99+3.67+3.67+1.65+1.29+1.29+1.29+1.29</f>
        <v>34.81</v>
      </c>
      <c r="Y22" s="4">
        <v>55.2</v>
      </c>
      <c r="AA22" s="3">
        <v>0.40055555555555555</v>
      </c>
      <c r="AB22" t="s">
        <v>33</v>
      </c>
      <c r="AC22" t="s">
        <v>42</v>
      </c>
      <c r="AD22" s="4">
        <v>7.88</v>
      </c>
      <c r="AE22">
        <v>5</v>
      </c>
      <c r="AF22" t="s">
        <v>20</v>
      </c>
      <c r="AG22" t="s">
        <v>30</v>
      </c>
    </row>
    <row r="23" spans="1:33" x14ac:dyDescent="0.3">
      <c r="A23" s="2">
        <v>43989</v>
      </c>
      <c r="B23">
        <v>32</v>
      </c>
      <c r="D23">
        <v>1</v>
      </c>
      <c r="E23">
        <v>10</v>
      </c>
      <c r="F23">
        <v>6</v>
      </c>
      <c r="G23">
        <v>6</v>
      </c>
      <c r="I23">
        <v>8</v>
      </c>
      <c r="J23">
        <v>1</v>
      </c>
      <c r="M23">
        <v>1</v>
      </c>
      <c r="R23" s="4">
        <f>7.41+7.89+14.01+5.39+5.39+6.09</f>
        <v>46.180000000000007</v>
      </c>
      <c r="S23" s="4">
        <f>1.89+2.49+2.99+6.9+4.99+2.14+1+1.99+1.89+5.29</f>
        <v>31.569999999999997</v>
      </c>
      <c r="T23" s="4">
        <f>4.57+2.89+2.89+1.28+2.74+3.99</f>
        <v>18.36</v>
      </c>
      <c r="V23" s="4">
        <f>4.79+1.5+1.5+1.79+4.89+2.99+4.75</f>
        <v>22.21</v>
      </c>
      <c r="W23" s="4">
        <v>6.49</v>
      </c>
      <c r="X23" s="4">
        <v>5</v>
      </c>
      <c r="Y23" s="4">
        <v>123.95</v>
      </c>
      <c r="AA23" s="3">
        <v>0.35979166666666668</v>
      </c>
      <c r="AB23" t="s">
        <v>33</v>
      </c>
      <c r="AC23" t="s">
        <v>18</v>
      </c>
      <c r="AD23" s="4">
        <v>21.16</v>
      </c>
      <c r="AE23">
        <v>7</v>
      </c>
      <c r="AF23" t="s">
        <v>20</v>
      </c>
      <c r="AG23" t="s">
        <v>30</v>
      </c>
    </row>
    <row r="24" spans="1:33" x14ac:dyDescent="0.3">
      <c r="A24" s="2">
        <v>44003</v>
      </c>
      <c r="B24">
        <v>27</v>
      </c>
      <c r="E24">
        <v>6</v>
      </c>
      <c r="F24">
        <v>7</v>
      </c>
      <c r="G24">
        <v>3</v>
      </c>
      <c r="H24">
        <v>1</v>
      </c>
      <c r="I24">
        <v>9</v>
      </c>
      <c r="J24">
        <v>1</v>
      </c>
      <c r="R24" s="4">
        <f>6.79+12.05+11.29</f>
        <v>30.13</v>
      </c>
      <c r="S24" s="4">
        <f>12.99+3.19+1.49+1.49+4.99+1.25</f>
        <v>25.4</v>
      </c>
      <c r="T24" s="4">
        <f>2.01+1.99+0.59+1.98+4.99+2.5</f>
        <v>14.06</v>
      </c>
      <c r="U24" s="4">
        <v>9.99</v>
      </c>
      <c r="V24" s="4">
        <f>3.29+6.29+4.59+3.99+4.75+2.69+1.09+6</f>
        <v>32.69</v>
      </c>
      <c r="W24" s="4">
        <v>1.99</v>
      </c>
      <c r="Y24" s="4">
        <v>116.32</v>
      </c>
      <c r="AA24" s="3">
        <v>0.34760416666666666</v>
      </c>
      <c r="AB24" t="s">
        <v>33</v>
      </c>
      <c r="AC24" t="s">
        <v>18</v>
      </c>
      <c r="AD24" s="4">
        <v>9.2899999999999991</v>
      </c>
      <c r="AE24">
        <v>5</v>
      </c>
      <c r="AF24" t="s">
        <v>20</v>
      </c>
      <c r="AG24" t="s">
        <v>30</v>
      </c>
    </row>
    <row r="25" spans="1:33" x14ac:dyDescent="0.3">
      <c r="A25" s="2">
        <v>44010</v>
      </c>
      <c r="B25">
        <v>40</v>
      </c>
      <c r="C25">
        <v>1</v>
      </c>
      <c r="E25">
        <v>19</v>
      </c>
      <c r="F25">
        <v>7</v>
      </c>
      <c r="G25">
        <v>5</v>
      </c>
      <c r="I25">
        <v>7</v>
      </c>
      <c r="J25">
        <v>1</v>
      </c>
      <c r="P25" s="4">
        <v>3.69</v>
      </c>
      <c r="R25" s="4">
        <f>3.29+16.19+8.72+4.74+5.27</f>
        <v>38.210000000000008</v>
      </c>
      <c r="S25" s="4">
        <f>2.59+3.29+3.29+3.49+4.49+1.25+1.5+1.39+1.39+5.99+3.99+3.79+0.1+4.79+1.5+3.99+1+1+5.29</f>
        <v>54.120000000000005</v>
      </c>
      <c r="T25" s="4">
        <f>0.99+1.5+1.29+2.95+4.99+1.99+1.99</f>
        <v>15.700000000000001</v>
      </c>
      <c r="V25" s="4">
        <f>6.11+6.98+4.89+4.75+0.1+2.69+3.69</f>
        <v>29.210000000000004</v>
      </c>
      <c r="W25" s="4">
        <v>1.99</v>
      </c>
      <c r="X25" s="4">
        <v>-20</v>
      </c>
      <c r="Y25" s="4">
        <v>122</v>
      </c>
      <c r="AA25" s="3">
        <v>0.36942129629629633</v>
      </c>
      <c r="AB25" t="s">
        <v>33</v>
      </c>
      <c r="AC25" t="s">
        <v>18</v>
      </c>
      <c r="AD25" s="4">
        <v>27.17</v>
      </c>
      <c r="AE25">
        <v>7</v>
      </c>
      <c r="AF25" t="s">
        <v>20</v>
      </c>
      <c r="AG25" t="s">
        <v>30</v>
      </c>
    </row>
    <row r="26" spans="1:33" x14ac:dyDescent="0.3">
      <c r="A26" s="2">
        <v>44015</v>
      </c>
      <c r="B26">
        <v>8</v>
      </c>
      <c r="E26">
        <v>2</v>
      </c>
      <c r="J26">
        <v>6</v>
      </c>
      <c r="S26" s="4">
        <f>1+3.89</f>
        <v>4.8900000000000006</v>
      </c>
      <c r="W26" s="4">
        <f>1.99+1.89+3.99+2.49+0.1+1.79</f>
        <v>12.25</v>
      </c>
      <c r="Y26" s="4">
        <v>18.260000000000002</v>
      </c>
      <c r="AA26" s="3">
        <v>0.57640046296296299</v>
      </c>
      <c r="AB26" t="s">
        <v>21</v>
      </c>
      <c r="AC26" t="s">
        <v>46</v>
      </c>
      <c r="AD26" s="4">
        <v>0.39</v>
      </c>
      <c r="AE26">
        <v>23</v>
      </c>
      <c r="AF26" t="s">
        <v>20</v>
      </c>
      <c r="AG26" t="s">
        <v>30</v>
      </c>
    </row>
    <row r="27" spans="1:33" x14ac:dyDescent="0.3">
      <c r="A27" s="2">
        <v>44016</v>
      </c>
      <c r="B27">
        <v>6</v>
      </c>
      <c r="E27">
        <v>4</v>
      </c>
      <c r="H27">
        <v>2</v>
      </c>
      <c r="S27" s="4">
        <f>1.98+0.1</f>
        <v>2.08</v>
      </c>
      <c r="U27" s="4">
        <f>7+4.18</f>
        <v>11.18</v>
      </c>
      <c r="Y27" s="4">
        <v>14.18</v>
      </c>
      <c r="AA27" s="6">
        <v>0.58611111111111114</v>
      </c>
      <c r="AB27" t="s">
        <v>21</v>
      </c>
      <c r="AC27" t="s">
        <v>22</v>
      </c>
      <c r="AD27" s="4">
        <v>0</v>
      </c>
      <c r="AF27" t="s">
        <v>23</v>
      </c>
      <c r="AG27" t="s">
        <v>31</v>
      </c>
    </row>
    <row r="28" spans="1:33" x14ac:dyDescent="0.3">
      <c r="A28" s="2">
        <v>44016</v>
      </c>
      <c r="B28">
        <v>13</v>
      </c>
      <c r="C28">
        <v>1</v>
      </c>
      <c r="E28">
        <v>2</v>
      </c>
      <c r="F28">
        <v>2</v>
      </c>
      <c r="G28">
        <v>2</v>
      </c>
      <c r="I28">
        <v>5</v>
      </c>
      <c r="K28">
        <v>1</v>
      </c>
      <c r="P28" s="4">
        <v>5</v>
      </c>
      <c r="Q28" s="4">
        <v>9.98</v>
      </c>
      <c r="R28" s="4">
        <f>14.74+7.28</f>
        <v>22.02</v>
      </c>
      <c r="S28" s="4">
        <f>5.99+6.99</f>
        <v>12.98</v>
      </c>
      <c r="T28" s="4">
        <f>5+3.99</f>
        <v>8.99</v>
      </c>
      <c r="V28" s="4">
        <f>4.99+4.99+4.99</f>
        <v>14.97</v>
      </c>
      <c r="Y28" s="4">
        <v>74.14</v>
      </c>
      <c r="AA28" s="6">
        <v>0.62291666666666667</v>
      </c>
      <c r="AB28" t="s">
        <v>28</v>
      </c>
      <c r="AC28" t="s">
        <v>22</v>
      </c>
      <c r="AD28" s="4">
        <f>0.5+6.33+4</f>
        <v>10.83</v>
      </c>
      <c r="AF28" t="s">
        <v>23</v>
      </c>
      <c r="AG28" t="s">
        <v>31</v>
      </c>
    </row>
    <row r="29" spans="1:33" x14ac:dyDescent="0.3">
      <c r="A29" s="2">
        <v>44024</v>
      </c>
      <c r="B29">
        <v>36</v>
      </c>
      <c r="C29">
        <v>2</v>
      </c>
      <c r="E29">
        <v>8</v>
      </c>
      <c r="F29">
        <v>7</v>
      </c>
      <c r="G29">
        <v>6</v>
      </c>
      <c r="I29">
        <v>10</v>
      </c>
      <c r="J29">
        <v>3</v>
      </c>
      <c r="M29">
        <v>1</v>
      </c>
      <c r="P29" s="4">
        <f>3.99+1.89</f>
        <v>5.88</v>
      </c>
      <c r="R29" s="4">
        <f>2.99+5.99+5.49+7.94+9.27+12.31</f>
        <v>43.99</v>
      </c>
      <c r="S29" s="4">
        <f>1.25+2.19+2.19+3.99+3.29</f>
        <v>12.91</v>
      </c>
      <c r="T29" s="4">
        <f>3.99+4.99+5.99+1.9+0.89+2.64+4.79</f>
        <v>25.19</v>
      </c>
      <c r="V29" s="4">
        <f>6.49+4.49+3.89+4.75+1.97+3.5+3.5+3.79+6</f>
        <v>38.380000000000003</v>
      </c>
      <c r="W29" s="4">
        <f>4.79+6.99</f>
        <v>11.780000000000001</v>
      </c>
      <c r="X29" s="4">
        <v>6</v>
      </c>
      <c r="Y29" s="4">
        <v>133.72</v>
      </c>
      <c r="AA29" s="3">
        <v>0.34424768518518517</v>
      </c>
      <c r="AB29" t="s">
        <v>43</v>
      </c>
      <c r="AC29" t="s">
        <v>18</v>
      </c>
      <c r="AD29" s="4">
        <f>6+10.25</f>
        <v>16.25</v>
      </c>
      <c r="AE29">
        <v>5</v>
      </c>
      <c r="AF29" t="s">
        <v>20</v>
      </c>
      <c r="AG29" t="s">
        <v>30</v>
      </c>
    </row>
    <row r="30" spans="1:33" x14ac:dyDescent="0.3">
      <c r="A30" s="2">
        <v>44031</v>
      </c>
      <c r="B30">
        <v>39</v>
      </c>
      <c r="C30">
        <v>1</v>
      </c>
      <c r="E30">
        <v>18</v>
      </c>
      <c r="F30">
        <v>4</v>
      </c>
      <c r="G30">
        <v>4</v>
      </c>
      <c r="H30">
        <v>1</v>
      </c>
      <c r="I30">
        <v>10</v>
      </c>
      <c r="J30">
        <v>1</v>
      </c>
      <c r="M30">
        <v>1</v>
      </c>
      <c r="P30" s="4">
        <v>3.99</v>
      </c>
      <c r="R30" s="4">
        <f>7.66+6.29+4.78+2.99</f>
        <v>21.72</v>
      </c>
      <c r="S30" s="4">
        <f>1.25+1.25+1.25+1.25+3.69+1.79+3.29+1.49+3.49+4.99+3.29+1.49+3.49+3.49+4.99+1.19+1.19+3.49+3.59+4.45</f>
        <v>54.400000000000006</v>
      </c>
      <c r="T30" s="4">
        <f>3.99+2.99+0.81+4.99</f>
        <v>12.780000000000001</v>
      </c>
      <c r="U30" s="4">
        <v>9.99</v>
      </c>
      <c r="V30" s="4">
        <f>4.79+4.79+1.79+8.59+3.89+2.99+3.99</f>
        <v>30.830000000000005</v>
      </c>
      <c r="W30" s="4">
        <v>4.45</v>
      </c>
      <c r="X30" s="4">
        <v>1</v>
      </c>
      <c r="Y30" s="4">
        <v>135.08000000000001</v>
      </c>
      <c r="AA30" s="3">
        <v>0.3613425925925926</v>
      </c>
      <c r="AB30" t="s">
        <v>43</v>
      </c>
      <c r="AC30" t="s">
        <v>18</v>
      </c>
      <c r="AD30" s="4">
        <f>10.41+1</f>
        <v>11.41</v>
      </c>
      <c r="AE30">
        <v>5</v>
      </c>
      <c r="AF30" t="s">
        <v>20</v>
      </c>
      <c r="AG30" t="s">
        <v>30</v>
      </c>
    </row>
    <row r="31" spans="1:33" x14ac:dyDescent="0.3">
      <c r="A31" s="2">
        <v>44037</v>
      </c>
      <c r="B31">
        <v>4</v>
      </c>
      <c r="G31">
        <v>2</v>
      </c>
      <c r="I31">
        <v>2</v>
      </c>
      <c r="R31" s="4">
        <f>8.99+7.55</f>
        <v>16.54</v>
      </c>
      <c r="V31" s="4">
        <f>4.75+0.1</f>
        <v>4.8499999999999996</v>
      </c>
      <c r="Y31" s="4">
        <v>21.39</v>
      </c>
      <c r="AA31" s="3">
        <v>0.47021990740740738</v>
      </c>
      <c r="AB31" t="s">
        <v>21</v>
      </c>
      <c r="AC31" t="s">
        <v>22</v>
      </c>
      <c r="AD31" s="4">
        <v>3.72</v>
      </c>
      <c r="AF31" t="s">
        <v>20</v>
      </c>
      <c r="AG31" t="s">
        <v>30</v>
      </c>
    </row>
    <row r="32" spans="1:33" x14ac:dyDescent="0.3">
      <c r="A32" s="2">
        <v>44037</v>
      </c>
      <c r="B32">
        <v>12</v>
      </c>
      <c r="E32">
        <v>8</v>
      </c>
      <c r="I32">
        <v>1</v>
      </c>
      <c r="J32">
        <v>3</v>
      </c>
      <c r="S32" s="4">
        <f>3.49+1.95+2.49+5.19+5.99+4.99+8.99+4.99</f>
        <v>38.080000000000005</v>
      </c>
      <c r="V32" s="4">
        <v>6.11</v>
      </c>
      <c r="W32" s="4">
        <f>2.99+0.2</f>
        <v>3.1900000000000004</v>
      </c>
      <c r="Y32" s="4">
        <v>47.66</v>
      </c>
      <c r="AA32" s="3">
        <v>0.45953703703703702</v>
      </c>
      <c r="AB32" t="s">
        <v>21</v>
      </c>
      <c r="AC32" t="s">
        <v>22</v>
      </c>
      <c r="AD32" s="4">
        <v>1</v>
      </c>
      <c r="AF32" t="s">
        <v>20</v>
      </c>
      <c r="AG32" t="s">
        <v>30</v>
      </c>
    </row>
    <row r="33" spans="1:33" x14ac:dyDescent="0.3">
      <c r="A33" s="2">
        <v>44038</v>
      </c>
      <c r="B33">
        <v>45</v>
      </c>
      <c r="C33">
        <v>1</v>
      </c>
      <c r="E33">
        <v>11</v>
      </c>
      <c r="F33">
        <v>7</v>
      </c>
      <c r="G33">
        <v>6</v>
      </c>
      <c r="I33">
        <v>12</v>
      </c>
      <c r="J33">
        <v>3</v>
      </c>
      <c r="P33" s="4">
        <v>1.89</v>
      </c>
      <c r="R33" s="4">
        <f>6.79+7.95+6.05+7.2+6.29+4.99</f>
        <v>39.270000000000003</v>
      </c>
      <c r="S33" s="4">
        <f>1.99+2.99+1.19+1.19+3.99+1.25+1.25+3.69+1+0.71+4.29</f>
        <v>23.54</v>
      </c>
      <c r="T33" s="4">
        <f>2+4.79+2.84+3.4+1.98+4.99+3.99</f>
        <v>23.990000000000002</v>
      </c>
      <c r="V33" s="4">
        <f>4.79+4.79+3.29+3.29+2.51+4.49+2.99+3.99+4.75+0.1+1.97+3.43</f>
        <v>40.390000000000008</v>
      </c>
      <c r="W33" s="4">
        <f>0.4+1.99+4.99</f>
        <v>7.3800000000000008</v>
      </c>
      <c r="Y33" s="4">
        <v>131.47</v>
      </c>
      <c r="AA33" s="3">
        <v>0.35083333333333333</v>
      </c>
      <c r="AB33" t="s">
        <v>50</v>
      </c>
      <c r="AC33" t="s">
        <v>18</v>
      </c>
      <c r="AD33" s="4">
        <v>17.23</v>
      </c>
      <c r="AE33">
        <v>5</v>
      </c>
      <c r="AF33" t="s">
        <v>20</v>
      </c>
      <c r="AG33" t="s">
        <v>30</v>
      </c>
    </row>
    <row r="34" spans="1:33" x14ac:dyDescent="0.3">
      <c r="A34" s="2">
        <v>44041</v>
      </c>
      <c r="B34">
        <v>7</v>
      </c>
      <c r="C34">
        <v>1</v>
      </c>
      <c r="E34">
        <v>5</v>
      </c>
      <c r="J34">
        <v>1</v>
      </c>
      <c r="P34" s="4">
        <v>3.69</v>
      </c>
      <c r="S34" s="4">
        <f>3.49+1+5.39+4.99+4.29</f>
        <v>19.16</v>
      </c>
      <c r="W34" s="4">
        <v>0.1</v>
      </c>
      <c r="Y34" s="4">
        <v>24.13</v>
      </c>
      <c r="Z34" s="4">
        <v>1.18</v>
      </c>
      <c r="AA34" s="3">
        <v>0.69603009259259263</v>
      </c>
      <c r="AB34" t="s">
        <v>55</v>
      </c>
      <c r="AC34" t="s">
        <v>51</v>
      </c>
      <c r="AD34" s="4">
        <v>0.39</v>
      </c>
      <c r="AF34" t="s">
        <v>20</v>
      </c>
      <c r="AG34" t="s">
        <v>30</v>
      </c>
    </row>
    <row r="35" spans="1:33" x14ac:dyDescent="0.3">
      <c r="A35" s="2">
        <v>44045</v>
      </c>
      <c r="B35">
        <v>38</v>
      </c>
      <c r="E35">
        <v>10</v>
      </c>
      <c r="F35">
        <v>9</v>
      </c>
      <c r="G35">
        <v>6</v>
      </c>
      <c r="I35">
        <v>12</v>
      </c>
      <c r="J35">
        <v>1</v>
      </c>
      <c r="R35" s="4">
        <f>7.75+5.49+5.99+2.79+14.26+2.79</f>
        <v>39.07</v>
      </c>
      <c r="S35" s="4">
        <f>3.29+1.39+1.85+4.89+2.29+2.99+3.15+0.71+5.29</f>
        <v>25.849999999999994</v>
      </c>
      <c r="T35" s="4">
        <f>1.25+3.34+1.99+2.49+1.97+1.42+3.01+4.99+1.11</f>
        <v>21.57</v>
      </c>
      <c r="V35" s="4">
        <f>7.29+6.49+8.59+4.49+1.5+4.5+4.75+0.1+2.5+2.5+3+2.67</f>
        <v>48.38</v>
      </c>
      <c r="W35" s="4">
        <v>2.99</v>
      </c>
      <c r="Y35" s="4">
        <v>138.4</v>
      </c>
      <c r="AA35" s="3">
        <v>0.3382175925925926</v>
      </c>
      <c r="AB35" t="s">
        <v>47</v>
      </c>
      <c r="AC35" t="s">
        <v>18</v>
      </c>
      <c r="AD35" s="4">
        <v>9.08</v>
      </c>
      <c r="AE35">
        <v>5</v>
      </c>
      <c r="AF35" t="s">
        <v>20</v>
      </c>
      <c r="AG35" t="s">
        <v>30</v>
      </c>
    </row>
    <row r="36" spans="1:33" x14ac:dyDescent="0.3">
      <c r="A36" s="2">
        <v>44045</v>
      </c>
      <c r="B36">
        <v>2</v>
      </c>
      <c r="E36">
        <v>2</v>
      </c>
      <c r="S36" s="4">
        <f>2.49+2.49</f>
        <v>4.9800000000000004</v>
      </c>
      <c r="Y36" s="4">
        <v>4.9800000000000004</v>
      </c>
      <c r="Z36" s="4">
        <v>0</v>
      </c>
      <c r="AA36" s="3">
        <v>0.85553240740740744</v>
      </c>
      <c r="AB36" t="s">
        <v>86</v>
      </c>
      <c r="AC36" t="s">
        <v>18</v>
      </c>
      <c r="AD36" s="4">
        <v>0</v>
      </c>
      <c r="AE36" t="s">
        <v>73</v>
      </c>
      <c r="AF36" t="s">
        <v>20</v>
      </c>
      <c r="AG36" t="s">
        <v>30</v>
      </c>
    </row>
    <row r="37" spans="1:33" x14ac:dyDescent="0.3">
      <c r="A37" s="2">
        <v>44047</v>
      </c>
      <c r="B37">
        <v>5</v>
      </c>
      <c r="J37">
        <v>5</v>
      </c>
      <c r="W37" s="4">
        <f>14.49+17.99+4.39+16.79+0.11</f>
        <v>53.769999999999996</v>
      </c>
      <c r="Y37" s="4">
        <v>59</v>
      </c>
      <c r="AA37" s="6">
        <v>0.27499999999999997</v>
      </c>
      <c r="AB37" t="s">
        <v>48</v>
      </c>
      <c r="AC37" t="s">
        <v>42</v>
      </c>
      <c r="AE37">
        <v>1</v>
      </c>
      <c r="AF37" t="s">
        <v>49</v>
      </c>
      <c r="AG37" t="s">
        <v>30</v>
      </c>
    </row>
    <row r="38" spans="1:33" x14ac:dyDescent="0.3">
      <c r="A38" s="2">
        <v>44052</v>
      </c>
      <c r="B38">
        <v>42</v>
      </c>
      <c r="E38">
        <v>17</v>
      </c>
      <c r="F38">
        <v>11</v>
      </c>
      <c r="G38">
        <v>5</v>
      </c>
      <c r="I38">
        <v>9</v>
      </c>
      <c r="R38" s="4">
        <f>5.86+8.77+6.6+14.34-3</f>
        <v>32.569999999999993</v>
      </c>
      <c r="S38" s="4">
        <f>4.29+8.99+1+1+1+3.39+1.35+1.35+1+5.49+1.19+1.19+0.79+1.25+1.25+2.99+1.69</f>
        <v>39.210000000000008</v>
      </c>
      <c r="T38" s="4">
        <f>4-1.34+3.49+3.58+4.79+4.99+3.99+2.49+1.01+1.99+1.99</f>
        <v>30.98</v>
      </c>
      <c r="V38" s="4">
        <f>4.79+4.79+1.79+2+2+4.75+0.1+3+2.99</f>
        <v>26.21</v>
      </c>
      <c r="Y38" s="4">
        <v>129.80000000000001</v>
      </c>
      <c r="Z38" s="4">
        <v>0.83</v>
      </c>
      <c r="AA38" s="3">
        <v>0.35593750000000002</v>
      </c>
      <c r="AB38" t="s">
        <v>60</v>
      </c>
      <c r="AC38" t="s">
        <v>18</v>
      </c>
      <c r="AD38" s="4">
        <v>18.809999999999999</v>
      </c>
      <c r="AE38">
        <v>5</v>
      </c>
      <c r="AF38" t="s">
        <v>20</v>
      </c>
      <c r="AG38" t="s">
        <v>30</v>
      </c>
    </row>
    <row r="39" spans="1:33" x14ac:dyDescent="0.3">
      <c r="A39" s="2">
        <v>44057</v>
      </c>
      <c r="B39">
        <v>3</v>
      </c>
      <c r="E39">
        <v>1</v>
      </c>
      <c r="F39">
        <v>1</v>
      </c>
      <c r="J39">
        <v>1</v>
      </c>
      <c r="S39" s="4">
        <v>5.99</v>
      </c>
      <c r="T39" s="4">
        <v>1.99</v>
      </c>
      <c r="W39" s="4">
        <v>3.99</v>
      </c>
      <c r="Y39" s="4">
        <v>12.46</v>
      </c>
      <c r="AA39" s="6">
        <v>0.53194444444444444</v>
      </c>
      <c r="AB39" t="s">
        <v>21</v>
      </c>
      <c r="AC39" t="s">
        <v>46</v>
      </c>
      <c r="AD39" s="4">
        <v>0.5</v>
      </c>
      <c r="AF39" t="s">
        <v>23</v>
      </c>
      <c r="AG39" t="s">
        <v>30</v>
      </c>
    </row>
    <row r="40" spans="1:33" x14ac:dyDescent="0.3">
      <c r="A40" s="2">
        <v>44059</v>
      </c>
      <c r="B40">
        <v>38</v>
      </c>
      <c r="C40">
        <v>1</v>
      </c>
      <c r="E40">
        <v>8</v>
      </c>
      <c r="F40">
        <v>6</v>
      </c>
      <c r="G40">
        <v>9</v>
      </c>
      <c r="I40">
        <v>11</v>
      </c>
      <c r="J40">
        <v>3</v>
      </c>
      <c r="M40">
        <v>2</v>
      </c>
      <c r="P40" s="4">
        <v>2.99</v>
      </c>
      <c r="R40" s="4">
        <f>7.99+7.99+5.99+2.99+1.99+11.25+7.21+9.93+6.99</f>
        <v>62.330000000000005</v>
      </c>
      <c r="S40" s="4">
        <f>1.5+1.5+4.99+3.29+1.25+1.25+2+2</f>
        <v>17.78</v>
      </c>
      <c r="T40" s="4">
        <f>1.5+2.89+2.79+3.14+0.69+4.99</f>
        <v>16</v>
      </c>
      <c r="V40" s="4">
        <f>3.5+3.5+4.79+6.11+3.89+4.49+4.75+0.1+2.39+2.5+2.5</f>
        <v>38.520000000000003</v>
      </c>
      <c r="W40" s="4">
        <f>4.45+3.39+3.99</f>
        <v>11.83</v>
      </c>
      <c r="Y40" s="4">
        <v>114.27</v>
      </c>
      <c r="Z40" s="4">
        <v>0.93</v>
      </c>
      <c r="AA40" s="3">
        <v>0.3397222222222222</v>
      </c>
      <c r="AB40" t="s">
        <v>34</v>
      </c>
      <c r="AC40" t="s">
        <v>18</v>
      </c>
      <c r="AD40" s="4">
        <v>55.21</v>
      </c>
      <c r="AE40">
        <v>5</v>
      </c>
      <c r="AF40" t="s">
        <v>20</v>
      </c>
      <c r="AG40" t="s">
        <v>30</v>
      </c>
    </row>
    <row r="41" spans="1:33" x14ac:dyDescent="0.3">
      <c r="A41" s="2">
        <v>44064</v>
      </c>
      <c r="B41">
        <v>8</v>
      </c>
      <c r="C41">
        <v>1</v>
      </c>
      <c r="E41">
        <v>1</v>
      </c>
      <c r="H41">
        <v>1</v>
      </c>
      <c r="I41">
        <v>4</v>
      </c>
      <c r="J41">
        <v>1</v>
      </c>
      <c r="P41" s="4">
        <v>3.49</v>
      </c>
      <c r="S41" s="4">
        <v>2.99</v>
      </c>
      <c r="U41" s="4">
        <v>5.49</v>
      </c>
      <c r="V41" s="4">
        <f>4.75+0.1+3+3</f>
        <v>10.85</v>
      </c>
      <c r="W41" s="4">
        <v>0.1</v>
      </c>
      <c r="Y41" s="4">
        <v>22.92</v>
      </c>
      <c r="Z41" s="4">
        <v>0</v>
      </c>
      <c r="AA41" s="3">
        <v>0.67593749999999997</v>
      </c>
      <c r="AB41" t="s">
        <v>55</v>
      </c>
      <c r="AC41" t="s">
        <v>46</v>
      </c>
      <c r="AD41" s="4">
        <v>3.54</v>
      </c>
      <c r="AE41" t="s">
        <v>73</v>
      </c>
      <c r="AF41" t="s">
        <v>20</v>
      </c>
      <c r="AG41" t="s">
        <v>30</v>
      </c>
    </row>
    <row r="42" spans="1:33" x14ac:dyDescent="0.3">
      <c r="A42" s="2">
        <v>44066</v>
      </c>
      <c r="B42">
        <v>4</v>
      </c>
      <c r="E42">
        <v>4</v>
      </c>
      <c r="S42" s="4">
        <f>4.49+2.99+3.89+3.99</f>
        <v>15.360000000000001</v>
      </c>
      <c r="Y42" s="4">
        <v>15.36</v>
      </c>
      <c r="Z42" s="4">
        <v>0</v>
      </c>
      <c r="AA42" s="3">
        <v>0.61305555555555558</v>
      </c>
      <c r="AB42" t="s">
        <v>55</v>
      </c>
      <c r="AC42" t="s">
        <v>18</v>
      </c>
      <c r="AD42" s="4">
        <v>1.9</v>
      </c>
      <c r="AE42" t="s">
        <v>73</v>
      </c>
      <c r="AF42" t="s">
        <v>20</v>
      </c>
      <c r="AG42" t="s">
        <v>30</v>
      </c>
    </row>
    <row r="43" spans="1:33" x14ac:dyDescent="0.3">
      <c r="A43" s="2">
        <v>44066</v>
      </c>
      <c r="B43">
        <v>34</v>
      </c>
      <c r="C43">
        <v>1</v>
      </c>
      <c r="E43">
        <v>15</v>
      </c>
      <c r="F43">
        <v>6</v>
      </c>
      <c r="G43">
        <v>5</v>
      </c>
      <c r="I43">
        <v>7</v>
      </c>
      <c r="P43" s="4">
        <v>3.49</v>
      </c>
      <c r="R43" s="4">
        <f>4.42+5.51+10.49+5.49+7.99</f>
        <v>33.900000000000006</v>
      </c>
      <c r="S43" s="4">
        <f>3.99+9.99+3.29+1.32+9.15+2.99+2.19+1.67+1.25+2.19+2.19+3.42+1+5.29+2.99</f>
        <v>52.92</v>
      </c>
      <c r="T43" s="4">
        <f>3.37+2.89+1.46+1.38+3</f>
        <v>12.1</v>
      </c>
      <c r="V43" s="4">
        <f>6.59+2.5+2.5+2.5+2.5+3.99+3</f>
        <v>23.58</v>
      </c>
      <c r="X43" s="4">
        <f>1.5</f>
        <v>1.5</v>
      </c>
      <c r="Y43" s="4">
        <v>125.3</v>
      </c>
      <c r="Z43" s="4">
        <v>0.79</v>
      </c>
      <c r="AA43" s="3">
        <v>0.3364583333333333</v>
      </c>
      <c r="AB43" t="s">
        <v>44</v>
      </c>
      <c r="AC43" t="s">
        <v>18</v>
      </c>
      <c r="AD43" s="4">
        <v>17.07</v>
      </c>
      <c r="AE43">
        <v>7</v>
      </c>
      <c r="AF43" t="s">
        <v>20</v>
      </c>
      <c r="AG43" t="s">
        <v>30</v>
      </c>
    </row>
    <row r="44" spans="1:33" x14ac:dyDescent="0.3">
      <c r="A44" s="2">
        <v>44073</v>
      </c>
      <c r="B44">
        <v>40</v>
      </c>
      <c r="C44">
        <v>1</v>
      </c>
      <c r="E44">
        <v>11</v>
      </c>
      <c r="F44">
        <v>11</v>
      </c>
      <c r="G44">
        <v>4</v>
      </c>
      <c r="H44">
        <v>1</v>
      </c>
      <c r="I44">
        <v>12</v>
      </c>
      <c r="P44" s="4">
        <v>1.89</v>
      </c>
      <c r="R44" s="4">
        <f>7.27+5.99+6.2+2.99</f>
        <v>22.450000000000003</v>
      </c>
      <c r="S44" s="4">
        <f>4.99+4.29+2.99+1.25+1.29+1.69+1.5+1.5+2.5+0.05+4.19</f>
        <v>26.240000000000006</v>
      </c>
      <c r="T44" s="4">
        <f>2.56+1.99+2.49+4.36+4.99+3.99+1.45+1.25+2.49+2.99+2.99</f>
        <v>31.550000000000004</v>
      </c>
      <c r="U44" s="4">
        <v>6.71</v>
      </c>
      <c r="V44" s="4">
        <f>4.79+4.79+7.29+6.49+3.99+3.99+4.75+0.1+3.79+2.03+2.99+4.29</f>
        <v>49.290000000000006</v>
      </c>
      <c r="X44" s="4">
        <v>1.89</v>
      </c>
      <c r="Y44" s="4">
        <v>134.24</v>
      </c>
      <c r="Z44" s="4">
        <v>0</v>
      </c>
      <c r="AA44" s="3">
        <v>0.33879629629629626</v>
      </c>
      <c r="AB44" t="s">
        <v>60</v>
      </c>
      <c r="AC44" t="s">
        <v>18</v>
      </c>
      <c r="AD44" s="4">
        <v>17.32</v>
      </c>
      <c r="AE44">
        <v>7</v>
      </c>
      <c r="AF44" t="s">
        <v>20</v>
      </c>
      <c r="AG44" t="s">
        <v>30</v>
      </c>
    </row>
    <row r="45" spans="1:33" x14ac:dyDescent="0.3">
      <c r="A45" s="2">
        <v>44080</v>
      </c>
      <c r="B45">
        <v>38</v>
      </c>
      <c r="E45">
        <v>13</v>
      </c>
      <c r="F45">
        <v>12</v>
      </c>
      <c r="G45">
        <v>5</v>
      </c>
      <c r="H45">
        <v>1</v>
      </c>
      <c r="I45">
        <v>6</v>
      </c>
      <c r="J45">
        <v>1</v>
      </c>
      <c r="R45" s="4">
        <f>12.09+6.74+3.99+6.44+14.18</f>
        <v>43.44</v>
      </c>
      <c r="S45" s="4">
        <f>0.5+0.05+2.55+3.29+2.99+1.35+2.99+1.35+2.99+1.19+1.19+3.99+8.99+3.42+3.99</f>
        <v>40.830000000000005</v>
      </c>
      <c r="T45" s="4">
        <f>3+3.99+2.5+3.99+4.79+1.98+3.29+4.49+4.99</f>
        <v>33.020000000000003</v>
      </c>
      <c r="U45" s="4">
        <v>11.99</v>
      </c>
      <c r="V45" s="4">
        <f>1.99+8.59+4.75+0.1+3+3.29</f>
        <v>21.72</v>
      </c>
      <c r="W45" s="4">
        <v>2.5</v>
      </c>
      <c r="Y45" s="4">
        <v>150.22</v>
      </c>
      <c r="Z45" s="4">
        <v>1.06</v>
      </c>
      <c r="AA45" s="3">
        <v>0.3369907407407407</v>
      </c>
      <c r="AB45" t="s">
        <v>60</v>
      </c>
      <c r="AC45" t="s">
        <v>18</v>
      </c>
      <c r="AD45" s="4">
        <v>10.32</v>
      </c>
      <c r="AE45">
        <v>5</v>
      </c>
      <c r="AF45" t="s">
        <v>20</v>
      </c>
      <c r="AG45" t="s">
        <v>30</v>
      </c>
    </row>
    <row r="46" spans="1:33" x14ac:dyDescent="0.3">
      <c r="A46" s="2">
        <v>44081</v>
      </c>
      <c r="B46">
        <v>41</v>
      </c>
      <c r="C46">
        <v>1</v>
      </c>
      <c r="E46">
        <v>18</v>
      </c>
      <c r="F46">
        <v>7</v>
      </c>
      <c r="G46">
        <v>5</v>
      </c>
      <c r="I46">
        <v>9</v>
      </c>
      <c r="J46">
        <v>1</v>
      </c>
      <c r="P46" s="4">
        <v>3.99</v>
      </c>
      <c r="R46" s="4">
        <f>15+10.79+5.99+2.99+7.44</f>
        <v>42.21</v>
      </c>
      <c r="S46" s="4">
        <f>1.5+1.79+2+2+3.29+2.99+1+1+5.69+1.19+9.79+2.29+4.49+1.69+0.79+1+3.99+2.99</f>
        <v>49.480000000000004</v>
      </c>
      <c r="T46" s="4">
        <f>3+3.99+1.81+1.69+4.99</f>
        <v>15.48</v>
      </c>
      <c r="V46" s="4">
        <f>7.29+6.11+1.79+3.99+3.99+4.75+0.1+3+3.29</f>
        <v>34.31</v>
      </c>
      <c r="W46" s="4">
        <v>3.39</v>
      </c>
      <c r="Y46" s="4">
        <v>149.59</v>
      </c>
      <c r="Z46" s="4">
        <v>0.73</v>
      </c>
      <c r="AA46" s="3">
        <v>0.3595949074074074</v>
      </c>
      <c r="AB46" t="s">
        <v>47</v>
      </c>
      <c r="AC46" t="s">
        <v>18</v>
      </c>
      <c r="AD46" s="4">
        <v>18.38</v>
      </c>
      <c r="AE46">
        <v>5</v>
      </c>
      <c r="AF46" t="s">
        <v>20</v>
      </c>
      <c r="AG46" t="s">
        <v>30</v>
      </c>
    </row>
    <row r="47" spans="1:33" x14ac:dyDescent="0.3">
      <c r="A47" s="2">
        <v>44087</v>
      </c>
      <c r="B47">
        <v>29</v>
      </c>
      <c r="E47">
        <v>8</v>
      </c>
      <c r="F47">
        <v>5</v>
      </c>
      <c r="G47">
        <v>8</v>
      </c>
      <c r="H47">
        <v>1</v>
      </c>
      <c r="I47">
        <v>7</v>
      </c>
      <c r="R47" s="4">
        <f>5.99+17.61+6.42+7.42+7.95+18.51+6.89+7.2</f>
        <v>77.990000000000009</v>
      </c>
      <c r="S47" s="4">
        <f>1.99+4.69+0.34+0.33+0.33+1+1+1.59</f>
        <v>11.27</v>
      </c>
      <c r="T47" s="4">
        <f>1.99+4.31+4.79+0.84+3.42</f>
        <v>15.35</v>
      </c>
      <c r="U47" s="4">
        <v>5.99</v>
      </c>
      <c r="V47" s="4">
        <f>6.11+6.49+4.59+4.75+0.1+2.03+3.99</f>
        <v>28.060000000000002</v>
      </c>
      <c r="Y47" s="4">
        <v>138.47999999999999</v>
      </c>
      <c r="Z47" s="4">
        <v>0</v>
      </c>
      <c r="AA47" s="3">
        <v>0.35332175925925924</v>
      </c>
      <c r="AB47" t="s">
        <v>47</v>
      </c>
      <c r="AC47" t="s">
        <v>18</v>
      </c>
      <c r="AD47" s="4">
        <v>18.62</v>
      </c>
      <c r="AE47">
        <v>7</v>
      </c>
      <c r="AF47" t="s">
        <v>20</v>
      </c>
      <c r="AG47" t="s">
        <v>30</v>
      </c>
    </row>
    <row r="48" spans="1:33" x14ac:dyDescent="0.3">
      <c r="A48" s="2">
        <v>44094</v>
      </c>
      <c r="B48">
        <v>44</v>
      </c>
      <c r="E48">
        <v>17</v>
      </c>
      <c r="F48">
        <v>8</v>
      </c>
      <c r="G48">
        <v>9</v>
      </c>
      <c r="I48">
        <v>9</v>
      </c>
      <c r="J48">
        <v>1</v>
      </c>
      <c r="R48" s="4">
        <f>5.99+5.99+7.19+6.29+7.49+8.87+6.85+6.69+6.69</f>
        <v>62.05</v>
      </c>
      <c r="S48" s="4">
        <f>1.67+1.5+1.5+3.69+2.99+4.49+4.99+4.99+0.99+2.99+1.25+2.29+0.99+2.06+1+3.29+3.49</f>
        <v>44.17</v>
      </c>
      <c r="T48" s="4">
        <f>1.16+4.79+0.89+4.91+3.99+1.99+1.99</f>
        <v>19.72</v>
      </c>
      <c r="V48" s="4">
        <f>4.75+2.99+4.49+5.29+3.89+4.75+0.1+3+3.43</f>
        <v>32.690000000000005</v>
      </c>
      <c r="W48" s="4">
        <v>4.45</v>
      </c>
      <c r="X48" s="4">
        <f>1.69+1.69+1.85+3.87+2.49+2.19</f>
        <v>13.780000000000001</v>
      </c>
      <c r="Y48" s="4">
        <v>153.41</v>
      </c>
      <c r="Z48" s="4">
        <v>1.68</v>
      </c>
      <c r="AA48" s="3">
        <v>0.3520949074074074</v>
      </c>
      <c r="AB48" t="s">
        <v>44</v>
      </c>
      <c r="AC48" t="s">
        <v>18</v>
      </c>
      <c r="AD48" s="4">
        <v>32.01</v>
      </c>
      <c r="AE48">
        <v>7</v>
      </c>
      <c r="AF48" t="s">
        <v>20</v>
      </c>
      <c r="AG48" t="s">
        <v>30</v>
      </c>
    </row>
    <row r="49" spans="1:33" x14ac:dyDescent="0.3">
      <c r="A49" s="2">
        <v>44108</v>
      </c>
      <c r="B49">
        <v>37</v>
      </c>
      <c r="E49">
        <v>7</v>
      </c>
      <c r="F49">
        <v>13</v>
      </c>
      <c r="G49">
        <v>4</v>
      </c>
      <c r="I49">
        <v>11</v>
      </c>
      <c r="J49">
        <v>2</v>
      </c>
      <c r="R49" s="4">
        <f>4.99+18.59+5.65+8.99</f>
        <v>38.22</v>
      </c>
      <c r="S49" s="4">
        <f>1.69+4.99+1+2.29+1+2.29+3.99</f>
        <v>17.25</v>
      </c>
      <c r="T49" s="4">
        <f>1.06+1.5+2.69+4.99+1.64+3.74+1.98+4.99+1.13+3.99+1.99+1.99</f>
        <v>31.689999999999998</v>
      </c>
      <c r="V49" s="4">
        <f>5.99+5.79+5.99+10.99+4.29+4.75+0.1+3.79+3+2.5+2.5</f>
        <v>49.690000000000005</v>
      </c>
      <c r="W49" s="4">
        <f>2.99+3.29</f>
        <v>6.28</v>
      </c>
      <c r="Y49" s="4">
        <v>144.16999999999999</v>
      </c>
      <c r="Z49" s="4">
        <v>1.04</v>
      </c>
      <c r="AA49" s="3">
        <v>0.34381944444444446</v>
      </c>
      <c r="AB49" t="s">
        <v>34</v>
      </c>
      <c r="AC49" t="s">
        <v>18</v>
      </c>
      <c r="AD49" s="4">
        <v>12.86</v>
      </c>
      <c r="AE49">
        <v>5</v>
      </c>
      <c r="AF49" t="s">
        <v>20</v>
      </c>
      <c r="AG49" t="s">
        <v>30</v>
      </c>
    </row>
    <row r="50" spans="1:33" x14ac:dyDescent="0.3">
      <c r="A50" s="2">
        <v>44115</v>
      </c>
      <c r="B50">
        <v>40</v>
      </c>
      <c r="C50">
        <v>1</v>
      </c>
      <c r="E50">
        <v>13</v>
      </c>
      <c r="F50">
        <v>10</v>
      </c>
      <c r="G50">
        <v>4</v>
      </c>
      <c r="I50">
        <v>11</v>
      </c>
      <c r="J50">
        <v>2</v>
      </c>
      <c r="P50" s="4">
        <v>3.99</v>
      </c>
      <c r="R50" s="4">
        <f>13.93+7.6+6.29+5.83</f>
        <v>33.65</v>
      </c>
      <c r="S50" s="4">
        <f>5.49+2.99+4.29+1.88+1.67+1.99+1.79+1.25+1.25+2.29+3.99</f>
        <v>28.879999999999995</v>
      </c>
      <c r="T50" s="4">
        <f>1.99+6.99+4.79+0.89+2.85+1.98+2.5+3.28+3.8+3.99</f>
        <v>33.06</v>
      </c>
      <c r="V50" s="4">
        <f>1.79+1.67+1.66+1.6+4.75+0.1+0.99+4.19+2+2+3.99</f>
        <v>24.740000000000002</v>
      </c>
      <c r="W50" s="4">
        <f>4.455+3.99</f>
        <v>8.4450000000000003</v>
      </c>
      <c r="Y50" s="4">
        <v>133.61000000000001</v>
      </c>
      <c r="Z50" s="4">
        <v>0.78</v>
      </c>
      <c r="AA50" s="3">
        <v>0.34934027777777782</v>
      </c>
      <c r="AB50" t="s">
        <v>34</v>
      </c>
      <c r="AC50" t="s">
        <v>18</v>
      </c>
      <c r="AD50" s="4">
        <v>30.89</v>
      </c>
      <c r="AE50">
        <v>5</v>
      </c>
      <c r="AF50" t="s">
        <v>20</v>
      </c>
      <c r="AG50" t="s">
        <v>30</v>
      </c>
    </row>
    <row r="51" spans="1:33" x14ac:dyDescent="0.3">
      <c r="A51" s="2">
        <v>44118</v>
      </c>
      <c r="B51">
        <v>7</v>
      </c>
      <c r="D51">
        <v>1</v>
      </c>
      <c r="E51">
        <v>5</v>
      </c>
      <c r="J51">
        <v>1</v>
      </c>
      <c r="O51" s="4">
        <v>9.99</v>
      </c>
      <c r="S51" s="4">
        <f>2.49+3.69+1+8.29+2.99+4.59</f>
        <v>23.05</v>
      </c>
      <c r="W51" s="4">
        <v>4.59</v>
      </c>
      <c r="Y51" s="4">
        <v>35.159999999999997</v>
      </c>
      <c r="Z51" s="4">
        <v>2.12</v>
      </c>
      <c r="AA51" s="3">
        <v>0.70584490740740735</v>
      </c>
      <c r="AB51" t="s">
        <v>60</v>
      </c>
      <c r="AC51" t="s">
        <v>51</v>
      </c>
      <c r="AD51" s="4">
        <v>7.69</v>
      </c>
      <c r="AE51">
        <v>5</v>
      </c>
      <c r="AF51" t="s">
        <v>20</v>
      </c>
      <c r="AG51" t="s">
        <v>30</v>
      </c>
    </row>
    <row r="52" spans="1:33" x14ac:dyDescent="0.3">
      <c r="A52" s="2">
        <v>44122</v>
      </c>
      <c r="B52">
        <v>37</v>
      </c>
      <c r="C52">
        <v>1</v>
      </c>
      <c r="E52">
        <v>15</v>
      </c>
      <c r="F52">
        <v>5</v>
      </c>
      <c r="G52">
        <v>5</v>
      </c>
      <c r="I52">
        <v>8</v>
      </c>
      <c r="J52">
        <v>3</v>
      </c>
      <c r="P52" s="4">
        <v>1.89</v>
      </c>
      <c r="R52" s="4">
        <f>8.06+13.17+5.99+9.76+3.5</f>
        <v>40.479999999999997</v>
      </c>
      <c r="S52" s="4">
        <f>2.99+2.99+1.67+1.67+2.99+0.99+0.99+3.49+2.99+2.29+1.49+1.49+1.69+1.99+4.29</f>
        <v>34.01</v>
      </c>
      <c r="T52" s="4">
        <f>3.74+1.5+1.5+3.99+2.49</f>
        <v>13.22</v>
      </c>
      <c r="V52" s="4">
        <f>3.69+3.69+4.27+4.75+0.1+3.79+3.29+3.99</f>
        <v>27.57</v>
      </c>
      <c r="W52" s="4">
        <f>1.99+1.99+4.79</f>
        <v>8.77</v>
      </c>
      <c r="Y52" s="4">
        <v>126.75</v>
      </c>
      <c r="Z52" s="4">
        <v>0.81</v>
      </c>
      <c r="AA52" s="3">
        <v>0.34312499999999996</v>
      </c>
      <c r="AB52" t="s">
        <v>44</v>
      </c>
      <c r="AC52" t="s">
        <v>18</v>
      </c>
      <c r="AD52" s="4">
        <v>24.25</v>
      </c>
      <c r="AE52">
        <v>7</v>
      </c>
      <c r="AF52" t="s">
        <v>20</v>
      </c>
      <c r="AG52" t="s">
        <v>30</v>
      </c>
    </row>
    <row r="53" spans="1:33" x14ac:dyDescent="0.3">
      <c r="A53" s="2">
        <v>44125</v>
      </c>
      <c r="B53">
        <v>3</v>
      </c>
      <c r="E53">
        <v>1</v>
      </c>
      <c r="J53">
        <v>2</v>
      </c>
      <c r="M53">
        <v>1</v>
      </c>
      <c r="S53" s="4">
        <v>1.49</v>
      </c>
      <c r="W53" s="4">
        <f>16.79+16.79</f>
        <v>33.58</v>
      </c>
      <c r="X53" s="4">
        <v>1</v>
      </c>
      <c r="Y53" s="4">
        <v>37.01</v>
      </c>
      <c r="Z53" s="4">
        <v>3.18</v>
      </c>
      <c r="AA53" s="6">
        <v>4.6527777777777779E-2</v>
      </c>
      <c r="AB53" t="s">
        <v>62</v>
      </c>
      <c r="AC53" t="s">
        <v>51</v>
      </c>
      <c r="AD53" s="4">
        <v>1.24</v>
      </c>
      <c r="AF53" t="s">
        <v>49</v>
      </c>
      <c r="AG53" t="s">
        <v>30</v>
      </c>
    </row>
    <row r="54" spans="1:33" x14ac:dyDescent="0.3">
      <c r="A54" s="2">
        <v>44125</v>
      </c>
      <c r="B54">
        <v>2</v>
      </c>
      <c r="J54">
        <v>2</v>
      </c>
      <c r="W54" s="4">
        <f>14.99+11.49</f>
        <v>26.48</v>
      </c>
      <c r="Y54" s="4">
        <v>29.06</v>
      </c>
      <c r="Z54" s="4">
        <v>2.58</v>
      </c>
      <c r="AA54" s="3">
        <v>0.54519675925925926</v>
      </c>
      <c r="AB54" t="s">
        <v>62</v>
      </c>
      <c r="AC54" t="s">
        <v>51</v>
      </c>
      <c r="AD54" s="4">
        <v>0</v>
      </c>
      <c r="AF54" t="s">
        <v>49</v>
      </c>
      <c r="AG54" t="s">
        <v>71</v>
      </c>
    </row>
    <row r="55" spans="1:33" x14ac:dyDescent="0.3">
      <c r="A55" s="2">
        <v>44129</v>
      </c>
      <c r="B55">
        <v>36</v>
      </c>
      <c r="E55">
        <v>14</v>
      </c>
      <c r="F55">
        <v>4</v>
      </c>
      <c r="G55">
        <v>6</v>
      </c>
      <c r="H55">
        <v>1</v>
      </c>
      <c r="I55">
        <v>8</v>
      </c>
      <c r="J55">
        <v>3</v>
      </c>
      <c r="R55" s="4">
        <f>7.19+8.82+4.99+6.19+2.79+2.79</f>
        <v>32.770000000000003</v>
      </c>
      <c r="S55" s="4">
        <f>4.29+1.5+1.5+5.49+1.39+2.99+1.25+1.25+1.67+2.29+1+1+1+5.99</f>
        <v>32.610000000000007</v>
      </c>
      <c r="T55" s="4">
        <f>1.62+5.99+2.59+2.76</f>
        <v>12.959999999999999</v>
      </c>
      <c r="U55" s="4">
        <v>11.99</v>
      </c>
      <c r="V55" s="4">
        <f>2.51+4.75+0.1+3+3.43+4.99+3.99+3.99</f>
        <v>26.760000000000005</v>
      </c>
      <c r="W55" s="4">
        <f>2.99+4.99+1.49</f>
        <v>9.4700000000000006</v>
      </c>
      <c r="Y55" s="4">
        <v>125.1</v>
      </c>
      <c r="Z55" s="4">
        <v>1.04</v>
      </c>
      <c r="AA55" s="3">
        <v>0.34640046296296295</v>
      </c>
      <c r="AB55" t="s">
        <v>88</v>
      </c>
      <c r="AC55" t="s">
        <v>18</v>
      </c>
      <c r="AD55" s="4">
        <v>21.97</v>
      </c>
      <c r="AE55">
        <v>7</v>
      </c>
      <c r="AF55" t="s">
        <v>20</v>
      </c>
      <c r="AG55" t="s">
        <v>30</v>
      </c>
    </row>
    <row r="56" spans="1:33" x14ac:dyDescent="0.3">
      <c r="A56" s="2">
        <v>44135</v>
      </c>
      <c r="B56">
        <v>30</v>
      </c>
      <c r="C56">
        <v>1</v>
      </c>
      <c r="E56">
        <v>7</v>
      </c>
      <c r="F56">
        <v>10</v>
      </c>
      <c r="G56">
        <v>6</v>
      </c>
      <c r="I56">
        <v>5</v>
      </c>
      <c r="M56">
        <v>1</v>
      </c>
      <c r="P56" s="4">
        <v>3.99</v>
      </c>
      <c r="R56" s="4">
        <f>5.58+8.11+8.23+8.23+7.49+10.67</f>
        <v>48.31</v>
      </c>
      <c r="S56" s="4">
        <f>1.5+1.5+3.69+6.19+8.99+4.99+1</f>
        <v>27.86</v>
      </c>
      <c r="T56" s="4">
        <f>1.39+3.49+4.79+0.89+1.98+2.99+3.63+4.99+2.99+2.99</f>
        <v>30.130000000000003</v>
      </c>
      <c r="V56" s="4">
        <f>4.99+4.29+4.75+0.1+3.99</f>
        <v>18.12</v>
      </c>
      <c r="X56" s="4">
        <v>-2</v>
      </c>
      <c r="Y56" s="4">
        <v>114.33</v>
      </c>
      <c r="Z56" s="4">
        <v>0.56000000000000005</v>
      </c>
      <c r="AA56" s="3">
        <v>0.34166666666666662</v>
      </c>
      <c r="AB56" t="s">
        <v>17</v>
      </c>
      <c r="AC56" t="s">
        <v>18</v>
      </c>
      <c r="AD56" s="4">
        <v>28.21</v>
      </c>
      <c r="AE56">
        <v>5</v>
      </c>
      <c r="AF56" t="s">
        <v>20</v>
      </c>
      <c r="AG56" t="s">
        <v>30</v>
      </c>
    </row>
    <row r="57" spans="1:33" x14ac:dyDescent="0.3">
      <c r="A57" s="2">
        <v>44143</v>
      </c>
      <c r="B57">
        <v>33</v>
      </c>
      <c r="C57">
        <v>1</v>
      </c>
      <c r="E57">
        <v>11</v>
      </c>
      <c r="F57">
        <v>8</v>
      </c>
      <c r="G57">
        <v>4</v>
      </c>
      <c r="H57">
        <v>1</v>
      </c>
      <c r="I57">
        <v>7</v>
      </c>
      <c r="J57">
        <v>1</v>
      </c>
      <c r="P57" s="4">
        <v>1.89</v>
      </c>
      <c r="R57" s="4">
        <f>11.59+14.64+6.19+15.87</f>
        <v>48.29</v>
      </c>
      <c r="S57" s="4">
        <f>4.99+5.49+1.25+1.25+2.99+2.29+2.99+2.14+4.39+1.49+2.5</f>
        <v>31.77</v>
      </c>
      <c r="T57" s="4">
        <f>2.49+3.72+2.89+4.79+3.79+0.68+4.99+3</f>
        <v>26.35</v>
      </c>
      <c r="U57" s="4">
        <v>8.5500000000000007</v>
      </c>
      <c r="V57" s="4">
        <f>5.99+6.59+3.99+4.75+0.1+3.12+2.99</f>
        <v>27.53</v>
      </c>
      <c r="W57" s="4">
        <v>6.99</v>
      </c>
      <c r="Y57" s="4">
        <v>152.47999999999999</v>
      </c>
      <c r="Z57" s="4">
        <v>1.1100000000000001</v>
      </c>
      <c r="AA57" s="3">
        <v>0.35101851851851856</v>
      </c>
      <c r="AB57" t="s">
        <v>43</v>
      </c>
      <c r="AC57" t="s">
        <v>18</v>
      </c>
      <c r="AD57" s="4">
        <v>12.33</v>
      </c>
      <c r="AE57">
        <v>5</v>
      </c>
      <c r="AF57" t="s">
        <v>20</v>
      </c>
      <c r="AG57" t="s">
        <v>30</v>
      </c>
    </row>
    <row r="58" spans="1:33" x14ac:dyDescent="0.3">
      <c r="A58" s="2">
        <v>44150</v>
      </c>
      <c r="B58">
        <v>41</v>
      </c>
      <c r="C58">
        <v>1</v>
      </c>
      <c r="E58">
        <v>17</v>
      </c>
      <c r="F58">
        <v>5</v>
      </c>
      <c r="G58">
        <v>6</v>
      </c>
      <c r="I58">
        <v>10</v>
      </c>
      <c r="J58">
        <v>3</v>
      </c>
      <c r="M58">
        <v>2</v>
      </c>
      <c r="P58" s="4">
        <v>3.49</v>
      </c>
      <c r="R58" s="4">
        <f>7.09+5.99+20.76+6.19+6.82</f>
        <v>46.85</v>
      </c>
      <c r="S58" s="4">
        <f>2.49+2.49+1.5+1.99+4.89+3.5+2+4.99-1.25+8.99+1.67+3.42+1+1+1+1+3.49</f>
        <v>44.170000000000009</v>
      </c>
      <c r="T58" s="4">
        <f>2.89+3.99+1.57+1.53+2.79</f>
        <v>12.77</v>
      </c>
      <c r="V58" s="4">
        <f>3.99+4.59+3.99+4.75+0.1+3.99+3.79+2.09+1.39+3.99</f>
        <v>32.67</v>
      </c>
      <c r="W58" s="4">
        <f>6.79+1.99+1.99</f>
        <v>10.77</v>
      </c>
      <c r="X58" s="4">
        <v>-21</v>
      </c>
      <c r="Y58" s="4">
        <v>135.30000000000001</v>
      </c>
      <c r="Z58" s="4">
        <v>1.59</v>
      </c>
      <c r="AA58" s="3">
        <v>0.36079861111111106</v>
      </c>
      <c r="AB58" t="s">
        <v>33</v>
      </c>
      <c r="AC58" t="s">
        <v>18</v>
      </c>
      <c r="AD58" s="4">
        <v>34.39</v>
      </c>
      <c r="AE58">
        <v>7</v>
      </c>
      <c r="AF58" t="s">
        <v>20</v>
      </c>
      <c r="AG58" t="s">
        <v>30</v>
      </c>
    </row>
    <row r="59" spans="1:33" x14ac:dyDescent="0.3">
      <c r="A59" s="2">
        <v>44155</v>
      </c>
      <c r="B59">
        <v>2</v>
      </c>
      <c r="E59">
        <v>1</v>
      </c>
      <c r="G59">
        <v>1</v>
      </c>
      <c r="R59" s="4">
        <v>6.49</v>
      </c>
      <c r="S59" s="4">
        <v>4.29</v>
      </c>
      <c r="Y59" s="4">
        <v>10.78</v>
      </c>
      <c r="Z59" s="4">
        <v>0</v>
      </c>
      <c r="AA59" s="3">
        <v>0.47957175925925927</v>
      </c>
      <c r="AB59" t="s">
        <v>78</v>
      </c>
      <c r="AC59" t="s">
        <v>46</v>
      </c>
      <c r="AD59" s="4">
        <v>0.4</v>
      </c>
      <c r="AE59" t="s">
        <v>73</v>
      </c>
      <c r="AF59" t="s">
        <v>20</v>
      </c>
      <c r="AG59" t="s">
        <v>30</v>
      </c>
    </row>
    <row r="60" spans="1:33" x14ac:dyDescent="0.3">
      <c r="A60" s="2">
        <v>44156</v>
      </c>
      <c r="B60">
        <v>1</v>
      </c>
      <c r="G60">
        <v>1</v>
      </c>
      <c r="R60" s="4">
        <v>9.99</v>
      </c>
      <c r="Y60" s="4">
        <v>9.99</v>
      </c>
      <c r="Z60" s="4">
        <v>0</v>
      </c>
      <c r="AA60" s="6">
        <v>0.62083333333333335</v>
      </c>
      <c r="AB60" t="s">
        <v>21</v>
      </c>
      <c r="AC60" t="s">
        <v>22</v>
      </c>
      <c r="AD60" s="4">
        <v>3</v>
      </c>
      <c r="AF60" t="s">
        <v>23</v>
      </c>
      <c r="AG60" t="s">
        <v>53</v>
      </c>
    </row>
    <row r="61" spans="1:33" x14ac:dyDescent="0.3">
      <c r="A61" s="2">
        <v>44157</v>
      </c>
      <c r="B61">
        <v>35</v>
      </c>
      <c r="E61">
        <v>18</v>
      </c>
      <c r="F61">
        <v>6</v>
      </c>
      <c r="G61">
        <v>5</v>
      </c>
      <c r="I61">
        <v>6</v>
      </c>
      <c r="R61" s="4">
        <f>11.69+18.7+8.49+5.99+4.49</f>
        <v>49.360000000000007</v>
      </c>
      <c r="S61" s="4">
        <f>1.5+1.5+2+1.88+0.69+2+2+2.29+3.5+2.49+2.5+2.5+0.1+2.5+0.1+5.69+3.99+2.5</f>
        <v>39.730000000000004</v>
      </c>
      <c r="T61" s="4">
        <f>3.99+4.79+1.25+1.98+3.99</f>
        <v>16</v>
      </c>
      <c r="V61" s="4">
        <f>4.99+4.75+3.99+2+4.75</f>
        <v>20.48</v>
      </c>
      <c r="Y61" s="4">
        <v>125.67</v>
      </c>
      <c r="Z61" s="4">
        <v>0</v>
      </c>
      <c r="AA61" s="3">
        <v>0.35177083333333337</v>
      </c>
      <c r="AB61" t="s">
        <v>34</v>
      </c>
      <c r="AC61" t="s">
        <v>18</v>
      </c>
      <c r="AD61" s="4">
        <v>21.94</v>
      </c>
      <c r="AE61">
        <v>5</v>
      </c>
      <c r="AF61" t="s">
        <v>20</v>
      </c>
      <c r="AG61" t="s">
        <v>30</v>
      </c>
    </row>
    <row r="62" spans="1:33" x14ac:dyDescent="0.3">
      <c r="A62" s="2">
        <v>44164</v>
      </c>
      <c r="B62">
        <v>38</v>
      </c>
      <c r="C62">
        <v>1</v>
      </c>
      <c r="E62">
        <v>11</v>
      </c>
      <c r="F62">
        <v>7</v>
      </c>
      <c r="G62">
        <v>5</v>
      </c>
      <c r="I62">
        <v>11</v>
      </c>
      <c r="J62">
        <v>3</v>
      </c>
      <c r="P62" s="4">
        <v>3.99</v>
      </c>
      <c r="R62" s="4">
        <f>7.09+5.99+9.09+13.98+2.99</f>
        <v>39.140000000000008</v>
      </c>
      <c r="S62" s="4">
        <f>2+2+1.5+3.5+2.79+5.99+3.42+2.5</f>
        <v>23.700000000000003</v>
      </c>
      <c r="T62" s="4">
        <f>2.89+2.99+2.21+3.99+3.99+1.99+1.99</f>
        <v>20.049999999999997</v>
      </c>
      <c r="V62" s="4">
        <f>5.99+3.99+1.25+1.25+1.25+1.25+3.99+3.99+4.75+0.1+2.09</f>
        <v>29.900000000000002</v>
      </c>
      <c r="W62" s="4">
        <f>6.99+5.99+3.99</f>
        <v>16.97</v>
      </c>
      <c r="Y62" s="4">
        <v>140.30000000000001</v>
      </c>
      <c r="Z62" s="4">
        <v>1.57</v>
      </c>
      <c r="AA62" s="3">
        <v>0.35953703703703704</v>
      </c>
      <c r="AB62" t="s">
        <v>60</v>
      </c>
      <c r="AC62" t="s">
        <v>18</v>
      </c>
      <c r="AD62" s="4">
        <v>8.24</v>
      </c>
      <c r="AE62">
        <v>5</v>
      </c>
      <c r="AF62" t="s">
        <v>20</v>
      </c>
      <c r="AG62" t="s">
        <v>30</v>
      </c>
    </row>
    <row r="63" spans="1:33" x14ac:dyDescent="0.3">
      <c r="A63" s="2">
        <v>44171</v>
      </c>
      <c r="B63">
        <v>33</v>
      </c>
      <c r="C63">
        <v>1</v>
      </c>
      <c r="E63">
        <v>13</v>
      </c>
      <c r="F63">
        <v>4</v>
      </c>
      <c r="G63">
        <v>4</v>
      </c>
      <c r="I63">
        <v>9</v>
      </c>
      <c r="J63">
        <v>2</v>
      </c>
      <c r="P63" s="4">
        <v>3.99</v>
      </c>
      <c r="R63" s="4">
        <f>6.07+8.08+9.72+4.99</f>
        <v>28.86</v>
      </c>
      <c r="S63" s="4">
        <f>2.75+2.75+1.25+1.67+1.39+1+1+1+1+3.49+1+1+4.49</f>
        <v>23.79</v>
      </c>
      <c r="T63" s="4">
        <f>0.89+3.99+2.99+2.49</f>
        <v>10.36</v>
      </c>
      <c r="V63" s="4">
        <f>2.5+2.5+3.99+3.29+3.99+4.75+0.1+3.99+1.39</f>
        <v>26.500000000000007</v>
      </c>
      <c r="W63" s="4">
        <f>1.29+3.99</f>
        <v>5.28</v>
      </c>
      <c r="Y63" s="4">
        <v>99.68</v>
      </c>
      <c r="Z63" s="4">
        <v>0.9</v>
      </c>
      <c r="AA63" s="3">
        <v>0.33793981481481478</v>
      </c>
      <c r="AB63" t="s">
        <v>34</v>
      </c>
      <c r="AC63" t="s">
        <v>18</v>
      </c>
      <c r="AD63" s="4">
        <v>7.5</v>
      </c>
      <c r="AE63">
        <v>7</v>
      </c>
      <c r="AF63" t="s">
        <v>20</v>
      </c>
      <c r="AG63" t="s">
        <v>30</v>
      </c>
    </row>
    <row r="64" spans="1:33" x14ac:dyDescent="0.3">
      <c r="A64" s="2">
        <v>44178</v>
      </c>
      <c r="B64">
        <v>42</v>
      </c>
      <c r="E64">
        <v>21</v>
      </c>
      <c r="F64">
        <v>7</v>
      </c>
      <c r="G64">
        <v>8</v>
      </c>
      <c r="I64">
        <v>4</v>
      </c>
      <c r="J64">
        <v>1</v>
      </c>
      <c r="R64" s="4">
        <f>11.1+3.99+3.99+10.69+8.25+7.87+8.99+6.99</f>
        <v>61.87</v>
      </c>
      <c r="S64" s="4">
        <f>1.99+1.25+1.99+1.5+1.5+2.75+2.75+3.5+1.25+3.89+1.25+1.25+3.5+1.99+1.99+3.99+7.99+3.42+1.69+3.89+4.79</f>
        <v>58.120000000000005</v>
      </c>
      <c r="T64" s="4">
        <f>1.21+2.99+4.79+1.98+1.99+3.99+2.49</f>
        <v>19.440000000000005</v>
      </c>
      <c r="V64" s="4">
        <f>4.89+3.99+3.12+3.6</f>
        <v>15.6</v>
      </c>
      <c r="W64" s="4">
        <v>6.79</v>
      </c>
      <c r="Y64" s="4">
        <v>162.38999999999999</v>
      </c>
      <c r="Z64" s="4">
        <v>1.37</v>
      </c>
      <c r="AA64" s="3">
        <v>0.35203703703703698</v>
      </c>
      <c r="AB64" t="s">
        <v>60</v>
      </c>
      <c r="AC64" t="s">
        <v>18</v>
      </c>
      <c r="AD64" s="4">
        <v>13.55</v>
      </c>
      <c r="AE64">
        <v>5</v>
      </c>
      <c r="AF64" t="s">
        <v>20</v>
      </c>
      <c r="AG64" t="s">
        <v>30</v>
      </c>
    </row>
    <row r="65" spans="1:33" x14ac:dyDescent="0.3">
      <c r="A65" s="2">
        <v>44183</v>
      </c>
      <c r="B65">
        <v>7</v>
      </c>
      <c r="E65">
        <v>2</v>
      </c>
      <c r="F65">
        <v>1</v>
      </c>
      <c r="I65">
        <v>2</v>
      </c>
      <c r="J65">
        <v>1</v>
      </c>
      <c r="L65">
        <v>1</v>
      </c>
      <c r="N65" s="4">
        <v>50</v>
      </c>
      <c r="S65" s="4">
        <f>3.99+3.34</f>
        <v>7.33</v>
      </c>
      <c r="T65" s="4">
        <v>16.989999999999998</v>
      </c>
      <c r="V65" s="4">
        <f>1.39+3.29</f>
        <v>4.68</v>
      </c>
      <c r="W65" s="4">
        <v>5.99</v>
      </c>
      <c r="Y65" s="4">
        <v>87.12</v>
      </c>
      <c r="Z65" s="4">
        <v>2.13</v>
      </c>
      <c r="AA65" s="3">
        <v>0.40375</v>
      </c>
      <c r="AB65" t="s">
        <v>59</v>
      </c>
      <c r="AC65" t="s">
        <v>46</v>
      </c>
      <c r="AD65" s="4">
        <v>2.5</v>
      </c>
      <c r="AE65">
        <v>7</v>
      </c>
      <c r="AF65" t="s">
        <v>20</v>
      </c>
      <c r="AG65" t="s">
        <v>30</v>
      </c>
    </row>
    <row r="66" spans="1:33" x14ac:dyDescent="0.3">
      <c r="A66" s="2">
        <v>44185</v>
      </c>
      <c r="B66">
        <v>47</v>
      </c>
      <c r="E66">
        <v>15</v>
      </c>
      <c r="F66">
        <v>6</v>
      </c>
      <c r="G66">
        <v>5</v>
      </c>
      <c r="I66">
        <v>16</v>
      </c>
      <c r="J66">
        <v>5</v>
      </c>
      <c r="R66" s="4">
        <f>7.09+5.59+3.99+7.88+25.16</f>
        <v>49.71</v>
      </c>
      <c r="S66" s="4">
        <f>2.99+1.5+2.75+2.75+1.25+2.99+2.5+0.1+2.5+0.1+4.49+0.49+1.89+2.99+4.29</f>
        <v>33.58</v>
      </c>
      <c r="T66" s="4">
        <f>3.99+2.89+1.06+2.13+2.99+2.99</f>
        <v>16.05</v>
      </c>
      <c r="V66" s="7">
        <f>8.59+3.99+3.99+3+3+2+2+2+4.75+0.1+3.99+3.12+3.43+1.5+6+9.99</f>
        <v>61.45</v>
      </c>
      <c r="W66" s="4">
        <f>6.99+4.99+1.99+1.99+12.99</f>
        <v>28.950000000000003</v>
      </c>
      <c r="Y66" s="4">
        <v>192.83</v>
      </c>
      <c r="Z66" s="4">
        <v>3.09</v>
      </c>
      <c r="AA66" s="3">
        <v>0.36506944444444445</v>
      </c>
      <c r="AB66" t="s">
        <v>34</v>
      </c>
      <c r="AC66" t="s">
        <v>18</v>
      </c>
      <c r="AD66" s="4">
        <v>50.27</v>
      </c>
      <c r="AE66">
        <v>7</v>
      </c>
      <c r="AF66" t="s">
        <v>20</v>
      </c>
      <c r="AG66" t="s">
        <v>30</v>
      </c>
    </row>
    <row r="67" spans="1:33" x14ac:dyDescent="0.3">
      <c r="A67" s="2">
        <v>44186</v>
      </c>
      <c r="B67">
        <v>1</v>
      </c>
      <c r="I67">
        <v>1</v>
      </c>
      <c r="V67" s="4">
        <v>3.29</v>
      </c>
      <c r="Y67" s="4">
        <v>3.29</v>
      </c>
      <c r="Z67" s="4">
        <v>0</v>
      </c>
      <c r="AA67" s="3">
        <v>0.35945601851851849</v>
      </c>
      <c r="AB67" t="s">
        <v>55</v>
      </c>
      <c r="AC67" t="s">
        <v>56</v>
      </c>
      <c r="AD67" s="4">
        <v>0</v>
      </c>
      <c r="AF67" t="s">
        <v>20</v>
      </c>
      <c r="AG67" t="s">
        <v>30</v>
      </c>
    </row>
    <row r="68" spans="1:33" x14ac:dyDescent="0.3">
      <c r="A68" s="2">
        <v>44192</v>
      </c>
      <c r="B68">
        <v>28</v>
      </c>
      <c r="C68">
        <v>1</v>
      </c>
      <c r="E68">
        <v>11</v>
      </c>
      <c r="F68">
        <v>3</v>
      </c>
      <c r="G68">
        <v>4</v>
      </c>
      <c r="I68">
        <v>5</v>
      </c>
      <c r="J68">
        <v>3</v>
      </c>
      <c r="P68" s="4">
        <v>2.4900000000000002</v>
      </c>
      <c r="R68" s="4">
        <f>7.29+5.99+6.77+12.89</f>
        <v>32.94</v>
      </c>
      <c r="S68" s="4">
        <f>1.5+1.5+2.99+2.99+1.5+1.5+1.89+4.39+1.69+1.69+1.29</f>
        <v>22.930000000000003</v>
      </c>
      <c r="T68" s="4">
        <f>5+3.99+3.99</f>
        <v>12.98</v>
      </c>
      <c r="V68" s="4">
        <f>2.79+3.58+4.75+0.1+3.99</f>
        <v>15.21</v>
      </c>
      <c r="W68" s="4">
        <f>4.45+3.69+4.99</f>
        <v>13.13</v>
      </c>
      <c r="Y68" s="4">
        <v>100.89</v>
      </c>
      <c r="Z68" s="4">
        <v>1.21</v>
      </c>
      <c r="AA68" s="3">
        <v>0.34478009259259257</v>
      </c>
      <c r="AB68" t="s">
        <v>60</v>
      </c>
      <c r="AC68" t="s">
        <v>18</v>
      </c>
      <c r="AD68" s="4">
        <v>9.5399999999999991</v>
      </c>
      <c r="AE68">
        <v>5</v>
      </c>
      <c r="AF68" t="s">
        <v>20</v>
      </c>
      <c r="AG68" t="s">
        <v>30</v>
      </c>
    </row>
    <row r="69" spans="1:33" x14ac:dyDescent="0.3">
      <c r="A69" s="2">
        <v>44198</v>
      </c>
      <c r="B69">
        <v>2</v>
      </c>
      <c r="E69">
        <v>2</v>
      </c>
      <c r="S69" s="4">
        <f>1.89+1.89</f>
        <v>3.78</v>
      </c>
      <c r="Y69" s="4">
        <v>3.78</v>
      </c>
      <c r="Z69" s="4">
        <v>0</v>
      </c>
      <c r="AA69" s="6">
        <v>0.56597222222222221</v>
      </c>
      <c r="AB69" t="s">
        <v>54</v>
      </c>
      <c r="AC69" t="s">
        <v>22</v>
      </c>
      <c r="AD69" s="4">
        <v>0</v>
      </c>
      <c r="AF69" t="s">
        <v>23</v>
      </c>
      <c r="AG69" t="s">
        <v>53</v>
      </c>
    </row>
    <row r="70" spans="1:33" x14ac:dyDescent="0.3">
      <c r="A70" s="2">
        <v>44199</v>
      </c>
      <c r="B70">
        <v>26</v>
      </c>
      <c r="C70">
        <v>1</v>
      </c>
      <c r="E70">
        <v>5</v>
      </c>
      <c r="F70">
        <v>7</v>
      </c>
      <c r="G70">
        <v>5</v>
      </c>
      <c r="I70">
        <v>7</v>
      </c>
      <c r="J70">
        <v>1</v>
      </c>
      <c r="P70" s="4">
        <v>3.69</v>
      </c>
      <c r="R70" s="4">
        <f>8.15+3.99+3.99+7.38+6.24</f>
        <v>29.75</v>
      </c>
      <c r="S70" s="4">
        <f>4.59+1.5+2.99+2.14+1.29</f>
        <v>12.510000000000002</v>
      </c>
      <c r="T70" s="4">
        <f>2.99+1.5+4.79+0.89+2.99+1.99+1.99</f>
        <v>17.14</v>
      </c>
      <c r="V70" s="4">
        <f>1.79+6.29+8.59+3.99+4.75+0.1+3.12</f>
        <v>28.630000000000006</v>
      </c>
      <c r="W70" s="4">
        <v>4.3899999999999997</v>
      </c>
      <c r="Y70" s="4">
        <v>96.79</v>
      </c>
      <c r="Z70" s="4">
        <v>0.68</v>
      </c>
      <c r="AA70" s="3">
        <v>0.34934027777777782</v>
      </c>
      <c r="AB70" t="s">
        <v>34</v>
      </c>
      <c r="AC70" t="s">
        <v>18</v>
      </c>
      <c r="AD70" s="4">
        <v>4.58</v>
      </c>
      <c r="AE70">
        <v>5</v>
      </c>
      <c r="AF70" t="s">
        <v>20</v>
      </c>
      <c r="AG70" t="s">
        <v>30</v>
      </c>
    </row>
    <row r="71" spans="1:33" x14ac:dyDescent="0.3">
      <c r="A71" s="2">
        <v>44206</v>
      </c>
      <c r="B71">
        <v>36</v>
      </c>
      <c r="C71">
        <v>1</v>
      </c>
      <c r="E71">
        <v>13</v>
      </c>
      <c r="F71">
        <v>4</v>
      </c>
      <c r="G71">
        <v>9</v>
      </c>
      <c r="I71">
        <v>6</v>
      </c>
      <c r="J71">
        <v>1</v>
      </c>
      <c r="P71" s="4">
        <v>3.99</v>
      </c>
      <c r="R71" s="4">
        <f>8.27+8.63+10.02+3.99+3.99+9.39+4.99+3.19+4.99</f>
        <v>57.46</v>
      </c>
      <c r="S71" s="4">
        <f>2.5+2.5+2.75+2.99+1.25+1.25+4.15+3.99+3.79+0.89+1.5+3.99</f>
        <v>31.550000000000004</v>
      </c>
      <c r="T71" s="4">
        <f>3.75+2.99+5.99+0.84</f>
        <v>13.57</v>
      </c>
      <c r="V71" s="4">
        <f>4.75+0.1+3.99+3.12+1.89+2.09</f>
        <v>15.940000000000001</v>
      </c>
      <c r="W71" s="4">
        <v>6.99</v>
      </c>
      <c r="Y71" s="4">
        <v>130.66</v>
      </c>
      <c r="Z71" s="4">
        <v>0.65</v>
      </c>
      <c r="AA71" s="3">
        <v>0.34521990740740738</v>
      </c>
      <c r="AB71" t="s">
        <v>44</v>
      </c>
      <c r="AC71" t="s">
        <v>18</v>
      </c>
      <c r="AD71" s="4">
        <v>18.22</v>
      </c>
      <c r="AE71">
        <v>5</v>
      </c>
      <c r="AF71" t="s">
        <v>20</v>
      </c>
      <c r="AG71" t="s">
        <v>30</v>
      </c>
    </row>
    <row r="72" spans="1:33" x14ac:dyDescent="0.3">
      <c r="A72" s="2">
        <v>44220</v>
      </c>
      <c r="B72">
        <v>41</v>
      </c>
      <c r="E72">
        <v>16</v>
      </c>
      <c r="F72">
        <v>10</v>
      </c>
      <c r="G72">
        <v>8</v>
      </c>
      <c r="I72">
        <v>6</v>
      </c>
      <c r="J72">
        <v>3</v>
      </c>
      <c r="R72" s="4">
        <f>9.51+3.99+8.99+4.59+6.86+7.71+2.5+2.5</f>
        <v>46.650000000000006</v>
      </c>
      <c r="T72" s="4">
        <f>5+1.79+1.99+3.99+1.5+3.99+4.79+3.99+0.89+0.92</f>
        <v>28.85</v>
      </c>
      <c r="V72" s="4">
        <f>2.39+6.29+4.75+0.1+3.99+4.49</f>
        <v>22.009999999999998</v>
      </c>
      <c r="W72" s="4">
        <f>4.45+1.49+1.49</f>
        <v>7.4300000000000006</v>
      </c>
      <c r="Y72" s="4">
        <v>140.63</v>
      </c>
      <c r="Z72" s="4">
        <v>0.69</v>
      </c>
      <c r="AA72" s="3">
        <v>0.34766203703703707</v>
      </c>
      <c r="AB72" t="s">
        <v>44</v>
      </c>
      <c r="AC72" t="s">
        <v>18</v>
      </c>
      <c r="AD72" s="4">
        <v>16.91</v>
      </c>
      <c r="AE72">
        <v>5</v>
      </c>
      <c r="AF72" t="s">
        <v>20</v>
      </c>
      <c r="AG72" t="s">
        <v>30</v>
      </c>
    </row>
    <row r="73" spans="1:33" x14ac:dyDescent="0.3">
      <c r="A73" s="2">
        <v>44222</v>
      </c>
      <c r="B73">
        <v>9</v>
      </c>
      <c r="E73">
        <v>1</v>
      </c>
      <c r="F73">
        <v>1</v>
      </c>
      <c r="H73">
        <v>3</v>
      </c>
      <c r="I73">
        <v>2</v>
      </c>
      <c r="L73">
        <v>2</v>
      </c>
      <c r="N73" s="4">
        <f>3.59+6.04</f>
        <v>9.629999999999999</v>
      </c>
      <c r="S73" s="4">
        <v>1.59</v>
      </c>
      <c r="T73" s="4">
        <v>3.98</v>
      </c>
      <c r="U73" s="4">
        <f>6.99+7.99+7.99</f>
        <v>22.97</v>
      </c>
      <c r="V73" s="4">
        <f>1.99+3.99</f>
        <v>5.98</v>
      </c>
      <c r="Y73" s="4">
        <v>44.15</v>
      </c>
      <c r="Z73" s="4">
        <v>0</v>
      </c>
      <c r="AA73" s="3">
        <v>0.54398148148148151</v>
      </c>
      <c r="AB73" t="s">
        <v>69</v>
      </c>
      <c r="AC73" t="s">
        <v>42</v>
      </c>
      <c r="AD73" s="4">
        <v>0</v>
      </c>
      <c r="AE73">
        <v>1</v>
      </c>
      <c r="AF73" t="s">
        <v>70</v>
      </c>
      <c r="AG73" t="s">
        <v>71</v>
      </c>
    </row>
    <row r="74" spans="1:33" x14ac:dyDescent="0.3">
      <c r="A74" s="2">
        <v>44225</v>
      </c>
      <c r="B74">
        <v>3</v>
      </c>
      <c r="E74">
        <v>2</v>
      </c>
      <c r="J74">
        <v>1</v>
      </c>
      <c r="S74" s="4">
        <f>2.85+0.05</f>
        <v>2.9</v>
      </c>
      <c r="W74" s="4">
        <v>7.89</v>
      </c>
      <c r="Y74" s="4">
        <v>11.52</v>
      </c>
      <c r="Z74" s="4">
        <v>0.73</v>
      </c>
      <c r="AA74" s="3">
        <v>0.44653935185185184</v>
      </c>
      <c r="AB74" t="s">
        <v>61</v>
      </c>
      <c r="AC74" t="s">
        <v>46</v>
      </c>
      <c r="AD74" s="4">
        <v>0</v>
      </c>
      <c r="AF74" t="s">
        <v>20</v>
      </c>
      <c r="AG74" t="s">
        <v>30</v>
      </c>
    </row>
    <row r="75" spans="1:33" x14ac:dyDescent="0.3">
      <c r="A75" s="2">
        <v>44227</v>
      </c>
      <c r="B75">
        <v>3</v>
      </c>
      <c r="E75">
        <v>2</v>
      </c>
      <c r="G75">
        <v>1</v>
      </c>
      <c r="R75" s="4">
        <v>3.99</v>
      </c>
      <c r="S75" s="4">
        <f>2.5+2.5</f>
        <v>5</v>
      </c>
      <c r="Y75" s="4">
        <v>8.99</v>
      </c>
      <c r="Z75" s="4">
        <v>0</v>
      </c>
      <c r="AA75" s="3">
        <v>0.35748842592592589</v>
      </c>
      <c r="AB75" t="s">
        <v>21</v>
      </c>
      <c r="AC75" t="s">
        <v>18</v>
      </c>
      <c r="AD75" s="4">
        <v>2.58</v>
      </c>
      <c r="AE75" t="s">
        <v>68</v>
      </c>
      <c r="AF75" t="s">
        <v>20</v>
      </c>
      <c r="AG75" t="s">
        <v>30</v>
      </c>
    </row>
    <row r="76" spans="1:33" x14ac:dyDescent="0.3">
      <c r="A76" s="2">
        <v>44227</v>
      </c>
      <c r="B76">
        <v>23</v>
      </c>
      <c r="C76">
        <v>1</v>
      </c>
      <c r="E76">
        <v>5</v>
      </c>
      <c r="F76">
        <v>4</v>
      </c>
      <c r="G76">
        <v>4</v>
      </c>
      <c r="I76">
        <v>8</v>
      </c>
      <c r="J76">
        <v>1</v>
      </c>
      <c r="P76" s="4">
        <v>1.89</v>
      </c>
      <c r="R76" s="4">
        <f>5.91+6.52+15.21+8.58</f>
        <v>36.22</v>
      </c>
      <c r="S76" s="4">
        <f>2.99+2.99+4.99+2.59+1.25</f>
        <v>14.81</v>
      </c>
      <c r="T76" s="4">
        <f>2.12+3.99+3.99+4.79</f>
        <v>14.89</v>
      </c>
      <c r="V76" s="4">
        <f>4.79+3.99+3.99+3+3+3.12+2.99+1.49</f>
        <v>26.37</v>
      </c>
      <c r="W76" s="4">
        <v>2.99</v>
      </c>
      <c r="Y76" s="4">
        <v>97.45</v>
      </c>
      <c r="Z76" s="4">
        <v>0.28000000000000003</v>
      </c>
      <c r="AA76" s="3">
        <v>0.34783564814814816</v>
      </c>
      <c r="AB76" t="s">
        <v>34</v>
      </c>
      <c r="AC76" t="s">
        <v>18</v>
      </c>
      <c r="AD76" s="4">
        <v>24.42</v>
      </c>
      <c r="AE76">
        <v>7</v>
      </c>
      <c r="AF76" t="s">
        <v>20</v>
      </c>
      <c r="AG76" t="s">
        <v>30</v>
      </c>
    </row>
    <row r="77" spans="1:33" x14ac:dyDescent="0.3">
      <c r="A77" s="2">
        <v>44227</v>
      </c>
      <c r="B77">
        <v>1</v>
      </c>
      <c r="J77">
        <v>1</v>
      </c>
      <c r="W77" s="4">
        <v>2.19</v>
      </c>
      <c r="Y77" s="4">
        <v>2.39</v>
      </c>
      <c r="Z77" s="4">
        <v>0.2</v>
      </c>
      <c r="AA77" s="3">
        <v>0.35347222222222219</v>
      </c>
      <c r="AB77" t="s">
        <v>55</v>
      </c>
      <c r="AC77" t="s">
        <v>18</v>
      </c>
      <c r="AD77" s="4">
        <v>0.4</v>
      </c>
      <c r="AE77" t="s">
        <v>73</v>
      </c>
      <c r="AF77" t="s">
        <v>20</v>
      </c>
      <c r="AG77" t="s">
        <v>30</v>
      </c>
    </row>
    <row r="78" spans="1:33" x14ac:dyDescent="0.3">
      <c r="A78" s="2">
        <v>44229</v>
      </c>
      <c r="B78">
        <v>4</v>
      </c>
      <c r="F78">
        <v>1</v>
      </c>
      <c r="I78">
        <v>1</v>
      </c>
      <c r="L78">
        <v>2</v>
      </c>
      <c r="R78" s="4">
        <f>4.22+3.89</f>
        <v>8.11</v>
      </c>
      <c r="T78" s="4">
        <v>3.98</v>
      </c>
      <c r="V78" s="4">
        <v>11.49</v>
      </c>
      <c r="Y78" s="4">
        <v>23.58</v>
      </c>
      <c r="Z78" s="4">
        <v>0</v>
      </c>
      <c r="AA78" s="3">
        <v>0.55209490740740741</v>
      </c>
      <c r="AB78" t="s">
        <v>69</v>
      </c>
      <c r="AC78" t="s">
        <v>42</v>
      </c>
      <c r="AD78" s="4">
        <v>0</v>
      </c>
      <c r="AE78">
        <v>1</v>
      </c>
      <c r="AF78" t="s">
        <v>70</v>
      </c>
      <c r="AG78" t="s">
        <v>71</v>
      </c>
    </row>
    <row r="79" spans="1:33" x14ac:dyDescent="0.3">
      <c r="A79" s="2">
        <v>44234</v>
      </c>
      <c r="B79">
        <v>30</v>
      </c>
      <c r="E79">
        <v>10</v>
      </c>
      <c r="F79">
        <v>8</v>
      </c>
      <c r="G79">
        <v>7</v>
      </c>
      <c r="I79">
        <v>5</v>
      </c>
      <c r="R79" s="4">
        <f>5.99+9.51+11.32+3.99+3.5+3.5+2.99</f>
        <v>40.800000000000004</v>
      </c>
      <c r="S79" s="4">
        <f>1.99+1.99+3.49+3.5+3.79+3.19+3.19+2.38+18.99+4.29</f>
        <v>46.800000000000004</v>
      </c>
      <c r="T79" s="4">
        <f>1.99+3.99+1.79+3.99+2.46+1.79+1.99+1.99</f>
        <v>19.989999999999998</v>
      </c>
      <c r="V79" s="4">
        <f>7.49+4.75+0.1+3.12+1.39</f>
        <v>16.850000000000001</v>
      </c>
      <c r="Y79" s="4">
        <v>126.2</v>
      </c>
      <c r="Z79" s="4">
        <v>1.76</v>
      </c>
      <c r="AA79" s="3">
        <v>0.34472222222222221</v>
      </c>
      <c r="AB79" t="s">
        <v>33</v>
      </c>
      <c r="AC79" t="s">
        <v>18</v>
      </c>
      <c r="AD79" s="4">
        <v>6.93</v>
      </c>
      <c r="AE79">
        <v>7</v>
      </c>
      <c r="AF79" t="s">
        <v>20</v>
      </c>
      <c r="AG79" t="s">
        <v>30</v>
      </c>
    </row>
    <row r="80" spans="1:33" x14ac:dyDescent="0.3">
      <c r="A80" s="2">
        <v>44241</v>
      </c>
      <c r="B80">
        <v>37</v>
      </c>
      <c r="C80">
        <v>2</v>
      </c>
      <c r="E80">
        <v>16</v>
      </c>
      <c r="F80">
        <v>7</v>
      </c>
      <c r="G80">
        <v>6</v>
      </c>
      <c r="I80">
        <v>6</v>
      </c>
      <c r="P80" s="4">
        <f>1.89+3.69</f>
        <v>5.58</v>
      </c>
      <c r="R80" s="4">
        <f>9.16+7.14+7.4+11.99+7.49+7.99</f>
        <v>51.170000000000009</v>
      </c>
      <c r="S80" s="4">
        <f>4.29+1.25+1.25+1.25+1.25+4.99+14.99+4.99+5.49+1.5+1.5+1.5+2.14+1.89+3.89+3.49</f>
        <v>55.660000000000004</v>
      </c>
      <c r="T80" s="4">
        <f>2.99+4.79+0.89+1.24+4.21+3.99+2.99</f>
        <v>21.1</v>
      </c>
      <c r="V80" s="4">
        <f>4.79+4.75+0.1+3.99+2.09+1.39</f>
        <v>17.11</v>
      </c>
      <c r="X80" s="4">
        <f>4.16+2.14+2.4+2.49+2.99</f>
        <v>14.180000000000001</v>
      </c>
      <c r="Y80" s="4">
        <v>138.22</v>
      </c>
      <c r="Z80" s="4">
        <v>1.78</v>
      </c>
      <c r="AA80" s="3">
        <v>0.35872685185185182</v>
      </c>
      <c r="AB80" t="s">
        <v>34</v>
      </c>
      <c r="AC80" t="s">
        <v>18</v>
      </c>
      <c r="AD80" s="4">
        <v>20.93</v>
      </c>
      <c r="AE80">
        <v>7</v>
      </c>
      <c r="AF80" t="s">
        <v>20</v>
      </c>
      <c r="AG80" t="s">
        <v>30</v>
      </c>
    </row>
    <row r="81" spans="1:33" x14ac:dyDescent="0.3">
      <c r="A81" s="2">
        <v>44243</v>
      </c>
      <c r="B81">
        <v>5</v>
      </c>
      <c r="F81">
        <v>1</v>
      </c>
      <c r="H81">
        <v>2</v>
      </c>
      <c r="I81">
        <v>2</v>
      </c>
      <c r="S81" s="4">
        <v>0.67</v>
      </c>
      <c r="U81" s="4">
        <f>3.76+3.59</f>
        <v>7.35</v>
      </c>
      <c r="V81" s="4">
        <f>7.99+11.49</f>
        <v>19.48</v>
      </c>
      <c r="Y81" s="4">
        <v>27.5</v>
      </c>
      <c r="Z81" s="4">
        <v>0</v>
      </c>
      <c r="AA81" s="6">
        <v>0.52569444444444446</v>
      </c>
      <c r="AB81" t="s">
        <v>69</v>
      </c>
      <c r="AC81" t="s">
        <v>42</v>
      </c>
      <c r="AD81" s="4">
        <v>0</v>
      </c>
      <c r="AE81">
        <v>5</v>
      </c>
      <c r="AF81" t="s">
        <v>70</v>
      </c>
      <c r="AG81" t="s">
        <v>71</v>
      </c>
    </row>
    <row r="82" spans="1:33" x14ac:dyDescent="0.3">
      <c r="A82" s="2">
        <v>44248</v>
      </c>
      <c r="B82">
        <v>33</v>
      </c>
      <c r="E82">
        <v>7</v>
      </c>
      <c r="F82">
        <v>7</v>
      </c>
      <c r="G82">
        <v>8</v>
      </c>
      <c r="H82">
        <v>1</v>
      </c>
      <c r="I82">
        <v>8</v>
      </c>
      <c r="J82">
        <v>2</v>
      </c>
      <c r="R82" s="4">
        <f>1.99+6.69+6.69+7.27+7.6+7.99+3.99+9.99</f>
        <v>52.210000000000008</v>
      </c>
      <c r="S82" s="4">
        <f>1.79+4.99+1.25+8.99+1.5+1.5</f>
        <v>20.020000000000003</v>
      </c>
      <c r="T82" s="4">
        <f>3.99+2.99+2.99+1.98+3.24</f>
        <v>15.190000000000001</v>
      </c>
      <c r="U82" s="4">
        <f>5.49</f>
        <v>5.49</v>
      </c>
      <c r="V82" s="4">
        <f>4.99+3.99+4.75+0.1+3.12+2.49+2.5+2.5</f>
        <v>24.439999999999998</v>
      </c>
      <c r="W82" s="4">
        <f>1.25+1.25</f>
        <v>2.5</v>
      </c>
      <c r="X82" s="4">
        <f>5+1.69+1.69+2.27+2.6+2.99</f>
        <v>16.239999999999998</v>
      </c>
      <c r="Y82" s="4">
        <v>111.14</v>
      </c>
      <c r="Z82" s="4">
        <v>0.9</v>
      </c>
      <c r="AA82" s="3">
        <v>0.3470138888888889</v>
      </c>
      <c r="AB82" t="s">
        <v>34</v>
      </c>
      <c r="AC82" t="s">
        <v>18</v>
      </c>
      <c r="AD82" s="4">
        <v>28</v>
      </c>
      <c r="AE82">
        <v>6</v>
      </c>
      <c r="AF82" t="s">
        <v>20</v>
      </c>
      <c r="AG82" t="s">
        <v>30</v>
      </c>
    </row>
    <row r="83" spans="1:33" x14ac:dyDescent="0.3">
      <c r="A83" s="2">
        <v>44255</v>
      </c>
      <c r="B83">
        <v>43</v>
      </c>
      <c r="C83">
        <v>2</v>
      </c>
      <c r="E83">
        <v>13</v>
      </c>
      <c r="F83">
        <v>7</v>
      </c>
      <c r="G83">
        <v>8</v>
      </c>
      <c r="I83">
        <v>13</v>
      </c>
      <c r="P83" s="4">
        <f>3.99+1.89</f>
        <v>5.88</v>
      </c>
      <c r="R83" s="4">
        <f>5.99+6.46+6.85+12.5+9.19+6.19+6.19+7.73</f>
        <v>61.099999999999994</v>
      </c>
      <c r="S83" s="4">
        <f>1+1+1+3.99+1+1+1+1+4.15+3.79+1.39+1.39+2.29</f>
        <v>24</v>
      </c>
      <c r="T83" s="4">
        <f>4.96+1.99+3.99+3.49+3.99+2.89+3.99</f>
        <v>25.300000000000004</v>
      </c>
      <c r="V83" s="4">
        <f>1+3.99+1.79+4.99+4.75+0.1+1.99+2.5+2.5+1+1+1+1</f>
        <v>27.61</v>
      </c>
      <c r="Y83" s="4">
        <v>143.88999999999999</v>
      </c>
      <c r="Z83" s="4">
        <v>0</v>
      </c>
      <c r="AA83" s="3">
        <v>0.35771990740740739</v>
      </c>
      <c r="AB83" t="s">
        <v>33</v>
      </c>
      <c r="AC83" t="s">
        <v>18</v>
      </c>
      <c r="AD83" s="4">
        <v>17.82</v>
      </c>
      <c r="AE83">
        <v>5</v>
      </c>
      <c r="AF83" t="s">
        <v>20</v>
      </c>
      <c r="AG83" t="s">
        <v>30</v>
      </c>
    </row>
    <row r="84" spans="1:33" x14ac:dyDescent="0.3">
      <c r="A84" s="2">
        <v>44262</v>
      </c>
      <c r="B84">
        <v>46</v>
      </c>
      <c r="C84">
        <v>2</v>
      </c>
      <c r="E84">
        <v>22</v>
      </c>
      <c r="F84">
        <v>10</v>
      </c>
      <c r="G84">
        <v>2</v>
      </c>
      <c r="I84">
        <v>10</v>
      </c>
      <c r="P84" s="4">
        <f>1.99+1.99</f>
        <v>3.98</v>
      </c>
      <c r="R84" s="4">
        <f>12.38+7.61</f>
        <v>19.990000000000002</v>
      </c>
      <c r="S84" s="4">
        <f>2.79+2.79+2.99+4.99+3.99+7.99+4.59+5.39+4.15+2.5+2.5+2.99+3.19+1.5+1.5+1.5+1+0.79+6.99+3.49+2.99+4.49</f>
        <v>75.09999999999998</v>
      </c>
      <c r="T84" s="4">
        <f>3+3.49+2.89+3.99+1.99+1.5+1.5+2.99+2.99</f>
        <v>24.340000000000003</v>
      </c>
      <c r="V84" s="4">
        <f>1.25+1.25+1.25+1.25+3.99+2.89+5.99+4.39</f>
        <v>22.26</v>
      </c>
      <c r="Y84" s="4">
        <v>152.5</v>
      </c>
      <c r="Z84" s="4">
        <v>1.98</v>
      </c>
      <c r="AA84" s="3">
        <v>0.36508101851851849</v>
      </c>
      <c r="AB84" t="s">
        <v>44</v>
      </c>
      <c r="AC84" t="s">
        <v>18</v>
      </c>
      <c r="AD84" s="4">
        <v>17.16</v>
      </c>
      <c r="AE84">
        <v>5</v>
      </c>
      <c r="AF84" t="s">
        <v>20</v>
      </c>
      <c r="AG84" t="s">
        <v>30</v>
      </c>
    </row>
    <row r="85" spans="1:33" x14ac:dyDescent="0.3">
      <c r="A85" s="2">
        <v>44269</v>
      </c>
      <c r="B85">
        <v>23</v>
      </c>
      <c r="C85">
        <v>1</v>
      </c>
      <c r="E85">
        <v>3</v>
      </c>
      <c r="F85">
        <v>4</v>
      </c>
      <c r="G85">
        <v>5</v>
      </c>
      <c r="H85">
        <v>2</v>
      </c>
      <c r="I85">
        <v>6</v>
      </c>
      <c r="J85">
        <v>2</v>
      </c>
      <c r="P85" s="4">
        <v>4.49</v>
      </c>
      <c r="R85" s="4">
        <f>15.49+5.84+5.89+5.99+17.53</f>
        <v>50.74</v>
      </c>
      <c r="S85" s="4">
        <f>2.99+3.79+3.79</f>
        <v>10.57</v>
      </c>
      <c r="T85" s="4">
        <f>3.99+2+2.77+3.99</f>
        <v>12.75</v>
      </c>
      <c r="U85" s="4">
        <f>11.99+2.49</f>
        <v>14.48</v>
      </c>
      <c r="V85" s="4">
        <f>2.79+6.99+3+3.59+2.78+3.43</f>
        <v>22.580000000000002</v>
      </c>
      <c r="W85" s="4">
        <f>2.99+4.45</f>
        <v>7.44</v>
      </c>
      <c r="Y85" s="4">
        <v>124.01</v>
      </c>
      <c r="Z85" s="4">
        <v>0.96</v>
      </c>
      <c r="AA85" s="3">
        <v>0.34311342592592592</v>
      </c>
      <c r="AB85" t="s">
        <v>33</v>
      </c>
      <c r="AC85" t="s">
        <v>18</v>
      </c>
      <c r="AD85" s="4">
        <v>17</v>
      </c>
      <c r="AE85">
        <v>4</v>
      </c>
      <c r="AF85" t="s">
        <v>20</v>
      </c>
      <c r="AG85" t="s">
        <v>30</v>
      </c>
    </row>
    <row r="86" spans="1:33" x14ac:dyDescent="0.3">
      <c r="A86" s="2">
        <v>44276</v>
      </c>
      <c r="B86">
        <v>33</v>
      </c>
      <c r="C86">
        <v>1</v>
      </c>
      <c r="E86">
        <v>13</v>
      </c>
      <c r="F86">
        <v>6</v>
      </c>
      <c r="G86">
        <v>7</v>
      </c>
      <c r="I86">
        <v>6</v>
      </c>
      <c r="P86" s="4">
        <v>3.49</v>
      </c>
      <c r="R86" s="4">
        <f>7.09+21.46+3.99+4.49+14.5+4.99+4.99+4.99</f>
        <v>66.5</v>
      </c>
      <c r="S86" s="4">
        <f>1.5+1.5+4.29+5.39+3.69+4.99+0.99+0.99+1.5+6.29+3.42+1.89+3.49</f>
        <v>39.93</v>
      </c>
      <c r="T86" s="4">
        <f>3.99+2.89+3.99+1.16+1.4+4.99</f>
        <v>18.420000000000002</v>
      </c>
      <c r="V86" s="4">
        <f>7.49+5.49+4.75+0.1+1.52+3.59</f>
        <v>22.94</v>
      </c>
      <c r="Y86" s="4">
        <v>146.29</v>
      </c>
      <c r="Z86" s="4">
        <v>0</v>
      </c>
      <c r="AA86" s="3">
        <v>0.36136574074074074</v>
      </c>
      <c r="AB86" t="s">
        <v>44</v>
      </c>
      <c r="AC86" t="s">
        <v>18</v>
      </c>
      <c r="AD86" s="4">
        <v>11.48</v>
      </c>
      <c r="AE86">
        <v>5</v>
      </c>
      <c r="AF86" t="s">
        <v>20</v>
      </c>
      <c r="AG86" t="s">
        <v>30</v>
      </c>
    </row>
    <row r="87" spans="1:33" x14ac:dyDescent="0.3">
      <c r="A87" s="2">
        <v>44283</v>
      </c>
      <c r="B87">
        <v>32</v>
      </c>
      <c r="E87">
        <v>9</v>
      </c>
      <c r="F87">
        <v>1</v>
      </c>
      <c r="G87">
        <v>9</v>
      </c>
      <c r="I87">
        <v>11</v>
      </c>
      <c r="J87">
        <v>2</v>
      </c>
      <c r="R87" s="4">
        <f>7.99+3.99+6.38+7.49+4.99+4.99+5.39+6.69+6.69</f>
        <v>54.6</v>
      </c>
      <c r="S87" s="4">
        <f>2.5+2.5+3.89+1.5+1.5+3.42+1.49+1.89+3.89</f>
        <v>22.580000000000002</v>
      </c>
      <c r="T87" s="4">
        <v>3.99</v>
      </c>
      <c r="V87" s="4">
        <f>3.99+5.99+5.99+4.75+0.1+3.99+4.29+4.29+2.79+2.5+3.43</f>
        <v>42.11</v>
      </c>
      <c r="W87" s="4">
        <f>6.99+5.49</f>
        <v>12.48</v>
      </c>
      <c r="Y87" s="4">
        <v>126.66</v>
      </c>
      <c r="Z87" s="4">
        <v>1.1499999999999999</v>
      </c>
      <c r="AA87" s="3">
        <v>0.35112268518518519</v>
      </c>
      <c r="AB87" t="s">
        <v>33</v>
      </c>
      <c r="AC87" t="s">
        <v>18</v>
      </c>
      <c r="AD87" s="4">
        <v>10.75</v>
      </c>
      <c r="AE87">
        <v>7</v>
      </c>
      <c r="AF87" t="s">
        <v>20</v>
      </c>
      <c r="AG87" t="s">
        <v>30</v>
      </c>
    </row>
    <row r="88" spans="1:33" x14ac:dyDescent="0.3">
      <c r="A88" s="2">
        <v>44304</v>
      </c>
      <c r="B88">
        <v>43</v>
      </c>
      <c r="E88">
        <v>21</v>
      </c>
      <c r="F88">
        <v>5</v>
      </c>
      <c r="G88">
        <v>8</v>
      </c>
      <c r="I88">
        <v>6</v>
      </c>
      <c r="J88">
        <v>3</v>
      </c>
      <c r="R88" s="4">
        <f>7.09+5.99+8.05+7.89+3.99+5.19+5.39+17.08</f>
        <v>60.67</v>
      </c>
      <c r="S88" s="4">
        <f>1.79+1.99+1.99+1.12+1.67+5.39+1.5+1.25+1.25+1.99+1.99+5.99+4.49+1.67+1.49+1.5+6.99+4.79+5.69+2.99+2.38</f>
        <v>59.910000000000004</v>
      </c>
      <c r="T88" s="4">
        <f>3.99+4.79+0.95+1.99+3.99</f>
        <v>15.71</v>
      </c>
      <c r="V88" s="4">
        <f>4.09+2.99+4.75+0.1+3.59+2.49</f>
        <v>18.009999999999998</v>
      </c>
      <c r="W88" s="4">
        <f>7.89+3.99+3.99</f>
        <v>15.87</v>
      </c>
      <c r="Y88" s="4">
        <v>172.56</v>
      </c>
      <c r="Z88" s="4">
        <v>2.39</v>
      </c>
      <c r="AA88" s="3">
        <v>0.35422453703703699</v>
      </c>
      <c r="AB88" t="s">
        <v>34</v>
      </c>
      <c r="AC88" t="s">
        <v>18</v>
      </c>
      <c r="AD88" s="4">
        <v>7.3</v>
      </c>
      <c r="AE88">
        <v>5</v>
      </c>
      <c r="AF88" t="s">
        <v>20</v>
      </c>
      <c r="AG88" t="s">
        <v>30</v>
      </c>
    </row>
    <row r="89" spans="1:33" x14ac:dyDescent="0.3">
      <c r="A89" s="2">
        <v>44312</v>
      </c>
      <c r="B89">
        <v>2</v>
      </c>
      <c r="E89">
        <v>1</v>
      </c>
      <c r="I89">
        <v>1</v>
      </c>
      <c r="S89" s="4">
        <v>3.99</v>
      </c>
      <c r="V89" s="4">
        <v>9.99</v>
      </c>
      <c r="Y89" s="4">
        <v>13.98</v>
      </c>
      <c r="Z89" s="4">
        <v>0</v>
      </c>
      <c r="AA89" s="6">
        <v>0.83333333333333337</v>
      </c>
      <c r="AB89" t="s">
        <v>68</v>
      </c>
      <c r="AC89" t="s">
        <v>56</v>
      </c>
      <c r="AD89" s="4">
        <v>0</v>
      </c>
      <c r="AE89" t="s">
        <v>73</v>
      </c>
      <c r="AF89" t="s">
        <v>23</v>
      </c>
      <c r="AG89" t="s">
        <v>30</v>
      </c>
    </row>
    <row r="90" spans="1:33" x14ac:dyDescent="0.3">
      <c r="A90" s="2">
        <v>44318</v>
      </c>
      <c r="B90">
        <v>30</v>
      </c>
      <c r="C90">
        <v>1</v>
      </c>
      <c r="E90">
        <v>11</v>
      </c>
      <c r="F90">
        <v>6</v>
      </c>
      <c r="G90">
        <v>5</v>
      </c>
      <c r="I90">
        <v>6</v>
      </c>
      <c r="M90">
        <v>1</v>
      </c>
      <c r="P90" s="4">
        <v>2.99</v>
      </c>
      <c r="R90" s="4">
        <f>3.99+3.99+6.19+16.66+5.39</f>
        <v>36.22</v>
      </c>
      <c r="S90" s="4">
        <f>1.25+7.99+1.5+1.5+3.29+1.67+1.79+1+1+3.19+2.29</f>
        <v>26.470000000000002</v>
      </c>
      <c r="T90" s="4">
        <f>7.5+2.89+0.79+3.99</f>
        <v>15.17</v>
      </c>
      <c r="V90" s="4">
        <f>7.49+2.49+4.99+4.75+0.1+6.09+1.99</f>
        <v>27.9</v>
      </c>
      <c r="X90" s="4">
        <v>10</v>
      </c>
      <c r="Y90" s="4">
        <v>99.42</v>
      </c>
      <c r="Z90" s="4">
        <v>0.57999999999999996</v>
      </c>
      <c r="AA90" s="3">
        <v>0.35159722222222217</v>
      </c>
      <c r="AB90" t="s">
        <v>81</v>
      </c>
      <c r="AC90" t="s">
        <v>18</v>
      </c>
      <c r="AD90" s="4">
        <v>16.25</v>
      </c>
      <c r="AE90">
        <v>5</v>
      </c>
      <c r="AF90" t="s">
        <v>20</v>
      </c>
      <c r="AG90" t="s">
        <v>30</v>
      </c>
    </row>
    <row r="91" spans="1:33" x14ac:dyDescent="0.3">
      <c r="A91" s="2">
        <v>44325</v>
      </c>
      <c r="B91">
        <v>32</v>
      </c>
      <c r="E91">
        <v>16</v>
      </c>
      <c r="F91">
        <v>5</v>
      </c>
      <c r="G91">
        <v>4</v>
      </c>
      <c r="I91">
        <v>6</v>
      </c>
      <c r="R91" s="4">
        <f>14.73+7.64+5.52+3</f>
        <v>30.89</v>
      </c>
      <c r="S91" s="4">
        <f>1.5+1.5+3.99+2.79+3.99+1.39+1.39+3.79+0.1+3.99+2.59+1.67+1.67+1+3.99+4.29</f>
        <v>39.64</v>
      </c>
      <c r="T91" s="4">
        <f>3.99+4.79+1.98+1.99+2.99</f>
        <v>15.740000000000002</v>
      </c>
      <c r="V91" s="4">
        <f>4.99+2.5+1.61+2.49+3+0.1</f>
        <v>14.69</v>
      </c>
      <c r="Y91" s="4">
        <v>100.96</v>
      </c>
      <c r="Z91" s="4">
        <v>0</v>
      </c>
      <c r="AA91" s="3">
        <v>0.35189814814814818</v>
      </c>
      <c r="AB91" t="s">
        <v>33</v>
      </c>
      <c r="AC91" t="s">
        <v>18</v>
      </c>
      <c r="AD91" s="4">
        <v>14.6</v>
      </c>
      <c r="AE91">
        <v>6</v>
      </c>
      <c r="AF91" t="s">
        <v>20</v>
      </c>
      <c r="AG91" t="s">
        <v>30</v>
      </c>
    </row>
    <row r="92" spans="1:33" x14ac:dyDescent="0.3">
      <c r="A92" s="2">
        <v>44332</v>
      </c>
      <c r="B92">
        <v>1</v>
      </c>
      <c r="G92">
        <v>1</v>
      </c>
      <c r="R92" s="4">
        <v>8.69</v>
      </c>
      <c r="Y92" s="4">
        <v>8.69</v>
      </c>
      <c r="Z92" s="4">
        <v>0</v>
      </c>
      <c r="AA92" s="3">
        <v>0.34767361111111111</v>
      </c>
      <c r="AB92" t="s">
        <v>82</v>
      </c>
      <c r="AC92" t="s">
        <v>18</v>
      </c>
      <c r="AD92" s="4">
        <v>0</v>
      </c>
      <c r="AE92" t="s">
        <v>73</v>
      </c>
      <c r="AF92" t="s">
        <v>20</v>
      </c>
      <c r="AG92" t="s">
        <v>30</v>
      </c>
    </row>
    <row r="93" spans="1:33" x14ac:dyDescent="0.3">
      <c r="A93" s="2">
        <v>44339</v>
      </c>
      <c r="B93">
        <v>36</v>
      </c>
      <c r="E93">
        <v>15</v>
      </c>
      <c r="F93">
        <v>8</v>
      </c>
      <c r="G93">
        <v>5</v>
      </c>
      <c r="I93">
        <v>7</v>
      </c>
      <c r="J93">
        <v>1</v>
      </c>
      <c r="R93" s="4">
        <f>8.69+3.5+12.4+7.54+2.79</f>
        <v>34.92</v>
      </c>
      <c r="S93" s="4">
        <f>2+1.5+1.5+2.5+2.5+3.99+4.49+1.49+1+4.99+4.99+1+3.19+1.99+2.99</f>
        <v>40.120000000000005</v>
      </c>
      <c r="T93" s="4">
        <f>7.75+2.89+3.99+0.76+1.58+3.99+4.27</f>
        <v>25.23</v>
      </c>
      <c r="V93" s="4">
        <f>5.39+4.75+0.1+2.84+4.99+2.49+5.49</f>
        <v>26.050000000000004</v>
      </c>
      <c r="W93" s="4">
        <v>5.49</v>
      </c>
      <c r="X93" s="4">
        <v>20</v>
      </c>
      <c r="Y93" s="4">
        <v>109.74</v>
      </c>
      <c r="Z93" s="4">
        <v>0.43</v>
      </c>
      <c r="AA93" s="3">
        <v>0.36077546296296298</v>
      </c>
      <c r="AB93" t="s">
        <v>60</v>
      </c>
      <c r="AC93" t="s">
        <v>18</v>
      </c>
      <c r="AD93" s="4">
        <v>30</v>
      </c>
      <c r="AE93">
        <v>3</v>
      </c>
      <c r="AF93" t="s">
        <v>20</v>
      </c>
      <c r="AG93" t="s">
        <v>30</v>
      </c>
    </row>
    <row r="94" spans="1:33" x14ac:dyDescent="0.3">
      <c r="A94" s="2">
        <v>44343</v>
      </c>
      <c r="B94">
        <v>4</v>
      </c>
      <c r="F94">
        <v>1</v>
      </c>
      <c r="L94">
        <v>3</v>
      </c>
      <c r="N94" s="4">
        <f>5.89+3.99+7.98</f>
        <v>17.86</v>
      </c>
      <c r="T94" s="4">
        <v>3.99</v>
      </c>
      <c r="Y94" s="4">
        <v>23.02</v>
      </c>
      <c r="Z94" s="4">
        <v>1.17</v>
      </c>
      <c r="AA94" s="3">
        <v>0.57431712962962966</v>
      </c>
      <c r="AB94" t="s">
        <v>85</v>
      </c>
      <c r="AC94" t="s">
        <v>80</v>
      </c>
      <c r="AD94" s="4">
        <v>0</v>
      </c>
      <c r="AE94">
        <v>2</v>
      </c>
      <c r="AF94" t="s">
        <v>70</v>
      </c>
      <c r="AG94" t="s">
        <v>71</v>
      </c>
    </row>
    <row r="95" spans="1:33" x14ac:dyDescent="0.3">
      <c r="A95" s="2">
        <v>44346</v>
      </c>
      <c r="B95">
        <v>32</v>
      </c>
      <c r="C95">
        <v>1</v>
      </c>
      <c r="E95">
        <v>13</v>
      </c>
      <c r="F95">
        <v>5</v>
      </c>
      <c r="G95">
        <v>5</v>
      </c>
      <c r="I95">
        <v>7</v>
      </c>
      <c r="J95">
        <v>1</v>
      </c>
      <c r="P95" s="4">
        <v>1.89</v>
      </c>
      <c r="R95" s="4">
        <f>7.44+8.69+6.49+5.99+4.79</f>
        <v>33.4</v>
      </c>
      <c r="S95" s="4">
        <f>1.99+6.49+1.19+2.5+2.5+2.79+5.39+4.99+3.35+3.79+2.39+1+3.42</f>
        <v>41.790000000000006</v>
      </c>
      <c r="T95" s="4">
        <f>7.68+3.99+5.17+4.79+2.49</f>
        <v>24.119999999999997</v>
      </c>
      <c r="V95" s="4">
        <f>7.49+8.19+3.5+4.75+0.1+4.29+4.29</f>
        <v>32.61</v>
      </c>
      <c r="W95" s="4">
        <v>2.99</v>
      </c>
      <c r="Y95" s="4">
        <v>138.13999999999999</v>
      </c>
      <c r="Z95" s="4">
        <v>1.34</v>
      </c>
      <c r="AA95" s="3">
        <v>0.34837962962962959</v>
      </c>
      <c r="AB95" t="s">
        <v>81</v>
      </c>
      <c r="AC95" t="s">
        <v>18</v>
      </c>
      <c r="AD95" s="4">
        <v>15.26</v>
      </c>
      <c r="AE95">
        <v>7</v>
      </c>
      <c r="AF95" t="s">
        <v>20</v>
      </c>
      <c r="AG95" t="s">
        <v>30</v>
      </c>
    </row>
    <row r="96" spans="1:33" x14ac:dyDescent="0.3">
      <c r="A96" s="2">
        <v>44367</v>
      </c>
      <c r="B96">
        <v>26</v>
      </c>
      <c r="C96">
        <v>1</v>
      </c>
      <c r="E96">
        <v>10</v>
      </c>
      <c r="F96">
        <v>6</v>
      </c>
      <c r="G96">
        <v>3</v>
      </c>
      <c r="I96">
        <v>6</v>
      </c>
      <c r="P96" s="4">
        <v>1.89</v>
      </c>
      <c r="R96" s="4">
        <f>5.99+15.34+19.34</f>
        <v>40.67</v>
      </c>
      <c r="S96" s="4">
        <f>2+1.25+2.19+1.67+2.39+2.99+4.99+2.99+0.05+3.99</f>
        <v>24.509999999999998</v>
      </c>
      <c r="T96" s="4">
        <f>0.99+2.99+6.99+2.89+3.99+2.47</f>
        <v>20.32</v>
      </c>
      <c r="V96" s="4">
        <f>4.29+4.39+2.04+2.39+4.99+2.24</f>
        <v>20.340000000000003</v>
      </c>
      <c r="Y96" s="4">
        <v>108.84</v>
      </c>
      <c r="Z96" s="4">
        <v>1.1100000000000001</v>
      </c>
      <c r="AA96" s="3">
        <v>0.35041666666666665</v>
      </c>
      <c r="AB96" t="s">
        <v>44</v>
      </c>
      <c r="AC96" t="s">
        <v>18</v>
      </c>
      <c r="AD96" s="4">
        <v>6.75</v>
      </c>
      <c r="AE96">
        <v>2</v>
      </c>
      <c r="AF96" t="s">
        <v>20</v>
      </c>
      <c r="AG96" t="s">
        <v>30</v>
      </c>
    </row>
    <row r="97" spans="1:33" x14ac:dyDescent="0.3">
      <c r="A97" s="2">
        <v>44370</v>
      </c>
      <c r="B97">
        <v>2</v>
      </c>
      <c r="C97">
        <v>2</v>
      </c>
      <c r="P97" s="4">
        <f>5.99+5.99</f>
        <v>11.98</v>
      </c>
      <c r="Y97" s="4">
        <v>11.98</v>
      </c>
      <c r="Z97" s="4">
        <v>0</v>
      </c>
      <c r="AA97" s="3">
        <v>0.56459490740740736</v>
      </c>
      <c r="AB97" t="s">
        <v>84</v>
      </c>
      <c r="AC97" t="s">
        <v>51</v>
      </c>
      <c r="AD97" s="4">
        <v>0</v>
      </c>
      <c r="AE97">
        <v>5</v>
      </c>
      <c r="AF97" t="s">
        <v>70</v>
      </c>
      <c r="AG97" t="s">
        <v>71</v>
      </c>
    </row>
    <row r="98" spans="1:33" x14ac:dyDescent="0.3">
      <c r="A98" s="2">
        <v>44381</v>
      </c>
      <c r="B98">
        <v>36</v>
      </c>
      <c r="C98">
        <v>2</v>
      </c>
      <c r="E98">
        <v>8</v>
      </c>
      <c r="F98">
        <v>12</v>
      </c>
      <c r="G98">
        <v>4</v>
      </c>
      <c r="I98">
        <v>7</v>
      </c>
      <c r="J98">
        <v>3</v>
      </c>
      <c r="P98" s="4">
        <f>2.99+2.49</f>
        <v>5.48</v>
      </c>
      <c r="R98" s="4">
        <f>7.79+8.69+6.89+4.19</f>
        <v>27.560000000000002</v>
      </c>
      <c r="S98" s="4">
        <f>2.99+4.15+3.79+0.1+1.67+3.19+4.99+1.49</f>
        <v>22.369999999999997</v>
      </c>
      <c r="T98" s="4">
        <f>3.5+5.05+0.99+3.99+3.99+4.79+2.5+1.5+3.99+3.38+3.99+1.21</f>
        <v>38.88000000000001</v>
      </c>
      <c r="V98" s="4">
        <f>8.99+4.29+4.29+6.49+2.9+3.7+5.49</f>
        <v>36.15</v>
      </c>
      <c r="W98" s="4">
        <f>2.79+2.79+2.99</f>
        <v>8.57</v>
      </c>
      <c r="Y98" s="4">
        <v>136.41</v>
      </c>
      <c r="Z98" s="4">
        <v>1.39</v>
      </c>
      <c r="AA98" s="3">
        <v>0.34953703703703703</v>
      </c>
      <c r="AB98" t="s">
        <v>60</v>
      </c>
      <c r="AC98" t="s">
        <v>18</v>
      </c>
      <c r="AD98" s="4">
        <v>28.11</v>
      </c>
      <c r="AE98">
        <v>2</v>
      </c>
      <c r="AF98" t="s">
        <v>20</v>
      </c>
      <c r="AG98" t="s">
        <v>30</v>
      </c>
    </row>
    <row r="99" spans="1:33" x14ac:dyDescent="0.3">
      <c r="A99" s="2">
        <v>44388</v>
      </c>
      <c r="B99">
        <v>33</v>
      </c>
      <c r="E99">
        <v>16</v>
      </c>
      <c r="F99">
        <v>7</v>
      </c>
      <c r="G99">
        <v>6</v>
      </c>
      <c r="I99">
        <v>2</v>
      </c>
      <c r="J99">
        <v>2</v>
      </c>
      <c r="R99" s="4">
        <f>3.99+3.99+5.39+6.2+3.99+7.14</f>
        <v>30.700000000000003</v>
      </c>
      <c r="S99" s="4">
        <f>3.29+3+1.99+2.99+1.35+3.79+0.1+4.99+2.69+1.29+1.29+3.42+1.49+3.99+4.79</f>
        <v>40.459999999999994</v>
      </c>
      <c r="T99" s="4">
        <f>0.87+1.99+4.09+2.99+2.5+3.66+0.89</f>
        <v>16.990000000000002</v>
      </c>
      <c r="V99" s="4">
        <f>4.29+3.7</f>
        <v>7.99</v>
      </c>
      <c r="W99" s="4">
        <f>2.49+10.39</f>
        <v>12.88</v>
      </c>
      <c r="Y99" s="4">
        <v>110.31</v>
      </c>
      <c r="Z99" s="4">
        <v>1.32</v>
      </c>
      <c r="AA99" s="3">
        <v>0.35780092592592588</v>
      </c>
      <c r="AB99" t="s">
        <v>44</v>
      </c>
      <c r="AC99" t="s">
        <v>18</v>
      </c>
      <c r="AD99" s="4">
        <v>21.99</v>
      </c>
      <c r="AE99">
        <v>5</v>
      </c>
      <c r="AF99" t="s">
        <v>20</v>
      </c>
      <c r="AG99" t="s">
        <v>30</v>
      </c>
    </row>
    <row r="100" spans="1:33" x14ac:dyDescent="0.3">
      <c r="A100" s="2">
        <v>44395</v>
      </c>
      <c r="B100">
        <v>37</v>
      </c>
      <c r="E100">
        <v>13</v>
      </c>
      <c r="F100">
        <v>11</v>
      </c>
      <c r="G100">
        <v>4</v>
      </c>
      <c r="I100">
        <v>9</v>
      </c>
      <c r="R100" s="4">
        <f>8.16+8.69+6.19+7.56</f>
        <v>30.6</v>
      </c>
      <c r="S100" s="4">
        <f>2.99+2.99+1.99+3.99+3.99+3.99+3.99+1.35+2.69+3.79+0.1+2.69+4.29</f>
        <v>38.840000000000003</v>
      </c>
      <c r="T100" s="4">
        <f>2.5+1.89+3+6.22+2+4.99+1.5+1.58+3.99</f>
        <v>27.67</v>
      </c>
      <c r="V100" s="4">
        <f>2.49+4.99+3.84+3.99+2.9+4.99+1.67+2.5+2.5</f>
        <v>29.870000000000005</v>
      </c>
      <c r="Y100" s="4">
        <v>127.39</v>
      </c>
      <c r="Z100" s="4">
        <v>0.41</v>
      </c>
      <c r="AA100" s="3">
        <v>0.35355324074074074</v>
      </c>
      <c r="AB100" t="s">
        <v>44</v>
      </c>
      <c r="AC100" t="s">
        <v>18</v>
      </c>
      <c r="AD100" s="4">
        <v>11.96</v>
      </c>
      <c r="AE100">
        <v>5</v>
      </c>
      <c r="AF100" t="s">
        <v>20</v>
      </c>
      <c r="AG100" t="s">
        <v>30</v>
      </c>
    </row>
    <row r="101" spans="1:33" x14ac:dyDescent="0.3">
      <c r="A101" s="2">
        <v>44409</v>
      </c>
      <c r="B101">
        <v>32</v>
      </c>
      <c r="E101">
        <v>11</v>
      </c>
      <c r="F101">
        <v>7</v>
      </c>
      <c r="G101">
        <v>7</v>
      </c>
      <c r="I101">
        <v>7</v>
      </c>
      <c r="R101" s="4">
        <f>5.99+10.86+3+3+15.94+6.69+6.69</f>
        <v>52.169999999999995</v>
      </c>
      <c r="S101" s="4">
        <f>2.12+3.88+4.15+4.29+1.35+2.69+3.42+4.79+1.49+3.99+3.99</f>
        <v>36.159999999999997</v>
      </c>
      <c r="T101" s="4">
        <f>4.99+1.99+4.09+2.99+4.79+1.99+1.99</f>
        <v>22.83</v>
      </c>
      <c r="V101" s="4">
        <f>3.84+4.29+3.99+4.75+0.1+2.99+5.49</f>
        <v>25.450000000000003</v>
      </c>
      <c r="Y101" s="4">
        <v>137.02000000000001</v>
      </c>
      <c r="Z101" s="4">
        <v>0.41</v>
      </c>
      <c r="AA101" s="3">
        <v>0.36707175925925922</v>
      </c>
      <c r="AB101" t="s">
        <v>44</v>
      </c>
      <c r="AC101" t="s">
        <v>18</v>
      </c>
      <c r="AD101" s="4">
        <v>5.53</v>
      </c>
      <c r="AE101">
        <v>5</v>
      </c>
      <c r="AF101" t="s">
        <v>20</v>
      </c>
      <c r="AG101" t="s">
        <v>30</v>
      </c>
    </row>
    <row r="102" spans="1:33" x14ac:dyDescent="0.3">
      <c r="A102" s="2">
        <v>44416</v>
      </c>
      <c r="B102">
        <v>34</v>
      </c>
      <c r="C102">
        <v>1</v>
      </c>
      <c r="E102">
        <v>11</v>
      </c>
      <c r="F102">
        <v>12</v>
      </c>
      <c r="G102">
        <v>4</v>
      </c>
      <c r="H102">
        <v>1</v>
      </c>
      <c r="I102">
        <v>4</v>
      </c>
      <c r="J102">
        <v>1</v>
      </c>
      <c r="P102" s="4">
        <v>2.19</v>
      </c>
      <c r="R102" s="4">
        <f>14.29+3.99+10.94</f>
        <v>29.22</v>
      </c>
      <c r="S102" s="4">
        <f>1.5+1.5+3.09+3.79+2.12+3.29+7.99+2.69+1.49+1.49+8.89</f>
        <v>37.840000000000003</v>
      </c>
      <c r="T102" s="4">
        <f>3.99+2.5+2.49+4.09+2.99+3.99+1.31+1.98+2.8+1.55</f>
        <v>27.690000000000005</v>
      </c>
      <c r="U102" s="4">
        <v>5.99</v>
      </c>
      <c r="V102" s="4">
        <f>7.49+2.99+3+2.49</f>
        <v>15.97</v>
      </c>
      <c r="W102" s="4">
        <v>5.99</v>
      </c>
      <c r="Y102" s="4">
        <v>130.71</v>
      </c>
      <c r="Z102" s="4">
        <v>1.53</v>
      </c>
      <c r="AA102" s="3">
        <v>0.36238425925925927</v>
      </c>
      <c r="AB102" t="s">
        <v>44</v>
      </c>
      <c r="AC102" t="s">
        <v>18</v>
      </c>
      <c r="AD102" s="4">
        <v>9.1300000000000008</v>
      </c>
      <c r="AE102">
        <v>5</v>
      </c>
      <c r="AF102" t="s">
        <v>20</v>
      </c>
      <c r="AG102" t="s">
        <v>30</v>
      </c>
    </row>
    <row r="103" spans="1:33" x14ac:dyDescent="0.3">
      <c r="A103" s="2">
        <v>44420</v>
      </c>
      <c r="B103">
        <v>10</v>
      </c>
      <c r="C103">
        <v>2</v>
      </c>
      <c r="E103">
        <v>1</v>
      </c>
      <c r="I103">
        <v>4</v>
      </c>
      <c r="L103">
        <v>3</v>
      </c>
      <c r="N103" s="4">
        <f>1.88+2.28+3.09</f>
        <v>7.25</v>
      </c>
      <c r="P103" s="4">
        <f>3.99+3.99</f>
        <v>7.98</v>
      </c>
      <c r="S103" s="4">
        <v>3.49</v>
      </c>
      <c r="V103" s="4">
        <f>5.99+5.99+3.69+5.99</f>
        <v>21.66</v>
      </c>
      <c r="Y103" s="4">
        <v>40.78</v>
      </c>
      <c r="Z103" s="4">
        <v>0.4</v>
      </c>
      <c r="AA103" s="3">
        <v>0.56251157407407404</v>
      </c>
      <c r="AB103" t="s">
        <v>83</v>
      </c>
      <c r="AC103" t="s">
        <v>80</v>
      </c>
      <c r="AD103" s="4">
        <v>0</v>
      </c>
      <c r="AE103">
        <v>4</v>
      </c>
      <c r="AF103" t="s">
        <v>70</v>
      </c>
      <c r="AG103" t="s">
        <v>71</v>
      </c>
    </row>
    <row r="104" spans="1:33" x14ac:dyDescent="0.3">
      <c r="A104" s="2">
        <v>44423</v>
      </c>
      <c r="B104">
        <v>35</v>
      </c>
      <c r="E104">
        <v>10</v>
      </c>
      <c r="F104">
        <v>6</v>
      </c>
      <c r="G104">
        <v>9</v>
      </c>
      <c r="I104">
        <v>8</v>
      </c>
      <c r="J104">
        <v>2</v>
      </c>
      <c r="R104" s="4">
        <f>8.95+9.69+9.29+8.69+7.49+5.39+7.13+6.69+1.69+6.69</f>
        <v>71.7</v>
      </c>
      <c r="S104" s="4">
        <f>3.09+3.09+3.79+3.59+2.49+1.29+1.25+1.5+1.5+2.79</f>
        <v>24.379999999999995</v>
      </c>
      <c r="T104" s="4">
        <f>3.99+2.89+1.83+1.28+5.99+2.49</f>
        <v>18.47</v>
      </c>
      <c r="V104" s="4">
        <f>3.5+5.49+4.29+4.49+0.1+2.04+4.99+3.49</f>
        <v>28.390000000000008</v>
      </c>
      <c r="W104" s="4">
        <f>4.45+4.45</f>
        <v>8.9</v>
      </c>
      <c r="X104" s="4">
        <v>14.85</v>
      </c>
      <c r="Y104" s="4">
        <v>136.6</v>
      </c>
      <c r="Z104" s="4">
        <v>1.2</v>
      </c>
      <c r="AA104" s="3">
        <v>0.34775462962962966</v>
      </c>
      <c r="AB104" t="s">
        <v>34</v>
      </c>
      <c r="AC104" t="s">
        <v>18</v>
      </c>
      <c r="AD104" s="4">
        <v>1.2</v>
      </c>
      <c r="AE104">
        <v>7</v>
      </c>
      <c r="AF104" t="s">
        <v>20</v>
      </c>
      <c r="AG104" t="s">
        <v>30</v>
      </c>
    </row>
    <row r="105" spans="1:33" x14ac:dyDescent="0.3">
      <c r="A105" s="2">
        <v>44430</v>
      </c>
      <c r="B105">
        <v>38</v>
      </c>
      <c r="E105">
        <v>17</v>
      </c>
      <c r="F105">
        <v>8</v>
      </c>
      <c r="G105">
        <v>7</v>
      </c>
      <c r="I105">
        <v>6</v>
      </c>
      <c r="R105" s="4">
        <f>5.99+7.43+9.59+3.99+3.99+12.49+5.99</f>
        <v>49.470000000000006</v>
      </c>
      <c r="S105" s="4">
        <f>2.12+2.12+3.29+3.29+2.99+1+1+1+1+1.89+1.49+1.49+2.69+1.49+1.55+3.42+1.99</f>
        <v>33.82</v>
      </c>
      <c r="T105" s="4">
        <f>3.99+1.99+4.09+6.52+4.19+4.79+1.99+1.99</f>
        <v>29.549999999999997</v>
      </c>
      <c r="V105" s="4">
        <f>3.29+4.29+4.45+2.5+0.1+2.04</f>
        <v>16.670000000000002</v>
      </c>
      <c r="X105" s="4">
        <v>3.17</v>
      </c>
      <c r="Y105" s="4">
        <v>125.55</v>
      </c>
      <c r="Z105" s="4">
        <v>0.16</v>
      </c>
      <c r="AA105" s="3">
        <v>0.3530787037037037</v>
      </c>
      <c r="AB105" t="s">
        <v>75</v>
      </c>
      <c r="AC105" t="s">
        <v>18</v>
      </c>
      <c r="AD105" s="4">
        <v>10.050000000000001</v>
      </c>
      <c r="AE105">
        <v>2</v>
      </c>
      <c r="AF105" t="s">
        <v>20</v>
      </c>
      <c r="AG105" t="s">
        <v>30</v>
      </c>
    </row>
    <row r="106" spans="1:33" x14ac:dyDescent="0.3">
      <c r="A106" s="2">
        <v>44437</v>
      </c>
      <c r="B106">
        <v>35</v>
      </c>
      <c r="E106">
        <v>11</v>
      </c>
      <c r="F106">
        <v>12</v>
      </c>
      <c r="G106">
        <v>5</v>
      </c>
      <c r="I106">
        <v>7</v>
      </c>
      <c r="R106" s="4">
        <f>14.26+8.69+5.99+9.99+4.99</f>
        <v>43.92</v>
      </c>
      <c r="S106" s="4">
        <f>3.79+2.5+2.5+2.5+2.5+3.69+3+3+2.49+2.49+2.49</f>
        <v>30.950000000000003</v>
      </c>
      <c r="T106" s="4">
        <f>5+1.89+3.5+2.36+0.89+0.99+1.69+0.19</f>
        <v>16.510000000000002</v>
      </c>
      <c r="Y106" s="4">
        <v>117.79</v>
      </c>
      <c r="Z106" s="4">
        <v>0.51</v>
      </c>
      <c r="AA106" s="3">
        <v>0.35226851851851854</v>
      </c>
      <c r="AB106" t="s">
        <v>43</v>
      </c>
      <c r="AC106" t="s">
        <v>18</v>
      </c>
      <c r="AD106" s="4">
        <v>13.51</v>
      </c>
      <c r="AE106">
        <v>7</v>
      </c>
      <c r="AF106" t="s">
        <v>20</v>
      </c>
      <c r="AG106" t="s">
        <v>30</v>
      </c>
    </row>
    <row r="107" spans="1:33" x14ac:dyDescent="0.3">
      <c r="A107" s="2">
        <v>44444</v>
      </c>
      <c r="B107">
        <v>37</v>
      </c>
      <c r="C107">
        <v>1</v>
      </c>
      <c r="E107">
        <v>16</v>
      </c>
      <c r="F107">
        <v>7</v>
      </c>
      <c r="G107">
        <v>5</v>
      </c>
      <c r="I107">
        <v>8</v>
      </c>
      <c r="P107" s="4">
        <v>2.4900000000000002</v>
      </c>
      <c r="R107" s="4">
        <f>4.23+8.96+3.99+7.99+3.19</f>
        <v>28.360000000000003</v>
      </c>
      <c r="S107" s="4">
        <f>3.79+2.5+3.15+1.67+2.5+4.15+1.39+1.39+1.35+2+2+1.67+1.66+10.99+1.99+4.29</f>
        <v>46.49</v>
      </c>
      <c r="T107" s="4">
        <f>2+3.99+3.52+3.99+2.89+1.08</f>
        <v>17.47</v>
      </c>
      <c r="V107" s="4">
        <f>1.5+1.5+3+4.29+3.99+4.89+0.1+3.7</f>
        <v>22.97</v>
      </c>
      <c r="Y107" s="4">
        <v>117.51</v>
      </c>
      <c r="Z107" s="4">
        <v>0</v>
      </c>
      <c r="AA107" s="3">
        <v>0.36172453703703705</v>
      </c>
      <c r="AB107" t="s">
        <v>43</v>
      </c>
      <c r="AC107" t="s">
        <v>18</v>
      </c>
      <c r="AD107" s="4">
        <v>22.54</v>
      </c>
      <c r="AE107">
        <v>7</v>
      </c>
      <c r="AF107" t="s">
        <v>20</v>
      </c>
      <c r="AG107" t="s">
        <v>30</v>
      </c>
    </row>
    <row r="108" spans="1:33" x14ac:dyDescent="0.3">
      <c r="A108" s="2">
        <v>44458</v>
      </c>
      <c r="B108">
        <v>37</v>
      </c>
      <c r="C108">
        <v>1</v>
      </c>
      <c r="E108">
        <v>16</v>
      </c>
      <c r="F108">
        <v>3</v>
      </c>
      <c r="G108">
        <v>10</v>
      </c>
      <c r="I108">
        <v>7</v>
      </c>
      <c r="P108" s="4">
        <v>2.99</v>
      </c>
      <c r="R108" s="4">
        <f>6.69+8.79+3.99+3.99+15.8+3.99+9.69+4.03+6.69+6.69</f>
        <v>70.350000000000009</v>
      </c>
      <c r="S108" s="4">
        <f>4.99+3.49+4.99+3.69+4.29+4.29+1.49+1.49+1.49+1.49+2.79+3.39+3.69+2.99+2.99</f>
        <v>47.55</v>
      </c>
      <c r="T108" s="4">
        <f>3.99+2.89+4.7</f>
        <v>11.580000000000002</v>
      </c>
      <c r="V108" s="4">
        <f>1.5+1.5+5.99+5.49+4.29+4.29+2.99</f>
        <v>26.049999999999997</v>
      </c>
      <c r="X108" s="4">
        <v>20.8</v>
      </c>
      <c r="Y108" s="4">
        <v>138.26</v>
      </c>
      <c r="Z108" s="4">
        <v>0.49</v>
      </c>
      <c r="AA108" s="3">
        <v>0.36137731481481478</v>
      </c>
      <c r="AB108" t="s">
        <v>44</v>
      </c>
      <c r="AC108" t="s">
        <v>18</v>
      </c>
      <c r="AD108" s="4">
        <v>33.92</v>
      </c>
      <c r="AE108">
        <v>7</v>
      </c>
      <c r="AF108" t="s">
        <v>20</v>
      </c>
      <c r="AG108" t="s">
        <v>30</v>
      </c>
    </row>
    <row r="109" spans="1:33" x14ac:dyDescent="0.3">
      <c r="A109" s="2">
        <v>44469</v>
      </c>
      <c r="B109">
        <v>11</v>
      </c>
      <c r="E109">
        <v>2</v>
      </c>
      <c r="F109">
        <v>2</v>
      </c>
      <c r="G109">
        <v>2</v>
      </c>
      <c r="I109">
        <v>3</v>
      </c>
      <c r="L109">
        <v>2</v>
      </c>
      <c r="N109" s="4">
        <f>3.05+4.99</f>
        <v>8.0399999999999991</v>
      </c>
      <c r="R109" s="4">
        <f>2.66+2.9</f>
        <v>5.5600000000000005</v>
      </c>
      <c r="S109" s="4">
        <f>4.49+4.49</f>
        <v>8.98</v>
      </c>
      <c r="T109" s="4">
        <f>2.99+2.99</f>
        <v>5.98</v>
      </c>
      <c r="V109" s="4">
        <f>8.49+1.99+11.49</f>
        <v>21.97</v>
      </c>
      <c r="Y109" s="4">
        <v>50.53</v>
      </c>
      <c r="Z109" s="4">
        <v>0</v>
      </c>
      <c r="AA109" s="3">
        <v>0.58402777777777781</v>
      </c>
      <c r="AB109" t="s">
        <v>79</v>
      </c>
      <c r="AC109" t="s">
        <v>80</v>
      </c>
      <c r="AD109" s="4">
        <v>0</v>
      </c>
      <c r="AE109">
        <v>6</v>
      </c>
      <c r="AF109" t="s">
        <v>70</v>
      </c>
      <c r="AG109" t="s">
        <v>71</v>
      </c>
    </row>
    <row r="110" spans="1:33" x14ac:dyDescent="0.3">
      <c r="A110" s="2">
        <v>44479</v>
      </c>
      <c r="B110">
        <v>37</v>
      </c>
      <c r="E110">
        <v>6</v>
      </c>
      <c r="F110">
        <v>10</v>
      </c>
      <c r="G110">
        <v>7</v>
      </c>
      <c r="I110">
        <v>10</v>
      </c>
      <c r="J110">
        <v>3</v>
      </c>
      <c r="R110" s="4">
        <f>10.87+10.89+3.99+3.99+6.49+6.69+9.61</f>
        <v>52.53</v>
      </c>
      <c r="S110" s="4">
        <f>1.5+4.09+3.89+2.59+3.39+0.05</f>
        <v>15.510000000000002</v>
      </c>
      <c r="T110" s="4">
        <f>3.92+3.99+0.05+3.99+6.67+4.79+0.94+2.93+1.98+2.99</f>
        <v>32.25</v>
      </c>
      <c r="V110" s="4">
        <f>1.5+1.5+2.49+5.99+2.5+2.5+5.99+4.49+0.1+3.49</f>
        <v>30.550000000000004</v>
      </c>
      <c r="W110" s="4">
        <f>6.99+7.99+4.45</f>
        <v>19.43</v>
      </c>
      <c r="Y110" s="4">
        <v>150.27000000000001</v>
      </c>
      <c r="Z110" s="4">
        <v>1.99</v>
      </c>
      <c r="AA110" s="3">
        <v>0.35568287037037033</v>
      </c>
      <c r="AB110" t="s">
        <v>75</v>
      </c>
      <c r="AC110" t="s">
        <v>18</v>
      </c>
      <c r="AD110" s="4">
        <v>16.489999999999998</v>
      </c>
      <c r="AE110">
        <v>7</v>
      </c>
      <c r="AF110" t="s">
        <v>20</v>
      </c>
      <c r="AG110" t="s">
        <v>30</v>
      </c>
    </row>
    <row r="111" spans="1:33" x14ac:dyDescent="0.3">
      <c r="A111" s="2">
        <v>44486</v>
      </c>
      <c r="B111">
        <v>47</v>
      </c>
      <c r="E111">
        <v>14</v>
      </c>
      <c r="F111">
        <v>9</v>
      </c>
      <c r="G111">
        <v>5</v>
      </c>
      <c r="I111">
        <v>11</v>
      </c>
      <c r="J111">
        <v>4</v>
      </c>
      <c r="R111" s="4">
        <f>7.49+3.79+9.94+3.79+6.59</f>
        <v>31.599999999999998</v>
      </c>
      <c r="S111" s="4">
        <f>3.49+3.79+2.79+1.39+2.49+1.19+2.98+1.19+4.15+1.5+1.5+3.19+2.29+3.69</f>
        <v>35.630000000000003</v>
      </c>
      <c r="T111" s="4">
        <f>3.42+3.29+2.79+2.49+5+1.99+2.82+1.99+1.99</f>
        <v>25.779999999999998</v>
      </c>
      <c r="V111" s="4">
        <f>8.69+5.99+3.49+6+2.29+3.99+4.89+0.1+2.56+3.7+4.49</f>
        <v>46.190000000000012</v>
      </c>
      <c r="W111" s="4">
        <f>6.99+6.99+2.79+2.79</f>
        <v>19.559999999999999</v>
      </c>
      <c r="Y111" s="4">
        <v>160.76</v>
      </c>
      <c r="Z111" s="4">
        <v>2</v>
      </c>
      <c r="AA111" s="3">
        <v>0.3637037037037037</v>
      </c>
      <c r="AB111" t="s">
        <v>44</v>
      </c>
      <c r="AC111" t="s">
        <v>18</v>
      </c>
      <c r="AD111" s="4">
        <v>10.08</v>
      </c>
      <c r="AE111">
        <v>7</v>
      </c>
      <c r="AF111" t="s">
        <v>20</v>
      </c>
      <c r="AG111" t="s">
        <v>30</v>
      </c>
    </row>
    <row r="112" spans="1:33" x14ac:dyDescent="0.3">
      <c r="A112" s="2">
        <v>44500</v>
      </c>
      <c r="B112">
        <v>34</v>
      </c>
      <c r="E112">
        <v>10</v>
      </c>
      <c r="F112">
        <v>4</v>
      </c>
      <c r="G112">
        <v>7</v>
      </c>
      <c r="I112">
        <v>13</v>
      </c>
      <c r="R112" s="4">
        <f>3.79+3.79+11.87+5.29+13.99+18.86+3.49</f>
        <v>61.08</v>
      </c>
      <c r="S112" s="4">
        <f>4.39+1.49+1.49+3.69+3.79+0.1+2.98+3.39+0.05+4.69</f>
        <v>26.060000000000002</v>
      </c>
      <c r="T112" s="4">
        <f>4.36+1.25+3.99+2.19</f>
        <v>11.790000000000001</v>
      </c>
      <c r="V112" s="4">
        <f>3.99+1.5+1.5+1.5+1.5+4.09+2.99+5.59+4.89+0.1+4.29+3.07+2.99</f>
        <v>38</v>
      </c>
      <c r="X112" s="4">
        <v>10</v>
      </c>
      <c r="Y112" s="4">
        <v>126.93</v>
      </c>
      <c r="Z112" s="4">
        <v>0</v>
      </c>
      <c r="AA112" s="3">
        <v>0.36743055555555554</v>
      </c>
      <c r="AB112" t="s">
        <v>44</v>
      </c>
      <c r="AC112" t="s">
        <v>18</v>
      </c>
      <c r="AD112" s="4">
        <v>25.18</v>
      </c>
      <c r="AE112">
        <v>7</v>
      </c>
      <c r="AF112" t="s">
        <v>20</v>
      </c>
      <c r="AG112" t="s">
        <v>30</v>
      </c>
    </row>
    <row r="113" spans="1:33" x14ac:dyDescent="0.3">
      <c r="A113" s="2">
        <v>44507</v>
      </c>
      <c r="B113">
        <v>37</v>
      </c>
      <c r="E113">
        <v>18</v>
      </c>
      <c r="F113">
        <v>6</v>
      </c>
      <c r="G113">
        <v>6</v>
      </c>
      <c r="I113">
        <v>7</v>
      </c>
      <c r="R113" s="4">
        <f>8.99+3+3+6.59+5.99+6.21</f>
        <v>33.78</v>
      </c>
      <c r="S113" s="4">
        <f>2.99+2.99+4.49+1.5+2.5+2.5+1+3.49+5.44+1.67+2.98+1.19+1.19+0.59+1.49+1.49+3.75+1.5</f>
        <v>42.750000000000007</v>
      </c>
      <c r="T113" s="4">
        <f>1.99+3.34+4.19+2.79+3.99+0.99</f>
        <v>17.289999999999996</v>
      </c>
      <c r="V113" s="4">
        <f>1.5+1.5+1.5+1.5+3.99+2.04+2.49</f>
        <v>14.520000000000001</v>
      </c>
      <c r="Y113" s="4">
        <v>108.34</v>
      </c>
      <c r="Z113" s="4">
        <v>0</v>
      </c>
      <c r="AA113" s="3">
        <v>0.34605324074074079</v>
      </c>
      <c r="AB113" t="s">
        <v>75</v>
      </c>
      <c r="AC113" t="s">
        <v>18</v>
      </c>
      <c r="AD113" s="4">
        <v>15.9</v>
      </c>
      <c r="AE113">
        <v>7</v>
      </c>
      <c r="AF113" t="s">
        <v>20</v>
      </c>
      <c r="AG113" t="s">
        <v>30</v>
      </c>
    </row>
    <row r="114" spans="1:33" x14ac:dyDescent="0.3">
      <c r="A114" s="2">
        <v>44514</v>
      </c>
      <c r="B114">
        <v>1</v>
      </c>
      <c r="G114">
        <v>1</v>
      </c>
      <c r="R114" s="4">
        <v>12.99</v>
      </c>
      <c r="Y114" s="4">
        <v>12.99</v>
      </c>
      <c r="Z114" s="4">
        <v>0</v>
      </c>
      <c r="AA114" s="6">
        <v>0.7319444444444444</v>
      </c>
      <c r="AB114" t="s">
        <v>76</v>
      </c>
      <c r="AC114" t="s">
        <v>18</v>
      </c>
      <c r="AD114" s="4">
        <v>0.5</v>
      </c>
      <c r="AF114" t="s">
        <v>23</v>
      </c>
      <c r="AG114" t="s">
        <v>30</v>
      </c>
    </row>
    <row r="115" spans="1:33" x14ac:dyDescent="0.3">
      <c r="A115" s="2">
        <v>44514</v>
      </c>
      <c r="B115">
        <v>29</v>
      </c>
      <c r="E115">
        <v>6</v>
      </c>
      <c r="F115">
        <v>5</v>
      </c>
      <c r="G115">
        <v>6</v>
      </c>
      <c r="I115">
        <v>10</v>
      </c>
      <c r="J115">
        <v>2</v>
      </c>
      <c r="R115" s="4">
        <f>3.79+3.79+13.83+5.99+13.79+9.99</f>
        <v>51.18</v>
      </c>
      <c r="S115" s="4">
        <f>2+5.99+1.35+1.25+3.69</f>
        <v>14.28</v>
      </c>
      <c r="T115" s="4">
        <f>3.99+2.89+3.49+2.99+5.99</f>
        <v>19.350000000000001</v>
      </c>
      <c r="V115" s="4">
        <f>6.49+1.5+1.5+1.5+1.5+3.99+5.59+4.45+4.49+0.1</f>
        <v>31.11</v>
      </c>
      <c r="W115" s="4">
        <f>3.29+3.99</f>
        <v>7.28</v>
      </c>
      <c r="Y115" s="4">
        <v>124.45</v>
      </c>
      <c r="Z115" s="4">
        <v>0.75</v>
      </c>
      <c r="AA115" s="3">
        <v>0.35038194444444448</v>
      </c>
      <c r="AB115" t="s">
        <v>44</v>
      </c>
      <c r="AC115" t="s">
        <v>18</v>
      </c>
      <c r="AD115" s="4">
        <v>3.17</v>
      </c>
      <c r="AE115">
        <v>7</v>
      </c>
      <c r="AF115" t="s">
        <v>20</v>
      </c>
      <c r="AG115" t="s">
        <v>30</v>
      </c>
    </row>
    <row r="116" spans="1:33" x14ac:dyDescent="0.3">
      <c r="A116" s="2">
        <v>44521</v>
      </c>
      <c r="B116">
        <v>35</v>
      </c>
      <c r="D116">
        <v>1</v>
      </c>
      <c r="E116">
        <v>13</v>
      </c>
      <c r="F116">
        <v>8</v>
      </c>
      <c r="G116">
        <v>3</v>
      </c>
      <c r="I116">
        <v>9</v>
      </c>
      <c r="O116" s="4">
        <v>12.99</v>
      </c>
      <c r="R116" s="4">
        <f>3+12.46+13.57</f>
        <v>29.03</v>
      </c>
      <c r="S116" s="4">
        <f>3.29+4.39+3+3+1.79+6.26+1.39+4.59+2.98+4.89+2.5+4.69+4.79</f>
        <v>47.559999999999995</v>
      </c>
      <c r="T116" s="4">
        <f>6.21+2.63+3.77+1.89+2.5+3.99+4.79+5</f>
        <v>30.78</v>
      </c>
      <c r="V116" s="4">
        <f>7.49+3.07+1.88+2.78+3.7+2.49+5.49+2.99+2.99</f>
        <v>32.88000000000001</v>
      </c>
      <c r="Y116" s="4">
        <v>148.66999999999999</v>
      </c>
      <c r="Z116" s="4">
        <v>1.66</v>
      </c>
      <c r="AA116" s="3">
        <v>0.35895833333333332</v>
      </c>
      <c r="AB116" t="s">
        <v>77</v>
      </c>
      <c r="AC116" t="s">
        <v>18</v>
      </c>
      <c r="AD116" s="4">
        <v>23.66</v>
      </c>
      <c r="AE116">
        <v>7</v>
      </c>
      <c r="AF116" t="s">
        <v>20</v>
      </c>
      <c r="AG116" t="s">
        <v>30</v>
      </c>
    </row>
    <row r="117" spans="1:33" x14ac:dyDescent="0.3">
      <c r="A117" s="2">
        <v>44523</v>
      </c>
      <c r="B117">
        <v>3</v>
      </c>
      <c r="H117">
        <v>1</v>
      </c>
      <c r="I117">
        <v>2</v>
      </c>
      <c r="U117" s="4">
        <v>4.37</v>
      </c>
      <c r="V117" s="4">
        <f>3.63+5.99</f>
        <v>9.620000000000001</v>
      </c>
      <c r="Y117" s="4">
        <v>13.99</v>
      </c>
      <c r="AA117" s="3">
        <v>0.8340277777777777</v>
      </c>
      <c r="AB117" t="s">
        <v>74</v>
      </c>
      <c r="AC117" t="s">
        <v>42</v>
      </c>
      <c r="AD117" s="4">
        <v>0</v>
      </c>
      <c r="AE117">
        <v>5</v>
      </c>
      <c r="AF117" t="s">
        <v>70</v>
      </c>
      <c r="AG117" t="s">
        <v>71</v>
      </c>
    </row>
    <row r="118" spans="1:33" x14ac:dyDescent="0.3">
      <c r="A118" s="2">
        <v>44528</v>
      </c>
      <c r="B118">
        <v>41</v>
      </c>
      <c r="C118">
        <v>1</v>
      </c>
      <c r="E118">
        <v>14</v>
      </c>
      <c r="F118">
        <v>10</v>
      </c>
      <c r="G118">
        <v>5</v>
      </c>
      <c r="I118">
        <v>8</v>
      </c>
      <c r="J118">
        <v>1</v>
      </c>
      <c r="P118" s="4">
        <v>2.4900000000000002</v>
      </c>
      <c r="R118" s="4">
        <f>5.99+9.57+3.79+3.79+12.99</f>
        <v>36.130000000000003</v>
      </c>
      <c r="S118" s="4">
        <f>2.49+6.78+9.49+3.59+4.99+1.39+1.25+1.25+5.39+3.75+3.39+0.05+4.69+2.99+4.89</f>
        <v>56.379999999999995</v>
      </c>
      <c r="T118" s="4">
        <f>2.99+3.99+4.79+3.99+0.97+1.98+2.43+5.99+1.99+1.99</f>
        <v>31.11</v>
      </c>
      <c r="V118" s="4">
        <f>4.49+1.5+1.5+1.5+1.5+4.89+0.1+4.29</f>
        <v>19.77</v>
      </c>
      <c r="W118" s="4">
        <v>12.99</v>
      </c>
      <c r="Y118" s="4">
        <v>162.68</v>
      </c>
      <c r="Z118" s="4">
        <v>3.81</v>
      </c>
      <c r="AA118" s="3">
        <v>0.34468750000000004</v>
      </c>
      <c r="AB118" t="s">
        <v>60</v>
      </c>
      <c r="AC118" t="s">
        <v>18</v>
      </c>
      <c r="AD118" s="4">
        <v>3.76</v>
      </c>
      <c r="AE118">
        <v>7</v>
      </c>
      <c r="AF118" t="s">
        <v>20</v>
      </c>
      <c r="AG118" t="s">
        <v>30</v>
      </c>
    </row>
    <row r="119" spans="1:33" x14ac:dyDescent="0.3">
      <c r="A119" s="2">
        <v>44535</v>
      </c>
      <c r="B119">
        <v>35</v>
      </c>
      <c r="E119">
        <v>13</v>
      </c>
      <c r="F119">
        <v>6</v>
      </c>
      <c r="G119">
        <v>6</v>
      </c>
      <c r="H119">
        <v>1</v>
      </c>
      <c r="I119">
        <v>7</v>
      </c>
      <c r="J119">
        <v>2</v>
      </c>
      <c r="R119" s="4">
        <f>9.03+3+3+12.89+18.02+5.75</f>
        <v>51.69</v>
      </c>
      <c r="S119" s="4">
        <f>1.79+4.39+5.29+0.99+0.99+1.39+1.39+1.25+1.25+2.98+5.79+3.19+0.99</f>
        <v>31.68</v>
      </c>
      <c r="T119" s="4">
        <f>3.58+3.99+22.89+3.99+5.99</f>
        <v>40.440000000000005</v>
      </c>
      <c r="U119" s="4">
        <v>8.99</v>
      </c>
      <c r="V119" s="4">
        <f>1.5+1.5+3.99+3.99+3.99+3.07+4.65</f>
        <v>22.689999999999998</v>
      </c>
      <c r="W119" s="4">
        <f>4.49+3.99</f>
        <v>8.48</v>
      </c>
      <c r="Y119" s="4">
        <v>144.84</v>
      </c>
      <c r="Z119" s="4">
        <v>0.87</v>
      </c>
      <c r="AA119" s="3">
        <v>0.89785879629629628</v>
      </c>
      <c r="AB119" t="s">
        <v>34</v>
      </c>
      <c r="AC119" t="s">
        <v>18</v>
      </c>
      <c r="AD119" s="4">
        <v>8.16</v>
      </c>
      <c r="AE119">
        <v>7</v>
      </c>
      <c r="AF119" t="s">
        <v>20</v>
      </c>
      <c r="AG119" t="s">
        <v>30</v>
      </c>
    </row>
    <row r="120" spans="1:33" x14ac:dyDescent="0.3">
      <c r="A120" s="2">
        <v>44542</v>
      </c>
      <c r="B120">
        <v>43</v>
      </c>
      <c r="E120">
        <v>15</v>
      </c>
      <c r="F120">
        <v>10</v>
      </c>
      <c r="G120">
        <v>8</v>
      </c>
      <c r="I120">
        <v>10</v>
      </c>
      <c r="R120" s="4">
        <f>10.25+3.99+3.99+3.92+4.31+3.49+12.53+5.69</f>
        <v>48.169999999999995</v>
      </c>
      <c r="S120" s="4">
        <f>1.5+1.5+1.59+0.99+0.99+6.55+4.29+3.49+4.49+3.49+4.15+3.99+0.1+1.99+3.69</f>
        <v>42.800000000000004</v>
      </c>
      <c r="T120" s="4">
        <f>2.59+3.99+3.99+4.79+3.99+0.99+1.51+5+5.99</f>
        <v>32.840000000000003</v>
      </c>
      <c r="V120" s="4">
        <f>1.5+1.5+3+3.99+2.04+4.99+2.24+2.49+2.5+2.5</f>
        <v>26.750000000000007</v>
      </c>
      <c r="Y120" s="4">
        <v>150.56</v>
      </c>
      <c r="Z120" s="4">
        <v>0</v>
      </c>
      <c r="AA120" s="3">
        <v>0.3538425925925926</v>
      </c>
      <c r="AB120" t="s">
        <v>43</v>
      </c>
      <c r="AC120" t="s">
        <v>18</v>
      </c>
      <c r="AD120" s="4">
        <v>22.67</v>
      </c>
      <c r="AE120">
        <v>7</v>
      </c>
      <c r="AF120" t="s">
        <v>20</v>
      </c>
      <c r="AG120" t="s">
        <v>30</v>
      </c>
    </row>
    <row r="121" spans="1:33" x14ac:dyDescent="0.3">
      <c r="A121" s="2">
        <v>44545</v>
      </c>
      <c r="B121">
        <v>5</v>
      </c>
      <c r="E121">
        <v>3</v>
      </c>
      <c r="H121">
        <v>2</v>
      </c>
      <c r="S121" s="4">
        <f>3.99+0.2+1.49</f>
        <v>5.6800000000000006</v>
      </c>
      <c r="U121" s="4">
        <f>3.05+5.84</f>
        <v>8.89</v>
      </c>
      <c r="Y121" s="4">
        <v>14.73</v>
      </c>
      <c r="Z121" s="4">
        <v>0.16</v>
      </c>
      <c r="AA121" s="3">
        <v>0.71621527777777771</v>
      </c>
      <c r="AB121" t="s">
        <v>74</v>
      </c>
      <c r="AC121" t="s">
        <v>51</v>
      </c>
      <c r="AD121" s="4">
        <v>0</v>
      </c>
      <c r="AE121">
        <v>1</v>
      </c>
      <c r="AF121" t="s">
        <v>70</v>
      </c>
      <c r="AG121" t="s">
        <v>71</v>
      </c>
    </row>
    <row r="122" spans="1:33" x14ac:dyDescent="0.3">
      <c r="A122" s="2">
        <v>44551</v>
      </c>
      <c r="B122">
        <v>5</v>
      </c>
      <c r="C122">
        <v>1</v>
      </c>
      <c r="E122">
        <v>2</v>
      </c>
      <c r="J122">
        <v>2</v>
      </c>
      <c r="P122" s="4">
        <v>4.99</v>
      </c>
      <c r="S122" s="4">
        <f>3+0.1</f>
        <v>3.1</v>
      </c>
      <c r="W122" s="4">
        <f>3.99+0.1</f>
        <v>4.09</v>
      </c>
      <c r="Y122" s="4">
        <v>12.18</v>
      </c>
      <c r="Z122" s="4">
        <v>0.41</v>
      </c>
      <c r="AA122" s="3">
        <v>0.38538194444444446</v>
      </c>
      <c r="AB122" t="s">
        <v>72</v>
      </c>
      <c r="AC122" t="s">
        <v>42</v>
      </c>
      <c r="AD122" s="4">
        <v>0.39</v>
      </c>
      <c r="AE122" t="s">
        <v>73</v>
      </c>
      <c r="AF122" t="s">
        <v>20</v>
      </c>
      <c r="AG122" t="s">
        <v>30</v>
      </c>
    </row>
    <row r="123" spans="1:33" x14ac:dyDescent="0.3">
      <c r="A123" s="2">
        <v>44556</v>
      </c>
      <c r="B123">
        <v>54</v>
      </c>
      <c r="E123">
        <v>17</v>
      </c>
      <c r="F123">
        <v>10</v>
      </c>
      <c r="G123">
        <v>7</v>
      </c>
      <c r="I123">
        <v>13</v>
      </c>
      <c r="J123">
        <v>5</v>
      </c>
      <c r="R123" s="4">
        <f>8.99+3.49+12.01+5.19+4.69+9.19+3.49</f>
        <v>47.050000000000004</v>
      </c>
      <c r="S123" s="4">
        <f>2.65+2.09+1.25+1.25+1.25+1.25+3.49+3.49+3.99+1.39+0.5+0.5+0.5+0.5+3.75+2.19+4.69</f>
        <v>34.730000000000004</v>
      </c>
      <c r="T123" s="4">
        <f>3.66+2.79+2.21+4.79+3.99+1.04+1.98+5+1.99+2.15</f>
        <v>29.599999999999994</v>
      </c>
      <c r="V123" s="4">
        <f>4.89+1.5+1.5+6.99+1.99+4.15+4.89+0.1+3+3+3.07+3.99+2.56</f>
        <v>41.63</v>
      </c>
      <c r="W123" s="4">
        <f>7.89+2.99+4.45+2.79+2.79</f>
        <v>20.909999999999997</v>
      </c>
      <c r="Y123" s="4">
        <v>176.47</v>
      </c>
      <c r="Z123" s="4">
        <v>3.53</v>
      </c>
      <c r="AA123" s="3">
        <v>0.90207175925925931</v>
      </c>
      <c r="AB123" t="s">
        <v>67</v>
      </c>
      <c r="AC123" t="s">
        <v>18</v>
      </c>
      <c r="AD123" s="4">
        <v>15.55</v>
      </c>
      <c r="AE123">
        <v>6</v>
      </c>
      <c r="AF123" t="s">
        <v>20</v>
      </c>
      <c r="AG123" t="s">
        <v>30</v>
      </c>
    </row>
    <row r="124" spans="1:33" x14ac:dyDescent="0.3">
      <c r="A124" s="2">
        <v>44563</v>
      </c>
      <c r="B124">
        <v>31</v>
      </c>
      <c r="C124">
        <v>1</v>
      </c>
      <c r="E124">
        <v>9</v>
      </c>
      <c r="F124">
        <v>5</v>
      </c>
      <c r="G124">
        <v>7</v>
      </c>
      <c r="I124">
        <v>9</v>
      </c>
      <c r="P124" s="4">
        <v>2.99</v>
      </c>
      <c r="R124" s="4">
        <f>6.29+7.99+7.99+5.99+7.2+9.99+8.49</f>
        <v>53.940000000000012</v>
      </c>
      <c r="S124" s="4">
        <f>3.49+4.99+4.58+4.58+1.49+1.49+1.49+1.49+1.49</f>
        <v>25.089999999999993</v>
      </c>
      <c r="T124" s="4">
        <f>2.79+2.96+2.99+0.79+2.59</f>
        <v>12.120000000000001</v>
      </c>
      <c r="V124" s="4">
        <f>3.5+4.49+1.5+1.5+2+2+2.89+2.04+5.49</f>
        <v>25.409999999999997</v>
      </c>
      <c r="Y124" s="4">
        <v>119.55</v>
      </c>
      <c r="Z124" s="4">
        <v>0</v>
      </c>
      <c r="AA124" s="3">
        <v>0.34290509259259255</v>
      </c>
      <c r="AB124" t="s">
        <v>44</v>
      </c>
      <c r="AC124" t="s">
        <v>18</v>
      </c>
      <c r="AD124" s="4">
        <v>23.49</v>
      </c>
      <c r="AE124">
        <v>7</v>
      </c>
      <c r="AF124" t="s">
        <v>20</v>
      </c>
      <c r="AG124" t="s">
        <v>30</v>
      </c>
    </row>
    <row r="125" spans="1:33" x14ac:dyDescent="0.3">
      <c r="A125" s="2">
        <v>44577</v>
      </c>
      <c r="B125">
        <v>30</v>
      </c>
      <c r="E125">
        <v>8</v>
      </c>
      <c r="F125">
        <v>6</v>
      </c>
      <c r="G125">
        <v>3</v>
      </c>
      <c r="I125">
        <v>10</v>
      </c>
      <c r="J125">
        <v>2</v>
      </c>
      <c r="R125" s="4">
        <f>3.16+14.84+13.23</f>
        <v>31.23</v>
      </c>
      <c r="S125" s="4">
        <f>1.79+2.5+2.5+3.49+1.39+1.79+0.96+3.59</f>
        <v>18.010000000000002</v>
      </c>
      <c r="T125" s="4">
        <f>4.96+2.99+2.99+2.5+1.08+1.81</f>
        <v>16.330000000000002</v>
      </c>
      <c r="V125" s="4">
        <f>1.5+1.5+1.5+1.5+1.5+3.99+7.29+4.89+0.1+3.07+3.89</f>
        <v>30.730000000000004</v>
      </c>
      <c r="W125" s="4">
        <f>2.19+2.19</f>
        <v>4.38</v>
      </c>
      <c r="Y125" s="4">
        <v>99.32</v>
      </c>
      <c r="Z125" s="4">
        <v>0.45</v>
      </c>
      <c r="AA125" s="3">
        <v>0.33822916666666664</v>
      </c>
      <c r="AB125" s="4" t="s">
        <v>43</v>
      </c>
      <c r="AC125" t="s">
        <v>18</v>
      </c>
      <c r="AD125" s="4">
        <v>19.440000000000001</v>
      </c>
      <c r="AE125" s="7">
        <v>7</v>
      </c>
      <c r="AF125" t="s">
        <v>20</v>
      </c>
      <c r="AG125" s="4" t="s">
        <v>30</v>
      </c>
    </row>
    <row r="126" spans="1:33" x14ac:dyDescent="0.3">
      <c r="A126" s="2">
        <v>44584</v>
      </c>
      <c r="B126">
        <v>32</v>
      </c>
      <c r="C126">
        <v>1</v>
      </c>
      <c r="E126">
        <v>10</v>
      </c>
      <c r="F126">
        <v>5</v>
      </c>
      <c r="G126">
        <v>4</v>
      </c>
      <c r="I126">
        <v>10</v>
      </c>
      <c r="J126">
        <v>2</v>
      </c>
      <c r="P126" s="4">
        <v>2.4900000000000002</v>
      </c>
      <c r="R126" s="4">
        <f>6.79+8.33+5.99+4.54</f>
        <v>25.65</v>
      </c>
      <c r="S126" s="4">
        <f>4.99+2.35+3.5+3.5+1.79+1.9+3.99+1.49+1.49+1.85</f>
        <v>26.849999999999994</v>
      </c>
      <c r="T126" s="4">
        <f>4.38+1.89+2.99+0.89+1.02</f>
        <v>11.17</v>
      </c>
      <c r="V126" s="4">
        <f>1.5+1.5+1.5+1.5+2.29+3.99+2.5+2.5+2.6+2.24</f>
        <v>22.120000000000005</v>
      </c>
      <c r="W126" s="4">
        <f>7.99+0.99</f>
        <v>8.98</v>
      </c>
      <c r="Y126" s="4">
        <v>88.08</v>
      </c>
      <c r="Z126" s="4">
        <v>0.82</v>
      </c>
      <c r="AA126" s="3">
        <v>0.35743055555555553</v>
      </c>
      <c r="AB126" t="s">
        <v>43</v>
      </c>
      <c r="AC126" t="s">
        <v>18</v>
      </c>
      <c r="AD126" s="4">
        <v>22.84</v>
      </c>
      <c r="AE126">
        <v>7</v>
      </c>
      <c r="AF126" t="s">
        <v>20</v>
      </c>
      <c r="AG126" t="s">
        <v>30</v>
      </c>
    </row>
    <row r="127" spans="1:33" x14ac:dyDescent="0.3">
      <c r="A127" s="2">
        <v>44591</v>
      </c>
      <c r="B127">
        <v>40</v>
      </c>
      <c r="C127">
        <v>1</v>
      </c>
      <c r="E127">
        <v>15</v>
      </c>
      <c r="F127">
        <v>9</v>
      </c>
      <c r="G127">
        <v>6</v>
      </c>
      <c r="I127">
        <v>8</v>
      </c>
      <c r="J127">
        <v>1</v>
      </c>
      <c r="P127" s="4">
        <v>2.4900000000000002</v>
      </c>
      <c r="R127" s="4">
        <f>12.77+5.49+5.99+13.45+4.69+11.77</f>
        <v>54.16</v>
      </c>
      <c r="S127" s="4">
        <f>3.99+2.85+4.79+3.99+1.39+1.39+1.49+1.35+1.35+3.75+2.19+2.19+4.25+4.79+4.69</f>
        <v>44.449999999999996</v>
      </c>
      <c r="T127" s="4">
        <f>4.98+1.25+3.09+4.19+4.79+2.78+2.5+1.41</f>
        <v>24.990000000000002</v>
      </c>
      <c r="V127" s="4">
        <f>7.78+1.5+1.5+1+1+4.79+5.15+3.29</f>
        <v>26.009999999999998</v>
      </c>
      <c r="W127" s="4">
        <v>5.99</v>
      </c>
      <c r="Y127" s="4">
        <v>158.69999999999999</v>
      </c>
      <c r="Z127" s="4">
        <v>0.61</v>
      </c>
      <c r="AA127" s="3">
        <v>0.34017361111111111</v>
      </c>
      <c r="AB127" t="s">
        <v>43</v>
      </c>
      <c r="AC127" t="s">
        <v>18</v>
      </c>
      <c r="AD127" s="4">
        <v>8.11</v>
      </c>
      <c r="AE127">
        <v>7</v>
      </c>
      <c r="AF127" t="s">
        <v>20</v>
      </c>
      <c r="AG127" t="s">
        <v>30</v>
      </c>
    </row>
    <row r="128" spans="1:33" x14ac:dyDescent="0.3">
      <c r="A128" s="2">
        <v>44598</v>
      </c>
      <c r="B128">
        <v>39</v>
      </c>
      <c r="C128">
        <v>1</v>
      </c>
      <c r="E128">
        <v>9</v>
      </c>
      <c r="F128">
        <v>9</v>
      </c>
      <c r="G128">
        <v>7</v>
      </c>
      <c r="I128">
        <v>9</v>
      </c>
      <c r="J128">
        <v>3</v>
      </c>
      <c r="P128" s="4">
        <v>2.99</v>
      </c>
      <c r="R128" s="4">
        <f>5.83+12.05+9.99+3.79+3.79+15.02+3.99</f>
        <v>54.46</v>
      </c>
      <c r="S128" s="4">
        <f>2.29+4.29+3.49+1.69+4.79+2.99+1.29+0.79</f>
        <v>21.619999999999997</v>
      </c>
      <c r="T128" s="4">
        <f>1.99+3.49+3.09+3.99+0.89+1.58+6.59+2.19+2.19</f>
        <v>26.000000000000004</v>
      </c>
      <c r="V128" s="4">
        <f>3.33+1+1+1+1+3.99+4.89+0.1+2.99</f>
        <v>19.300000000000004</v>
      </c>
      <c r="W128" s="4">
        <f>3.99+2.19+2.19</f>
        <v>8.3699999999999992</v>
      </c>
      <c r="Y128" s="4">
        <v>134.03</v>
      </c>
      <c r="Z128" s="4">
        <v>1.3</v>
      </c>
      <c r="AA128" s="3">
        <v>0.86322916666666671</v>
      </c>
      <c r="AB128" t="s">
        <v>66</v>
      </c>
      <c r="AC128" t="s">
        <v>18</v>
      </c>
      <c r="AD128" s="4">
        <v>9.17</v>
      </c>
      <c r="AE128">
        <v>5</v>
      </c>
      <c r="AF128" t="s">
        <v>20</v>
      </c>
      <c r="AG128" t="s">
        <v>30</v>
      </c>
    </row>
    <row r="129" spans="1:33" x14ac:dyDescent="0.3">
      <c r="A129" s="2">
        <v>44605</v>
      </c>
      <c r="B129">
        <v>36</v>
      </c>
      <c r="E129">
        <v>14</v>
      </c>
      <c r="F129">
        <v>10</v>
      </c>
      <c r="G129">
        <v>8</v>
      </c>
      <c r="I129">
        <v>3</v>
      </c>
      <c r="J129">
        <v>1</v>
      </c>
      <c r="R129" s="4">
        <f>3.99+5.8+9.11+3+3+18.14+3.49+5.77</f>
        <v>52.3</v>
      </c>
      <c r="S129" s="4">
        <f>2.69+3.99+3.99+2.5+4.79+1.49+1.49+5.89+7.99+4.79+1.99+5.49+7.99+3.99</f>
        <v>59.070000000000007</v>
      </c>
      <c r="T129" s="4">
        <f>4.41+1.76+1.89+3.49+3.09+4.79+3.99+0.89+1.34</f>
        <v>25.650000000000002</v>
      </c>
      <c r="V129" s="4">
        <f>2.29+1.49+3.89</f>
        <v>7.67</v>
      </c>
      <c r="W129" s="4">
        <v>5.19</v>
      </c>
      <c r="Y129" s="4">
        <v>150.41</v>
      </c>
      <c r="Z129" s="4">
        <v>0.53</v>
      </c>
      <c r="AA129" s="3">
        <v>0.33917824074074071</v>
      </c>
      <c r="AB129" s="3" t="s">
        <v>89</v>
      </c>
      <c r="AC129" t="s">
        <v>18</v>
      </c>
      <c r="AD129" s="4">
        <v>27.28</v>
      </c>
      <c r="AE129">
        <v>7</v>
      </c>
      <c r="AF129" t="s">
        <v>20</v>
      </c>
      <c r="AG129" t="s">
        <v>30</v>
      </c>
    </row>
    <row r="130" spans="1:33" x14ac:dyDescent="0.3">
      <c r="A130" s="2">
        <v>44619</v>
      </c>
      <c r="B130">
        <v>37</v>
      </c>
      <c r="E130">
        <v>10</v>
      </c>
      <c r="F130">
        <v>14</v>
      </c>
      <c r="G130">
        <v>4</v>
      </c>
      <c r="I130">
        <v>9</v>
      </c>
      <c r="M130">
        <v>2</v>
      </c>
      <c r="R130" s="4">
        <f>11.99+13.7+3.79+15.42</f>
        <v>44.9</v>
      </c>
      <c r="S130" s="4">
        <f>6.79+1+1+1.49+0.79+0.79+0.79+3.59+3.75+2.99</f>
        <v>22.979999999999997</v>
      </c>
      <c r="T130" s="4">
        <f>4.81+1.99+3.49+2.99+3.49+3.98+2.69+4.99+3.99+1.72+2.4+2.19+2.19</f>
        <v>40.919999999999995</v>
      </c>
      <c r="V130" s="4">
        <f>1+1+1+1+1+3.99+2.99+11.99+3.89</f>
        <v>27.86</v>
      </c>
      <c r="X130" s="4">
        <f>11.99+3</f>
        <v>14.99</v>
      </c>
      <c r="Y130" s="4">
        <v>122.03</v>
      </c>
      <c r="Z130" s="4">
        <v>0.36</v>
      </c>
      <c r="AA130" s="3">
        <v>0.34292824074074074</v>
      </c>
      <c r="AB130" t="s">
        <v>50</v>
      </c>
      <c r="AC130" t="s">
        <v>18</v>
      </c>
      <c r="AD130" s="4">
        <v>28.42</v>
      </c>
      <c r="AE130">
        <v>4</v>
      </c>
      <c r="AF130" t="s">
        <v>20</v>
      </c>
      <c r="AG130" t="s">
        <v>30</v>
      </c>
    </row>
    <row r="131" spans="1:33" x14ac:dyDescent="0.3">
      <c r="A131" s="2">
        <v>44626</v>
      </c>
      <c r="B131">
        <v>39</v>
      </c>
      <c r="E131">
        <v>16</v>
      </c>
      <c r="F131">
        <v>7</v>
      </c>
      <c r="G131">
        <v>7</v>
      </c>
      <c r="I131">
        <v>9</v>
      </c>
      <c r="R131" s="4">
        <f>8.99+4.31+4.37+3.79+5.99+4.95+14.99</f>
        <v>47.390000000000008</v>
      </c>
      <c r="S131" s="4">
        <f>2.09+2.09+2.29+3.69+3.5+3.5+3.5+3.99+0.1+0.79+0.79+2.39+1.99+1.85+4.25+2.99</f>
        <v>39.799999999999997</v>
      </c>
      <c r="T131" s="4">
        <f>4.88+1.99+3.49+4.19+4.99+3.99+2.24</f>
        <v>25.770000000000003</v>
      </c>
      <c r="V131" s="4">
        <f>4.79+1.5+1.5+2.99+6.85+12.99+2.89+4.99+2.5</f>
        <v>41.000000000000007</v>
      </c>
      <c r="Y131" s="4">
        <v>153.96</v>
      </c>
      <c r="Z131" s="4">
        <v>0</v>
      </c>
      <c r="AA131" s="3">
        <v>0.34079861111111115</v>
      </c>
      <c r="AB131" t="s">
        <v>75</v>
      </c>
      <c r="AC131" t="s">
        <v>18</v>
      </c>
      <c r="AD131" s="4">
        <v>16.37</v>
      </c>
      <c r="AE131">
        <v>7</v>
      </c>
      <c r="AF131" t="s">
        <v>20</v>
      </c>
      <c r="AG131" t="s">
        <v>30</v>
      </c>
    </row>
    <row r="132" spans="1:33" x14ac:dyDescent="0.3">
      <c r="A132" s="2">
        <v>44633</v>
      </c>
      <c r="B132">
        <v>35</v>
      </c>
      <c r="C132">
        <v>1</v>
      </c>
      <c r="E132">
        <v>11</v>
      </c>
      <c r="F132">
        <v>4</v>
      </c>
      <c r="G132">
        <v>6</v>
      </c>
      <c r="H132">
        <v>1</v>
      </c>
      <c r="I132">
        <v>9</v>
      </c>
      <c r="J132">
        <v>3</v>
      </c>
      <c r="P132" s="4">
        <v>2.4900000000000002</v>
      </c>
      <c r="R132" s="4">
        <f>5.99+17.85+3.79+10.69+5.49+8.49</f>
        <v>52.300000000000004</v>
      </c>
      <c r="S132" s="4">
        <f>2.35+2.35+7.69+3.49+9.99+4.99+3.75+3.95+3.95+2.39+4.29</f>
        <v>49.190000000000005</v>
      </c>
      <c r="T132" s="4">
        <f>3.49+3.19+4.29+3.99</f>
        <v>14.959999999999999</v>
      </c>
      <c r="U132" s="4">
        <v>6.65</v>
      </c>
      <c r="V132" s="4">
        <f>1.5+1.5+2+3+3+3+1.59+1.29+1.29</f>
        <v>18.169999999999998</v>
      </c>
      <c r="W132" s="4">
        <f>7.49+2.99+0.99</f>
        <v>11.47</v>
      </c>
      <c r="Y132" s="4">
        <v>156.41</v>
      </c>
      <c r="Z132" s="4">
        <v>1.18</v>
      </c>
      <c r="AA132" s="3">
        <v>0.34572916666666664</v>
      </c>
      <c r="AB132" t="s">
        <v>63</v>
      </c>
      <c r="AC132" t="s">
        <v>18</v>
      </c>
      <c r="AD132" s="4">
        <v>17.010000000000002</v>
      </c>
      <c r="AE132">
        <v>5</v>
      </c>
      <c r="AF132" t="s">
        <v>20</v>
      </c>
      <c r="AG132" t="s">
        <v>30</v>
      </c>
    </row>
    <row r="133" spans="1:33" x14ac:dyDescent="0.3">
      <c r="A133" s="2">
        <v>44640</v>
      </c>
      <c r="B133">
        <v>35</v>
      </c>
      <c r="E133">
        <v>11</v>
      </c>
      <c r="F133">
        <v>10</v>
      </c>
      <c r="G133">
        <v>4</v>
      </c>
      <c r="H133">
        <v>1</v>
      </c>
      <c r="I133">
        <v>9</v>
      </c>
      <c r="R133" s="4">
        <f>9.29+9.89+2.99+4.13</f>
        <v>26.3</v>
      </c>
      <c r="S133" s="4">
        <f>3+3+1.29+4.79+4.79+2.59+2.38+3.19+4.25+2.99+4.29+3.49</f>
        <v>40.050000000000004</v>
      </c>
      <c r="T133" s="4">
        <f>1.76+3.49+2.5+3.55+2.99+2.99+4.29+0.99+2.5</f>
        <v>25.06</v>
      </c>
      <c r="U133" s="4">
        <v>6.59</v>
      </c>
      <c r="V133" s="4">
        <f>8.69+6.99+1+1+1+4.29+3.69+1.89+1.89</f>
        <v>30.44</v>
      </c>
      <c r="Y133" s="4">
        <v>123.65</v>
      </c>
      <c r="Z133" s="4">
        <v>0</v>
      </c>
      <c r="AA133" s="3">
        <v>0.3517824074074074</v>
      </c>
      <c r="AB133" t="s">
        <v>44</v>
      </c>
      <c r="AC133" t="s">
        <v>18</v>
      </c>
      <c r="AD133" s="4">
        <v>23.39</v>
      </c>
      <c r="AE133">
        <v>7</v>
      </c>
      <c r="AF133" t="s">
        <v>20</v>
      </c>
      <c r="AG133" t="s">
        <v>30</v>
      </c>
    </row>
    <row r="134" spans="1:33" x14ac:dyDescent="0.3">
      <c r="A134" s="2">
        <v>44647</v>
      </c>
      <c r="B134">
        <v>38</v>
      </c>
      <c r="E134">
        <v>7</v>
      </c>
      <c r="F134">
        <v>11</v>
      </c>
      <c r="G134">
        <v>4</v>
      </c>
      <c r="I134">
        <v>16</v>
      </c>
      <c r="R134" s="4">
        <f>10.69+5.59+8.69+21.01</f>
        <v>45.980000000000004</v>
      </c>
      <c r="S134" s="4">
        <f>3.5+7.79+4.49+1.49+0.79+0.79+1.89</f>
        <v>20.74</v>
      </c>
      <c r="T134" s="4">
        <f>2.49+3.59+2.49+4.66+3.58+2.99+3.49+4.29+1.43+3.99</f>
        <v>33.000000000000007</v>
      </c>
      <c r="V134" s="4">
        <f>1.5+1.5+1.5+1.5+2.99+2+4.27+5.19+0.1+1.59+2.88+2.88+2+2+2+2</f>
        <v>35.9</v>
      </c>
      <c r="X134" s="4">
        <f>5+1</f>
        <v>6</v>
      </c>
      <c r="Y134" s="4">
        <v>129.66</v>
      </c>
      <c r="Z134" s="4">
        <v>0.34</v>
      </c>
      <c r="AA134" s="3">
        <v>0.34952546296296294</v>
      </c>
      <c r="AB134" t="s">
        <v>90</v>
      </c>
      <c r="AC134" t="s">
        <v>18</v>
      </c>
      <c r="AD134" s="4">
        <v>33.03</v>
      </c>
      <c r="AE134">
        <v>7</v>
      </c>
      <c r="AF134" t="s">
        <v>20</v>
      </c>
      <c r="AG134" t="s">
        <v>30</v>
      </c>
    </row>
    <row r="135" spans="1:33" x14ac:dyDescent="0.3">
      <c r="A135" s="2">
        <v>44654</v>
      </c>
      <c r="B135">
        <v>28</v>
      </c>
      <c r="C135">
        <v>1</v>
      </c>
      <c r="E135">
        <v>18</v>
      </c>
      <c r="F135">
        <v>6</v>
      </c>
      <c r="G135">
        <v>3</v>
      </c>
      <c r="P135" s="4">
        <v>9.99</v>
      </c>
      <c r="R135" s="4">
        <f>8.99+5.99+23.57</f>
        <v>38.549999999999997</v>
      </c>
      <c r="S135" s="4">
        <f>4.09+2.99+1.79+0.05+3.29+4.39+3.59+2.39+2.39+8.79+0.79+0.79+0.79+0.79+2.39+1.99+3+3.5</f>
        <v>47.800000000000004</v>
      </c>
      <c r="T135" s="4">
        <f>1.86+2.99+1.25+4.29+1.5+1.5</f>
        <v>13.39</v>
      </c>
      <c r="Y135" s="4">
        <v>109.92</v>
      </c>
      <c r="Z135" s="4">
        <v>0.19</v>
      </c>
      <c r="AA135" s="3">
        <v>0.36608796296296298</v>
      </c>
      <c r="AB135" t="s">
        <v>90</v>
      </c>
      <c r="AC135" t="s">
        <v>18</v>
      </c>
      <c r="AD135" s="4">
        <v>35.57</v>
      </c>
      <c r="AE135">
        <v>7</v>
      </c>
      <c r="AF135" t="s">
        <v>20</v>
      </c>
      <c r="AG135" t="s">
        <v>30</v>
      </c>
    </row>
    <row r="136" spans="1:33" x14ac:dyDescent="0.3">
      <c r="A136" s="2">
        <v>44661</v>
      </c>
      <c r="B136">
        <v>30</v>
      </c>
      <c r="E136">
        <v>14</v>
      </c>
      <c r="F136">
        <v>6</v>
      </c>
      <c r="G136">
        <v>5</v>
      </c>
      <c r="I136">
        <v>4</v>
      </c>
      <c r="J136">
        <v>1</v>
      </c>
      <c r="R136" s="4">
        <f>7.49+10.42+8.63+5.99+5.99</f>
        <v>38.520000000000003</v>
      </c>
      <c r="S136" s="4">
        <f>2.99+4.49+5.89+6.19+4.59+1.49+1.49+2.19+2.19+1.49+4.19+3.75+5.49+4.25</f>
        <v>50.68</v>
      </c>
      <c r="T136" s="4">
        <f>2.44+3.49+2.99+1.35+6.59+2.99</f>
        <v>19.850000000000001</v>
      </c>
      <c r="V136" s="4">
        <f>1.5+1.5+3.39+1.69</f>
        <v>8.08</v>
      </c>
      <c r="W136" s="4">
        <v>3.99</v>
      </c>
      <c r="Y136" s="4">
        <v>122.16</v>
      </c>
      <c r="Z136" s="4">
        <v>1.04</v>
      </c>
      <c r="AA136" s="3">
        <v>0.34886574074074073</v>
      </c>
      <c r="AB136" t="s">
        <v>63</v>
      </c>
      <c r="AC136" t="s">
        <v>18</v>
      </c>
      <c r="AD136" s="4">
        <v>5.92</v>
      </c>
      <c r="AE136">
        <v>7</v>
      </c>
      <c r="AF136" t="s">
        <v>20</v>
      </c>
      <c r="AG136" t="s">
        <v>30</v>
      </c>
    </row>
    <row r="137" spans="1:33" x14ac:dyDescent="0.3">
      <c r="A137" s="2">
        <v>44668</v>
      </c>
      <c r="B137">
        <v>42</v>
      </c>
      <c r="E137">
        <v>14</v>
      </c>
      <c r="F137">
        <v>14</v>
      </c>
      <c r="G137">
        <v>7</v>
      </c>
      <c r="I137">
        <v>7</v>
      </c>
      <c r="R137" s="4">
        <f>13+10.97+3.79+9.99+6.19+3.99+6.69</f>
        <v>54.62</v>
      </c>
      <c r="S137" s="4">
        <f>3.99+4.79+1.29+1.49+3.99+0.1+0.79+0.79+0.79+0.79+3.39+0.05+4.79+4.79</f>
        <v>31.83</v>
      </c>
      <c r="T137" s="4">
        <f>5.98+2.99+1.18+3.23+4.29+0.77+1.73+3.96+2.13</f>
        <v>26.26</v>
      </c>
      <c r="V137" s="4">
        <f>8.99+1.5+1.5+3.39+3.35+0.1+3.19</f>
        <v>22.020000000000003</v>
      </c>
      <c r="Y137" s="4">
        <v>134.72</v>
      </c>
      <c r="Z137" s="4">
        <v>0</v>
      </c>
      <c r="AA137" s="3">
        <v>0.34053240740740742</v>
      </c>
      <c r="AB137" t="s">
        <v>60</v>
      </c>
      <c r="AC137" t="s">
        <v>18</v>
      </c>
      <c r="AD137" s="4">
        <v>9.9</v>
      </c>
      <c r="AE137">
        <v>7</v>
      </c>
      <c r="AF137" t="s">
        <v>20</v>
      </c>
      <c r="AG137" t="s">
        <v>30</v>
      </c>
    </row>
    <row r="138" spans="1:33" x14ac:dyDescent="0.3">
      <c r="A138" s="2">
        <v>44675</v>
      </c>
      <c r="B138">
        <v>45</v>
      </c>
      <c r="C138">
        <v>1</v>
      </c>
      <c r="E138">
        <v>25</v>
      </c>
      <c r="F138">
        <v>4</v>
      </c>
      <c r="G138">
        <v>4</v>
      </c>
      <c r="I138">
        <v>11</v>
      </c>
      <c r="P138" s="4">
        <v>1.89</v>
      </c>
      <c r="R138" s="4">
        <f>7.97+3.79+7.49+7.91</f>
        <v>27.16</v>
      </c>
      <c r="S138" s="4">
        <f>6.79+2.35+2.35+3.99+4.79+1.29+6.79+3.79+5.35+3.99+4.49+4.79+1.49+1.49+1.49+1.49+0.79+1.49+1.49+3.75+1.99+4.25+4.25+3.99+4.79</f>
        <v>83.51</v>
      </c>
      <c r="T138" s="4">
        <f>2.91+3.49+3.29+3.19</f>
        <v>12.88</v>
      </c>
      <c r="V138" s="4">
        <f>6.99+1.5+1.5+1.5+1.5+2.5+4.27+12.49+1.89+4.67+4.79</f>
        <v>43.6</v>
      </c>
      <c r="X138" s="4">
        <v>20</v>
      </c>
      <c r="Y138" s="4">
        <v>149.4</v>
      </c>
      <c r="Z138" s="4">
        <v>0.36</v>
      </c>
      <c r="AA138" s="3">
        <v>0.34813657407407406</v>
      </c>
      <c r="AB138" t="s">
        <v>44</v>
      </c>
      <c r="AC138" t="s">
        <v>18</v>
      </c>
      <c r="AD138" s="4">
        <v>11.52</v>
      </c>
      <c r="AE138">
        <v>7</v>
      </c>
      <c r="AF138" t="s">
        <v>20</v>
      </c>
      <c r="AG138" t="s">
        <v>30</v>
      </c>
    </row>
    <row r="139" spans="1:33" x14ac:dyDescent="0.3">
      <c r="A139" s="2">
        <v>44682</v>
      </c>
      <c r="B139">
        <v>40</v>
      </c>
      <c r="C139">
        <v>1</v>
      </c>
      <c r="E139">
        <v>6</v>
      </c>
      <c r="F139">
        <v>13</v>
      </c>
      <c r="G139">
        <v>5</v>
      </c>
      <c r="I139">
        <v>14</v>
      </c>
      <c r="J139">
        <v>1</v>
      </c>
      <c r="P139" s="4">
        <v>2.4900000000000002</v>
      </c>
      <c r="R139" s="4">
        <f>10.21+9.29+10.69+5.99</f>
        <v>36.18</v>
      </c>
      <c r="S139" s="4">
        <f>2.69+3.99+1+4.79+2.19+5.99</f>
        <v>20.65</v>
      </c>
      <c r="T139" s="4">
        <f>5.52+5.37+4.49+3.49+1.87+3.19+4.09+1.88+3.99+2.19+2.19</f>
        <v>38.269999999999996</v>
      </c>
      <c r="V139" s="4">
        <f>1+1+3.49+3.99+3.99+3.99+3.99+5.99+3.95+4.39+3.65+3.29+3.99+3.79</f>
        <v>50.5</v>
      </c>
      <c r="W139" s="4">
        <v>5.19</v>
      </c>
      <c r="Y139" s="4">
        <v>162.30000000000001</v>
      </c>
      <c r="Z139" s="4">
        <v>0.53</v>
      </c>
      <c r="AA139" s="3">
        <v>0.35248842592592594</v>
      </c>
      <c r="AB139" t="s">
        <v>44</v>
      </c>
      <c r="AC139" t="s">
        <v>18</v>
      </c>
      <c r="AD139" s="4">
        <v>11.48</v>
      </c>
      <c r="AE139">
        <v>7</v>
      </c>
      <c r="AF139" t="s">
        <v>20</v>
      </c>
      <c r="AG139" t="s">
        <v>30</v>
      </c>
    </row>
    <row r="140" spans="1:33" x14ac:dyDescent="0.3">
      <c r="A140" s="2">
        <v>44689</v>
      </c>
      <c r="B140">
        <v>36</v>
      </c>
      <c r="E140">
        <v>15</v>
      </c>
      <c r="F140">
        <v>10</v>
      </c>
      <c r="G140">
        <v>4</v>
      </c>
      <c r="I140">
        <v>3</v>
      </c>
      <c r="J140">
        <v>4</v>
      </c>
      <c r="R140" s="4">
        <f>3+11.98+11.97+8.99</f>
        <v>35.940000000000005</v>
      </c>
      <c r="S140" s="4">
        <f>1+5.29+5.79+9.99+3.99+1.99+5.89+5.84+4.99+1.79+1.49+0.79+0.79+1.49+3.79</f>
        <v>54.910000000000004</v>
      </c>
      <c r="T140" s="4">
        <f>2.31+2.48+6.99+5.63+0.89+0.98+1.5+1.5</f>
        <v>22.28</v>
      </c>
      <c r="V140" s="4">
        <f>4.45+4.65+3.29</f>
        <v>12.39</v>
      </c>
      <c r="W140" s="4">
        <f>6.99+4.99+2.49+2.49</f>
        <v>16.96</v>
      </c>
      <c r="Y140" s="4">
        <v>145.84</v>
      </c>
      <c r="Z140" s="4">
        <v>3.36</v>
      </c>
      <c r="AA140" s="3">
        <v>0.30954861111111109</v>
      </c>
      <c r="AB140" t="s">
        <v>44</v>
      </c>
      <c r="AC140" t="s">
        <v>18</v>
      </c>
      <c r="AD140" s="4">
        <v>22.77</v>
      </c>
      <c r="AE140">
        <v>7</v>
      </c>
      <c r="AF140" t="s">
        <v>20</v>
      </c>
      <c r="AG140" t="s">
        <v>30</v>
      </c>
    </row>
    <row r="141" spans="1:33" x14ac:dyDescent="0.3">
      <c r="A141" s="2">
        <v>44696</v>
      </c>
      <c r="B141">
        <v>32</v>
      </c>
      <c r="E141">
        <v>9</v>
      </c>
      <c r="F141">
        <v>6</v>
      </c>
      <c r="G141">
        <v>8</v>
      </c>
      <c r="I141">
        <v>9</v>
      </c>
      <c r="R141" s="4">
        <f>9.41+5.95+7.69+8.02+6.49+7.99+5.29+3.29</f>
        <v>54.13</v>
      </c>
      <c r="S141" s="4">
        <f>2.09+3.69+2.49+1.49+1.49+1.63+5.99+2.59+2.39</f>
        <v>23.849999999999998</v>
      </c>
      <c r="T141" s="4">
        <f>5+2.3+3.29+4.68+3.19+1.5</f>
        <v>19.96</v>
      </c>
      <c r="V141" s="4">
        <f>1.5+1.5+3.49+3.99+4.29+1.99+3.99+2.5+4.79</f>
        <v>28.04</v>
      </c>
      <c r="Y141" s="4">
        <v>125.98</v>
      </c>
      <c r="Z141" s="4">
        <v>0</v>
      </c>
      <c r="AA141" s="3">
        <v>0.32925925925925925</v>
      </c>
      <c r="AB141" t="s">
        <v>90</v>
      </c>
      <c r="AC141" t="s">
        <v>18</v>
      </c>
      <c r="AD141" s="4">
        <v>18.13</v>
      </c>
      <c r="AE141">
        <v>7</v>
      </c>
      <c r="AF141" t="s">
        <v>20</v>
      </c>
      <c r="AG141" t="s">
        <v>30</v>
      </c>
    </row>
    <row r="142" spans="1:33" x14ac:dyDescent="0.3">
      <c r="A142" s="2">
        <v>44703</v>
      </c>
      <c r="B142">
        <v>46</v>
      </c>
      <c r="E142">
        <v>25</v>
      </c>
      <c r="F142">
        <v>7</v>
      </c>
      <c r="G142">
        <v>4</v>
      </c>
      <c r="I142">
        <v>8</v>
      </c>
      <c r="J142">
        <v>2</v>
      </c>
      <c r="R142" s="4">
        <f>7.49+7.49+8.99+5.99-2</f>
        <v>27.96</v>
      </c>
      <c r="S142" s="4">
        <f>5.29-1+3.59+2.89+2.69+4.99+4.79+1.09+4.49+4.79+4.19+1.79+1.49+1.5+1.49+1.49+1.49+1.49+1.5+1.5+1.59+1.59+3.59+2.49+1.69+2.39+4.79</f>
        <v>69.670000000000016</v>
      </c>
      <c r="T142" s="4">
        <f>5.99+2+2+3.29+2.48+3.18+3.29</f>
        <v>22.23</v>
      </c>
      <c r="V142" s="4">
        <f>3.49+3.51+4.49-1.5+0.1+3.29+2+2</f>
        <v>17.38</v>
      </c>
      <c r="W142" s="4">
        <f>2.99+5.19</f>
        <v>8.18</v>
      </c>
      <c r="Y142" s="4">
        <v>146.77000000000001</v>
      </c>
      <c r="Z142" s="4">
        <v>1.35</v>
      </c>
      <c r="AA142" s="3">
        <v>0.32512731481481483</v>
      </c>
      <c r="AB142" t="s">
        <v>44</v>
      </c>
      <c r="AC142" t="s">
        <v>18</v>
      </c>
      <c r="AD142" s="4">
        <v>21.69</v>
      </c>
      <c r="AE142">
        <v>7</v>
      </c>
      <c r="AF142" t="s">
        <v>20</v>
      </c>
      <c r="AG142" t="s">
        <v>30</v>
      </c>
    </row>
  </sheetData>
  <sortState xmlns:xlrd2="http://schemas.microsoft.com/office/spreadsheetml/2017/richdata2" ref="A2:AG142">
    <sortCondition ref="A2:A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King</dc:creator>
  <cp:lastModifiedBy>Katherine King</cp:lastModifiedBy>
  <dcterms:created xsi:type="dcterms:W3CDTF">2020-07-19T17:22:28Z</dcterms:created>
  <dcterms:modified xsi:type="dcterms:W3CDTF">2022-05-27T19:13:15Z</dcterms:modified>
</cp:coreProperties>
</file>