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kkatsani\Downloads\"/>
    </mc:Choice>
  </mc:AlternateContent>
  <xr:revisionPtr revIDLastSave="0" documentId="13_ncr:1_{C02C85FA-EFBB-4A99-BAC9-B232D646A3C2}" xr6:coauthVersionLast="47" xr6:coauthVersionMax="47" xr10:uidLastSave="{00000000-0000-0000-0000-000000000000}"/>
  <bookViews>
    <workbookView xWindow="-103" yWindow="-103" windowWidth="22149" windowHeight="11949" xr2:uid="{95D2D82D-2BAA-41C8-B831-A78B04A0C8CD}"/>
  </bookViews>
  <sheets>
    <sheet name="Έναρξη και περιβάλλον εφαρμογής" sheetId="1" r:id="rId1"/>
    <sheet name="SUM MIN MAX" sheetId="2" r:id="rId2"/>
    <sheet name="COUNT" sheetId="6" r:id="rId3"/>
    <sheet name="ROUND" sheetId="5" r:id="rId4"/>
    <sheet name="IF" sheetId="3" r:id="rId5"/>
    <sheet name="SUM IF" sheetId="4" r:id="rId6"/>
    <sheet name="FORMATTING" sheetId="7" r:id="rId7"/>
    <sheet name="formatting groups" sheetId="9" r:id="rId8"/>
    <sheet name="formating group solution" sheetId="8" r:id="rId9"/>
    <sheet name="οδηγίες" sheetId="13" r:id="rId10"/>
    <sheet name="Cont format after " sheetId="10" r:id="rId11"/>
    <sheet name="cont format before" sheetId="11" r:id="rId12"/>
    <sheet name="Πίνακες" sheetId="12" r:id="rId13"/>
    <sheet name="subtotal" sheetId="14" r:id="rId14"/>
    <sheet name="ΓΡΑΦΗΜΑΤΑ" sheetId="15" r:id="rId15"/>
  </sheets>
  <definedNames>
    <definedName name="Agents">#REF!</definedName>
    <definedName name="CoverStartYear">#REF!</definedName>
    <definedName name="CstLivingDaily">'formating group solution'!$F$14:$O$14</definedName>
    <definedName name="CstLivingLoose">'formating group solution'!$F$15:$O$15</definedName>
    <definedName name="North_Alice_Qx">'SUM MIN MAX'!$C$6:$F$6</definedName>
    <definedName name="RevDownloads">'formating group solution'!$F$9:$O$9</definedName>
    <definedName name="RevTouring">'formating group solution'!$F$8:$O$8</definedName>
    <definedName name="South_Tom_Qx">'SUM MIN MAX'!$C$5:$F$5</definedName>
    <definedName name="total_medals">COUNT!$F$3:$F$14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5" l="1"/>
  <c r="F11" i="15"/>
  <c r="F10" i="15"/>
  <c r="F9" i="15"/>
  <c r="G10" i="15" s="1"/>
  <c r="F8" i="15"/>
  <c r="F7" i="15"/>
  <c r="F6" i="15"/>
  <c r="G5" i="15"/>
  <c r="F5" i="15"/>
  <c r="F4" i="15"/>
  <c r="H62" i="14"/>
  <c r="H61" i="14"/>
  <c r="H60" i="14"/>
  <c r="H59" i="14"/>
  <c r="H58" i="14"/>
  <c r="H57" i="14"/>
  <c r="H56" i="14"/>
  <c r="H55" i="14"/>
  <c r="H54" i="14"/>
  <c r="H53" i="14"/>
  <c r="H52"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J37" i="10"/>
  <c r="L37" i="10" s="1"/>
  <c r="H37" i="10"/>
  <c r="J36" i="10"/>
  <c r="L36" i="10" s="1"/>
  <c r="H36" i="10"/>
  <c r="J35" i="10"/>
  <c r="L35" i="10" s="1"/>
  <c r="H35" i="10"/>
  <c r="J34" i="10"/>
  <c r="L34" i="10" s="1"/>
  <c r="H34" i="10"/>
  <c r="J33" i="10"/>
  <c r="L33" i="10" s="1"/>
  <c r="H33" i="10"/>
  <c r="J32" i="10"/>
  <c r="L32" i="10" s="1"/>
  <c r="H32" i="10"/>
  <c r="G31" i="10"/>
  <c r="L27" i="10"/>
  <c r="L19" i="10" s="1"/>
  <c r="K27" i="10"/>
  <c r="J27" i="10"/>
  <c r="J19" i="10" s="1"/>
  <c r="G26" i="10"/>
  <c r="F26" i="10"/>
  <c r="H26" i="10" s="1"/>
  <c r="E26" i="10"/>
  <c r="D26" i="10"/>
  <c r="C26" i="10"/>
  <c r="B26" i="10"/>
  <c r="H24" i="10"/>
  <c r="H23" i="10"/>
  <c r="H22" i="10"/>
  <c r="H21" i="10"/>
  <c r="H20" i="10"/>
  <c r="H19" i="10"/>
  <c r="H18" i="10"/>
  <c r="G13" i="10"/>
  <c r="F13" i="10"/>
  <c r="E13" i="10"/>
  <c r="D13" i="10"/>
  <c r="C13" i="10"/>
  <c r="B13" i="10"/>
  <c r="H13" i="10" s="1"/>
  <c r="H11" i="10"/>
  <c r="H10" i="10"/>
  <c r="H9" i="10"/>
  <c r="H8" i="10"/>
  <c r="H7" i="10"/>
  <c r="H6" i="10"/>
  <c r="H5" i="10"/>
  <c r="J37" i="11"/>
  <c r="H37" i="11"/>
  <c r="J36" i="11"/>
  <c r="H36" i="11"/>
  <c r="J35" i="11"/>
  <c r="H35" i="11"/>
  <c r="J34" i="11"/>
  <c r="H34" i="11"/>
  <c r="J33" i="11"/>
  <c r="H33" i="11"/>
  <c r="J32" i="11"/>
  <c r="H32" i="11"/>
  <c r="G31" i="11"/>
  <c r="K27" i="11"/>
  <c r="G26" i="11"/>
  <c r="F26" i="11"/>
  <c r="E26" i="11"/>
  <c r="D26" i="11"/>
  <c r="C26" i="11"/>
  <c r="B26" i="11"/>
  <c r="H26" i="11" s="1"/>
  <c r="H24" i="11"/>
  <c r="H23" i="11"/>
  <c r="H22" i="11"/>
  <c r="H21" i="11"/>
  <c r="H20" i="11"/>
  <c r="H19" i="11"/>
  <c r="H18" i="11"/>
  <c r="G13" i="11"/>
  <c r="F13" i="11"/>
  <c r="E13" i="11"/>
  <c r="D13" i="11"/>
  <c r="C13" i="11"/>
  <c r="B13" i="11"/>
  <c r="H13" i="11" s="1"/>
  <c r="H11" i="11"/>
  <c r="H10" i="11"/>
  <c r="H9" i="11"/>
  <c r="H8" i="11"/>
  <c r="H7" i="11"/>
  <c r="H6" i="11"/>
  <c r="H5" i="11"/>
  <c r="D18" i="9"/>
  <c r="D17" i="9" s="1"/>
  <c r="R15" i="9"/>
  <c r="R14" i="9"/>
  <c r="R9" i="9"/>
  <c r="D9" i="9" s="1"/>
  <c r="G8" i="9"/>
  <c r="H8" i="9" s="1"/>
  <c r="D18" i="8"/>
  <c r="R15" i="8"/>
  <c r="R14" i="8"/>
  <c r="R9" i="8"/>
  <c r="D9" i="8" s="1"/>
  <c r="G8" i="8"/>
  <c r="C29" i="7"/>
  <c r="B29" i="7"/>
  <c r="D27" i="7"/>
  <c r="D26" i="7"/>
  <c r="D25" i="7"/>
  <c r="D24" i="7"/>
  <c r="D23" i="7"/>
  <c r="D22" i="7"/>
  <c r="D29" i="7" s="1"/>
  <c r="C12" i="7"/>
  <c r="B12" i="7"/>
  <c r="D10" i="7"/>
  <c r="D9" i="7"/>
  <c r="D8" i="7"/>
  <c r="D7" i="7"/>
  <c r="D6" i="7"/>
  <c r="D5" i="7"/>
  <c r="D12" i="7" s="1"/>
  <c r="F26" i="4"/>
  <c r="F25" i="4"/>
  <c r="F24" i="4"/>
  <c r="F23" i="4"/>
  <c r="F14" i="4"/>
  <c r="F13" i="4"/>
  <c r="F12" i="4"/>
  <c r="F11" i="4"/>
  <c r="F10" i="4"/>
  <c r="F9" i="4"/>
  <c r="F8" i="4"/>
  <c r="F7" i="4"/>
  <c r="F6" i="4"/>
  <c r="F5" i="4"/>
  <c r="F4" i="4"/>
  <c r="F3" i="4"/>
  <c r="F65" i="4"/>
  <c r="F64" i="4"/>
  <c r="F63" i="4"/>
  <c r="F62" i="4"/>
  <c r="F59" i="4"/>
  <c r="E59" i="4"/>
  <c r="D59" i="4"/>
  <c r="C59" i="4"/>
  <c r="E58" i="4"/>
  <c r="F58" i="4" s="1"/>
  <c r="D58" i="4"/>
  <c r="C58" i="4"/>
  <c r="E57" i="4"/>
  <c r="D57" i="4"/>
  <c r="C57" i="4"/>
  <c r="E56" i="4"/>
  <c r="D56" i="4"/>
  <c r="C56" i="4"/>
  <c r="F56" i="4" s="1"/>
  <c r="F53" i="4"/>
  <c r="F52" i="4"/>
  <c r="F51" i="4"/>
  <c r="F50" i="4"/>
  <c r="F49" i="4"/>
  <c r="F48" i="4"/>
  <c r="F47" i="4"/>
  <c r="F46" i="4"/>
  <c r="F45" i="4"/>
  <c r="F44" i="4"/>
  <c r="F43" i="4"/>
  <c r="F42" i="4"/>
  <c r="G14" i="6"/>
  <c r="F14" i="6"/>
  <c r="G13" i="6"/>
  <c r="F13" i="6"/>
  <c r="G12" i="6"/>
  <c r="F12" i="6"/>
  <c r="G11" i="6"/>
  <c r="F11" i="6"/>
  <c r="G10" i="6"/>
  <c r="F10" i="6"/>
  <c r="G9" i="6"/>
  <c r="F9" i="6"/>
  <c r="G8" i="6"/>
  <c r="F8" i="6"/>
  <c r="G7" i="6"/>
  <c r="F7" i="6"/>
  <c r="G6" i="6"/>
  <c r="F6" i="6"/>
  <c r="G5" i="6"/>
  <c r="F5" i="6"/>
  <c r="G4" i="6"/>
  <c r="F4" i="6"/>
  <c r="G3" i="6"/>
  <c r="F3" i="6"/>
  <c r="H46" i="6"/>
  <c r="E46" i="6"/>
  <c r="D46" i="6"/>
  <c r="C46" i="6"/>
  <c r="H45" i="6"/>
  <c r="E45" i="6"/>
  <c r="D45" i="6"/>
  <c r="C45" i="6"/>
  <c r="H44" i="6"/>
  <c r="E44" i="6"/>
  <c r="D44" i="6"/>
  <c r="C44" i="6"/>
  <c r="E43" i="6"/>
  <c r="D43" i="6"/>
  <c r="C43" i="6"/>
  <c r="F41" i="6"/>
  <c r="G40" i="6"/>
  <c r="F40" i="6"/>
  <c r="G39" i="6"/>
  <c r="F39" i="6"/>
  <c r="G38" i="6"/>
  <c r="F38" i="6"/>
  <c r="G37" i="6"/>
  <c r="F37" i="6"/>
  <c r="G36" i="6"/>
  <c r="F36" i="6"/>
  <c r="G35" i="6"/>
  <c r="F35" i="6"/>
  <c r="G34" i="6"/>
  <c r="F34" i="6"/>
  <c r="G33" i="6"/>
  <c r="F33" i="6"/>
  <c r="G32" i="6"/>
  <c r="F32" i="6"/>
  <c r="G31" i="6"/>
  <c r="F31" i="6"/>
  <c r="G30" i="6"/>
  <c r="F30" i="6"/>
  <c r="C19" i="5"/>
  <c r="B19" i="5"/>
  <c r="C18" i="5"/>
  <c r="G62" i="5"/>
  <c r="H62" i="5" s="1"/>
  <c r="G61" i="5"/>
  <c r="H61" i="5" s="1"/>
  <c r="D61" i="5"/>
  <c r="C61" i="5"/>
  <c r="B61" i="5"/>
  <c r="G60" i="5"/>
  <c r="H60" i="5" s="1"/>
  <c r="D60" i="5"/>
  <c r="C60" i="5"/>
  <c r="B60" i="5"/>
  <c r="G59" i="5"/>
  <c r="H59" i="5" s="1"/>
  <c r="D59" i="5"/>
  <c r="C59" i="5"/>
  <c r="B59" i="5"/>
  <c r="B54" i="5"/>
  <c r="C53" i="5"/>
  <c r="C54" i="5" s="1"/>
  <c r="G49" i="5"/>
  <c r="H49" i="5" s="1"/>
  <c r="G48" i="5"/>
  <c r="H48" i="5" s="1"/>
  <c r="G47" i="5"/>
  <c r="H47" i="5" s="1"/>
  <c r="G46" i="5"/>
  <c r="H46" i="5" s="1"/>
  <c r="G45" i="5"/>
  <c r="H45" i="5" s="1"/>
  <c r="G44" i="5"/>
  <c r="H44" i="5" s="1"/>
  <c r="G43" i="5"/>
  <c r="H43" i="5" s="1"/>
  <c r="G42" i="5"/>
  <c r="H42" i="5" s="1"/>
  <c r="G41" i="5"/>
  <c r="H41" i="5" s="1"/>
  <c r="G40" i="5"/>
  <c r="H40" i="5" s="1"/>
  <c r="G39" i="5"/>
  <c r="H39" i="5" s="1"/>
  <c r="G38" i="5"/>
  <c r="H38" i="5" s="1"/>
  <c r="P33" i="3"/>
  <c r="P32" i="3"/>
  <c r="P31" i="3"/>
  <c r="P30" i="3"/>
  <c r="P29" i="3"/>
  <c r="P24" i="3"/>
  <c r="P23" i="3"/>
  <c r="P22" i="3"/>
  <c r="P21" i="3"/>
  <c r="P20" i="3"/>
  <c r="P15" i="3"/>
  <c r="P14" i="3"/>
  <c r="P13" i="3"/>
  <c r="P12" i="3"/>
  <c r="P11" i="3"/>
  <c r="O6" i="3"/>
  <c r="O5" i="3"/>
  <c r="O4" i="3"/>
  <c r="O3" i="3"/>
  <c r="O2" i="3"/>
  <c r="F48" i="2"/>
  <c r="E48" i="2"/>
  <c r="D48" i="2"/>
  <c r="C48" i="2"/>
  <c r="F47" i="2"/>
  <c r="E47" i="2"/>
  <c r="D47" i="2"/>
  <c r="C47" i="2"/>
  <c r="F46" i="2"/>
  <c r="E46" i="2"/>
  <c r="D46" i="2"/>
  <c r="C46" i="2"/>
  <c r="F45" i="2"/>
  <c r="E45" i="2"/>
  <c r="D45" i="2"/>
  <c r="C45" i="2"/>
  <c r="J43" i="2"/>
  <c r="I43" i="2"/>
  <c r="H43" i="2"/>
  <c r="G43" i="2"/>
  <c r="J42" i="2"/>
  <c r="I42" i="2"/>
  <c r="H42" i="2"/>
  <c r="G42" i="2"/>
  <c r="J41" i="2"/>
  <c r="I41" i="2"/>
  <c r="H41" i="2"/>
  <c r="G41" i="2"/>
  <c r="J40" i="2"/>
  <c r="I40" i="2"/>
  <c r="H40" i="2"/>
  <c r="G40" i="2"/>
  <c r="J39" i="2"/>
  <c r="I39" i="2"/>
  <c r="H39" i="2"/>
  <c r="G39" i="2"/>
  <c r="J38" i="2"/>
  <c r="I38" i="2"/>
  <c r="H38" i="2"/>
  <c r="G38" i="2"/>
  <c r="J37" i="2"/>
  <c r="I37" i="2"/>
  <c r="H37" i="2"/>
  <c r="G37" i="2"/>
  <c r="J36" i="2"/>
  <c r="I36" i="2"/>
  <c r="H36" i="2"/>
  <c r="G36" i="2"/>
  <c r="J35" i="2"/>
  <c r="I35" i="2"/>
  <c r="H35" i="2"/>
  <c r="G35" i="2"/>
  <c r="J34" i="2"/>
  <c r="I34" i="2"/>
  <c r="H34" i="2"/>
  <c r="G34" i="2"/>
  <c r="J33" i="2"/>
  <c r="I33" i="2"/>
  <c r="H33" i="2"/>
  <c r="G33" i="2"/>
  <c r="J32" i="2"/>
  <c r="I32" i="2"/>
  <c r="I47" i="2" s="1"/>
  <c r="H32" i="2"/>
  <c r="H46" i="2" s="1"/>
  <c r="G32" i="2"/>
  <c r="G12" i="15" l="1"/>
  <c r="H12" i="15" s="1"/>
  <c r="H11" i="15"/>
  <c r="G11" i="15"/>
  <c r="H10" i="15"/>
  <c r="G9" i="15"/>
  <c r="H9" i="15" s="1"/>
  <c r="G8" i="15"/>
  <c r="H8" i="15" s="1"/>
  <c r="G7" i="15"/>
  <c r="H7" i="15" s="1"/>
  <c r="G6" i="15"/>
  <c r="H6" i="15" s="1"/>
  <c r="H5" i="15"/>
  <c r="J31" i="10"/>
  <c r="L31" i="10" s="1"/>
  <c r="H31" i="10"/>
  <c r="J31" i="11"/>
  <c r="H31" i="11"/>
  <c r="D13" i="8"/>
  <c r="D13" i="9"/>
  <c r="G3" i="8"/>
  <c r="H3" i="8" s="1"/>
  <c r="I3" i="8" s="1"/>
  <c r="J3" i="8" s="1"/>
  <c r="K3" i="8" s="1"/>
  <c r="L3" i="8" s="1"/>
  <c r="M3" i="8" s="1"/>
  <c r="N3" i="8" s="1"/>
  <c r="O3" i="8" s="1"/>
  <c r="G3" i="9"/>
  <c r="H3" i="9" s="1"/>
  <c r="I3" i="9" s="1"/>
  <c r="J3" i="9" s="1"/>
  <c r="K3" i="9" s="1"/>
  <c r="L3" i="9" s="1"/>
  <c r="M3" i="9" s="1"/>
  <c r="N3" i="9" s="1"/>
  <c r="O3" i="9" s="1"/>
  <c r="H8" i="8"/>
  <c r="F57" i="4"/>
  <c r="F44" i="6"/>
  <c r="I49" i="5"/>
  <c r="J49" i="5"/>
  <c r="I48" i="5"/>
  <c r="J48" i="5"/>
  <c r="J47" i="5"/>
  <c r="I47" i="5"/>
  <c r="I46" i="5"/>
  <c r="J46" i="5"/>
  <c r="I45" i="5"/>
  <c r="J45" i="5"/>
  <c r="I44" i="5"/>
  <c r="J44" i="5"/>
  <c r="I43" i="5"/>
  <c r="J43" i="5"/>
  <c r="I42" i="5"/>
  <c r="J42" i="5"/>
  <c r="I41" i="5"/>
  <c r="J41" i="5"/>
  <c r="I40" i="5"/>
  <c r="J40" i="5"/>
  <c r="I39" i="5"/>
  <c r="J39" i="5"/>
  <c r="I38" i="5"/>
  <c r="J38" i="5"/>
  <c r="J48" i="2"/>
  <c r="G48" i="2"/>
  <c r="G47" i="2"/>
  <c r="G46" i="2"/>
  <c r="G45" i="2"/>
  <c r="R8" i="8" l="1"/>
  <c r="R8" i="9"/>
  <c r="D8" i="8" l="1"/>
  <c r="D7" i="8"/>
  <c r="E3" i="8" s="1"/>
  <c r="D7" i="9"/>
  <c r="E3" i="9" s="1"/>
  <c r="D8" i="9"/>
</calcChain>
</file>

<file path=xl/sharedStrings.xml><?xml version="1.0" encoding="utf-8"?>
<sst xmlns="http://schemas.openxmlformats.org/spreadsheetml/2006/main" count="954" uniqueCount="363">
  <si>
    <t>Κελί</t>
  </si>
  <si>
    <t xml:space="preserve">Γραμμή </t>
  </si>
  <si>
    <t xml:space="preserve">Στήλη </t>
  </si>
  <si>
    <t>D4</t>
  </si>
  <si>
    <t>Προϊον</t>
  </si>
  <si>
    <t>Κόστος</t>
  </si>
  <si>
    <t>Γάλα</t>
  </si>
  <si>
    <t>Αυγά</t>
  </si>
  <si>
    <t>Ψωμί</t>
  </si>
  <si>
    <t>Τυρί</t>
  </si>
  <si>
    <t>Κρέας</t>
  </si>
  <si>
    <t>Συνολικό Κόστος</t>
  </si>
  <si>
    <t>Call ID</t>
  </si>
  <si>
    <t>Date</t>
  </si>
  <si>
    <t>Type of Call</t>
  </si>
  <si>
    <t>Description</t>
  </si>
  <si>
    <t>Action Taken</t>
  </si>
  <si>
    <t>z44867</t>
  </si>
  <si>
    <t>Customer Complaint</t>
  </si>
  <si>
    <t>Sent wrong size</t>
  </si>
  <si>
    <t>New order despatched - emailed returns label</t>
  </si>
  <si>
    <t>z77483</t>
  </si>
  <si>
    <t>Delivery enquiry</t>
  </si>
  <si>
    <t>Wanted to know expected delivery date</t>
  </si>
  <si>
    <t>None needed</t>
  </si>
  <si>
    <t>z44281</t>
  </si>
  <si>
    <t>Website problem</t>
  </si>
  <si>
    <t>Can't choose the size on website</t>
  </si>
  <si>
    <t>Details sent to website team</t>
  </si>
  <si>
    <t>z89135</t>
  </si>
  <si>
    <t>Payment enquiry</t>
  </si>
  <si>
    <t>Payment blocked</t>
  </si>
  <si>
    <t>Details sent to accounts team</t>
  </si>
  <si>
    <t>z22190</t>
  </si>
  <si>
    <t>Money not taken from account</t>
  </si>
  <si>
    <t>z44282</t>
  </si>
  <si>
    <t>Goods damaged</t>
  </si>
  <si>
    <t>z89134</t>
  </si>
  <si>
    <t>Sent wrong colour</t>
  </si>
  <si>
    <t>z56435</t>
  </si>
  <si>
    <t>z22191</t>
  </si>
  <si>
    <t xml:space="preserve">Τμήματα Πωλήσεων </t>
  </si>
  <si>
    <t>SUM</t>
  </si>
  <si>
    <t>MIN (Qx ΑΝΑ ΠΩΛΗΤΗ)</t>
  </si>
  <si>
    <t>MAX (Qx ΑΝΑ ΠΩΛΗΤΗ)</t>
  </si>
  <si>
    <t>ΜΕΣΟΣ ΟΡΟΣ</t>
  </si>
  <si>
    <t>ΤΟΜΕΑΣ</t>
  </si>
  <si>
    <t xml:space="preserve">Πωλητής </t>
  </si>
  <si>
    <t>Q1</t>
  </si>
  <si>
    <t>Q2</t>
  </si>
  <si>
    <t>Q3</t>
  </si>
  <si>
    <t>Q4</t>
  </si>
  <si>
    <t>Total</t>
  </si>
  <si>
    <t>Minimum</t>
  </si>
  <si>
    <t>Maximum</t>
  </si>
  <si>
    <t>Average</t>
  </si>
  <si>
    <t>ΔΥΤΙΚΟΣ</t>
  </si>
  <si>
    <t>ΣΩΤΗΡΗΣ</t>
  </si>
  <si>
    <t>ΑΝΑΤΟΛΙΚΟΣ</t>
  </si>
  <si>
    <t>ΝΙΚΟΣ</t>
  </si>
  <si>
    <t>ΝΟΤΙΟΣ</t>
  </si>
  <si>
    <t>ΙΩΑΝΝΗΣ</t>
  </si>
  <si>
    <t>ΒΟΡΕΙΟΣ</t>
  </si>
  <si>
    <t>ΦΩΤΗΣ</t>
  </si>
  <si>
    <t>ΑΝΤΩΝΗΣ</t>
  </si>
  <si>
    <t>ΒΑΣΙΛΗΣ</t>
  </si>
  <si>
    <t>ΚΩΝΣΤΑΝΤΙΝΟΣ</t>
  </si>
  <si>
    <t>ΠΕΤΡΟΣ</t>
  </si>
  <si>
    <t>ΜΑΡΚΟΣ</t>
  </si>
  <si>
    <t>ΣΠΥΡΙΔΩΝ</t>
  </si>
  <si>
    <t>ΧΡΥΣΑΝΘΗ</t>
  </si>
  <si>
    <t>ΣΤΑΥΡΟΣ</t>
  </si>
  <si>
    <t>SUM συνδιασμός</t>
  </si>
  <si>
    <t>MIN</t>
  </si>
  <si>
    <t>MAX</t>
  </si>
  <si>
    <t>AVERAGE</t>
  </si>
  <si>
    <t>Name</t>
  </si>
  <si>
    <t>Score</t>
  </si>
  <si>
    <t>Result</t>
  </si>
  <si>
    <t>Richard</t>
  </si>
  <si>
    <t>Jennifer</t>
  </si>
  <si>
    <t>James</t>
  </si>
  <si>
    <t>Lisa</t>
  </si>
  <si>
    <t>Sharon</t>
  </si>
  <si>
    <t>Όνομα</t>
  </si>
  <si>
    <t>Score 1</t>
  </si>
  <si>
    <t>Score 2</t>
  </si>
  <si>
    <t>Αποτέλεσμα</t>
  </si>
  <si>
    <t xml:space="preserve">Μαρία </t>
  </si>
  <si>
    <t>Ιωάννα</t>
  </si>
  <si>
    <t>Ηλίας</t>
  </si>
  <si>
    <t>Δήμητρα</t>
  </si>
  <si>
    <t xml:space="preserve">Φωτεινή </t>
  </si>
  <si>
    <t>Bonus 3,5%</t>
  </si>
  <si>
    <t>Division</t>
  </si>
  <si>
    <t>Salesman</t>
  </si>
  <si>
    <t>Bonus</t>
  </si>
  <si>
    <t>Round</t>
  </si>
  <si>
    <t>Roundup</t>
  </si>
  <si>
    <t>West</t>
  </si>
  <si>
    <t>Peter</t>
  </si>
  <si>
    <t>East</t>
  </si>
  <si>
    <t>John</t>
  </si>
  <si>
    <t>South</t>
  </si>
  <si>
    <t>Tom</t>
  </si>
  <si>
    <t>North</t>
  </si>
  <si>
    <t>Alice</t>
  </si>
  <si>
    <t>Joseph</t>
  </si>
  <si>
    <t>Joe</t>
  </si>
  <si>
    <t>Donald</t>
  </si>
  <si>
    <t>Bill</t>
  </si>
  <si>
    <t>Monika</t>
  </si>
  <si>
    <t>Martin</t>
  </si>
  <si>
    <t>Anna</t>
  </si>
  <si>
    <t>Jane</t>
  </si>
  <si>
    <t>Τι πρέπει να θυμάμαι;</t>
  </si>
  <si>
    <t>Rounded από menu</t>
  </si>
  <si>
    <t>Rounded με function</t>
  </si>
  <si>
    <t>Price for 1 piece</t>
  </si>
  <si>
    <t>Price for 1000 pcs</t>
  </si>
  <si>
    <t>MROUND</t>
  </si>
  <si>
    <t xml:space="preserve">Τιμή </t>
  </si>
  <si>
    <t>Round στο 0.05</t>
  </si>
  <si>
    <t>Round στο 0.10</t>
  </si>
  <si>
    <t>Round στο 0.5</t>
  </si>
  <si>
    <t>Ωρα</t>
  </si>
  <si>
    <t>Round 5min</t>
  </si>
  <si>
    <t>Round 10 min</t>
  </si>
  <si>
    <t>MROUND($A24,0.05)</t>
  </si>
  <si>
    <t>MROUND($A24,0.1)</t>
  </si>
  <si>
    <t>MROUND($A24,0.5)</t>
  </si>
  <si>
    <t>MROUND(G24,"0:05")</t>
  </si>
  <si>
    <t>MROUND(G24,"0:10")</t>
  </si>
  <si>
    <t>Olympic Games</t>
  </si>
  <si>
    <t>Medals</t>
  </si>
  <si>
    <t>G=3, S=2, B=1</t>
  </si>
  <si>
    <t>Country</t>
  </si>
  <si>
    <t>Skier</t>
  </si>
  <si>
    <t>Gold</t>
  </si>
  <si>
    <t>Silver</t>
  </si>
  <si>
    <t>Bronz</t>
  </si>
  <si>
    <t>Points</t>
  </si>
  <si>
    <t>Lucky word or number</t>
  </si>
  <si>
    <t>Germany</t>
  </si>
  <si>
    <t>Berlin</t>
  </si>
  <si>
    <t>USA</t>
  </si>
  <si>
    <t>Russia</t>
  </si>
  <si>
    <t>Slovakia</t>
  </si>
  <si>
    <t>1</t>
  </si>
  <si>
    <t>How many medals</t>
  </si>
  <si>
    <t>COUNT</t>
  </si>
  <si>
    <t>How many people</t>
  </si>
  <si>
    <t>COUNTA</t>
  </si>
  <si>
    <t>=COUNTA(H3:H14)</t>
  </si>
  <si>
    <t>COUNTBLANK</t>
  </si>
  <si>
    <t>'=COUNTBLANK(H3:H14)</t>
  </si>
  <si>
    <t>'</t>
  </si>
  <si>
    <t/>
  </si>
  <si>
    <t>Home =&gt; Find &amp; Select =&gt;Formulas</t>
  </si>
  <si>
    <t xml:space="preserve">Formulas =&gt; Show Formulas </t>
  </si>
  <si>
    <t xml:space="preserve">Πόσα μετάλλια κερδίθηκαν ανά ομάδα </t>
  </si>
  <si>
    <t>SUMIF</t>
  </si>
  <si>
    <t xml:space="preserve">Πόσα μετάλλια κερδήθηκαν ανά χώρα και έχουν τουλάχιστον ένα χρυσό μετάλλιο </t>
  </si>
  <si>
    <t>SUMIFS</t>
  </si>
  <si>
    <t>Monthly credit repayments</t>
  </si>
  <si>
    <t>Item</t>
  </si>
  <si>
    <t>Cost</t>
  </si>
  <si>
    <t>Credit Period</t>
  </si>
  <si>
    <t>Payment</t>
  </si>
  <si>
    <t>Fridge</t>
  </si>
  <si>
    <t>DVD Player</t>
  </si>
  <si>
    <t>Washing Machine</t>
  </si>
  <si>
    <t>Dish Washer</t>
  </si>
  <si>
    <t>TV</t>
  </si>
  <si>
    <t>Car</t>
  </si>
  <si>
    <t>TOTAL</t>
  </si>
  <si>
    <t>Years of Model</t>
  </si>
  <si>
    <t>Units</t>
  </si>
  <si>
    <t>ModelYear</t>
  </si>
  <si>
    <t>REVENUE</t>
  </si>
  <si>
    <t>Projected income</t>
  </si>
  <si>
    <t>Touring fees</t>
  </si>
  <si>
    <t>RevTouring</t>
  </si>
  <si>
    <t>Downloads</t>
  </si>
  <si>
    <t>RevDownloads</t>
  </si>
  <si>
    <t>COSTS</t>
  </si>
  <si>
    <t>Living expenses</t>
  </si>
  <si>
    <t>Day-to-day expenses</t>
  </si>
  <si>
    <t>CstLivingDaily</t>
  </si>
  <si>
    <t>Loose living</t>
  </si>
  <si>
    <t>CstLivingLoose</t>
  </si>
  <si>
    <t>Housing</t>
  </si>
  <si>
    <t>House price</t>
  </si>
  <si>
    <t>CstHousingPrice</t>
  </si>
  <si>
    <t>Mortgage rate</t>
  </si>
  <si>
    <t>%</t>
  </si>
  <si>
    <t>CstHousingRate</t>
  </si>
  <si>
    <t>Customer Service Desk Summary Report</t>
  </si>
  <si>
    <t>Number of Calls Taken</t>
  </si>
  <si>
    <t>Trends</t>
  </si>
  <si>
    <t>Agent Name</t>
  </si>
  <si>
    <t>Jul</t>
  </si>
  <si>
    <t>Aug</t>
  </si>
  <si>
    <t>Sep</t>
  </si>
  <si>
    <t>Oct</t>
  </si>
  <si>
    <t>Nov</t>
  </si>
  <si>
    <t>Dec</t>
  </si>
  <si>
    <t>Calls</t>
  </si>
  <si>
    <t>Satisfaction</t>
  </si>
  <si>
    <t>Adams</t>
  </si>
  <si>
    <t>Berkhart</t>
  </si>
  <si>
    <t>Daniels</t>
  </si>
  <si>
    <t>DuPreez</t>
  </si>
  <si>
    <t>Grojovin</t>
  </si>
  <si>
    <t>Katz</t>
  </si>
  <si>
    <t>Stevens</t>
  </si>
  <si>
    <t>Average Calls Taken</t>
  </si>
  <si>
    <t>Average Satisfaction Score (out of 5)</t>
  </si>
  <si>
    <t>Agent:</t>
  </si>
  <si>
    <t>Satisfaction Rank</t>
  </si>
  <si>
    <t>Average Calls</t>
  </si>
  <si>
    <t>Resolution Rate</t>
  </si>
  <si>
    <t>Average Satisfaction</t>
  </si>
  <si>
    <t>Consistent Annual Growth Rate</t>
  </si>
  <si>
    <t>CAGR</t>
  </si>
  <si>
    <t>Up/Down</t>
  </si>
  <si>
    <t xml:space="preserve">Οδηγίες </t>
  </si>
  <si>
    <t>Όλες οι ακόλουθες οδηγίες πρέπει να εκτελεστούν στο φύλλο δεδομένων Service Desk. Για να λάβετε βοήθεια με τις πιο δύσκολες ερωτήσεις, κάντε κλικ στην Υπόδειξη στα δεξιά.</t>
  </si>
  <si>
    <t>Ένα παράδειγμα για το πώς πρέπει να φαίνεται το φύλλο στο τέλος φαίνεται παρακάτω.</t>
  </si>
  <si>
    <t>1) Επιλέξτε B13:G13 και εφαρμόστε μια μορφή κλίμακας χρώματος πράσινο-κίτρινο-κόκκινο υπό όρους</t>
  </si>
  <si>
    <t>β) Χρησιμοποιήστε το Format Painter για να αντιγράψετε τη μορφοποίηση υπό όρους σε B26:G26</t>
  </si>
  <si>
    <t>2α) Επιλέξτε B5:G11 και εφαρμόστε μια υπό όρους μορφή γραμμής δεδομένων</t>
  </si>
  <si>
    <t>β) Αλλάξτε το χρώμα των ράβδων σε γκρι και αφαιρέστε το περίγραμμα</t>
  </si>
  <si>
    <t>3) Επιλέξτε B31:G37 και εφαρμόστε μια μορφή εικονιδίου φαναριού υπό όρους</t>
  </si>
  <si>
    <t>β) Τροποποιήστε τη μορφή έτσι ώστε οι τιμές &gt;=90 να λάβουν πράσινο φως, &gt;=80 να πάρετε ένα πορτοκαλί και όλα τα άλλα να είναι κόκκινα</t>
  </si>
  <si>
    <t>4) Επιλέξτε H5:H11 και εφαρμόστε μια μορφή υπό όρους για να επισημάνετε τις δύο κορυφαίες τιμές</t>
  </si>
  <si>
    <t>5) Επιλέξτε A18:H24 και προσθέστε έναν κανόνα μορφοποίησης υπό όρους για να αλλάξετε ολόκληρη τη σειρά σε μεσαίο γκρι όπου το όνομα του πράκτορα ταιριάζει με την επιλογή στο L16</t>
  </si>
  <si>
    <t>6) Στο K27 έχει χρησιμοποιηθεί μια συνάρτηση RANK για την κατάταξη της μέσης βαθμολογίας ικανοποίησης των επιλεγμένων πρακτόρων έναντι των υπολοίπων πρακτόρων. Θα θέλαμε να το αναπαραστήσουμε αυτό γραφικά επισημαίνοντας τον κατάλληλο αριθμό κελιών πίσω από την εικόνα του high striker. Μετακινήστε την εικόνα από τη μέση και σημειώστε ότι τα κελιά K18:K24 περιέχουν τις τιμές 1 έως 7 (αλλά με γκρι γραμματοσειρά για να μην είναι ορατά). Επιλέξτε τα αριθμημένα κελιά και εφαρμόστε έναν κανόνα μορφοποίησης υπό όρους που αλλάζει το χρώμα πλήρωσης και γραμματοσειράς σε κόκκινο όπου η τιμή στο κελί είναι &lt;= η τιμή στο K27. Τοποθετήστε ξανά την εικόνα στη θέση της και δοκιμάστε την αλλάζοντας τον Agent στο αναπτυσσόμενο μενού.</t>
  </si>
  <si>
    <t>7α) Επιλέξτε B18:G24 και εφαρμόστε έναν κανόνα μορφοποίησης υπό όρους που επισημαίνει όλα τα κελιά μεταξύ των τιμών που εμφανίζονται στο F15 και στο G15 με κόκκινο χρώμα</t>
  </si>
  <si>
    <t>β) Καταγράψτε μια μακροεντολή που ονομάζεται Low που αλλάζει την τιμή στο F15 σε 0 και την τιμή στο G15 σε 3.</t>
  </si>
  <si>
    <t>γ) Καταγράψτε μια άλλη μακροεντολή που ονομάζεται High που αλλάζει την τιμή στο F15 σε 4,7 και την τιμή στο G15 σε 5.</t>
  </si>
  <si>
    <t>δ) Προσθέστε δύο σχήματα τριγώνων (βλ. παράδειγμα παρακάτω), ένα προς τα πάνω και ένα προς τα κάτω. Εκχωρήστε τις μακροεντολές High και Low αντίστοιχα. Κάντε κλικ για δοκιμή.</t>
  </si>
  <si>
    <t>8α) Στο L5:L11 προσθέστε sparklines στηλών που παρακολουθούν τις βαθμολογίες ικανοποίησης για κάθε πράκτορα από τον Ιούλιο έως τον Δεκέμβριο. Κάντε τα sparklines σκούρα γκρι με έναν κόκκινο μαρκαδόρο ψηλού σημείου.</t>
  </si>
  <si>
    <t>β) Στο J5:J11 προσθέστε sparklines στηλών που δείχνουν τον αριθμό των κλήσεων για κάθε πράκτορα από τον Ιούλιο έως τον Δεκέμβριο. Κάντε τα sparklines σκούρα γκρι με έναν κόκκινο μαρκαδόρο ψηλού σημείου.</t>
  </si>
  <si>
    <t>9α) Στο J27 χρησιμοποιήστε τη λειτουργία αναζήτησης της επιλογής σας για να αναζητήσετε τις μέσες μηνιαίες κλήσεις για τον επιλεγμένο πράκτορα. Προσθέστε ένα σχήμα (της επιλογής σας) πάνω από το J22 που δείχνει το αποτέλεσμα στο J27.</t>
  </si>
  <si>
    <t>β) Στο L27 χρησιμοποιήστε τη συνάρτηση αναζήτησης της επιλογής σας για να αναζητήσετε το μέσο ποσοστό ανάλυσης για τον επιλεγμένο παράγοντα. Προσθέστε ένα σχήμα (της επιλογής σας) πάνω από το L22 που δείχνει το αποτέλεσμα στο L27.</t>
  </si>
  <si>
    <t>10) Στο L31 αναφέρετε την τιμή στο J31 (δηλ. πληκτρολογήστε =J31) και μετά αντιγράψτε στο L37. Εφαρμόστε μια προσαρμοσμένη μορφή αριθμών που εμφανίζει θετικές τιμές ως κόκκινα τρίγωνα προς τα επάνω, αρνητικές τιμές ως μαύρα τρίγωνα που δείχνουν προς τα κάτω και τίποτα για 0 τιμές.</t>
  </si>
  <si>
    <t>Αλλάξτε τους τύπους/τις που δεν χρειάζεται να φαίνονται σε λευκή γραμματοσειρά και το τελικό προϊόν θα πρέπει να μοιάζει κάπως έτσι:</t>
  </si>
  <si>
    <t>Sales</t>
  </si>
  <si>
    <t>Πόλη</t>
  </si>
  <si>
    <t>Χώρα</t>
  </si>
  <si>
    <t>Singer</t>
  </si>
  <si>
    <t>Sponsor</t>
  </si>
  <si>
    <t>London</t>
  </si>
  <si>
    <t>UK</t>
  </si>
  <si>
    <t>Madona</t>
  </si>
  <si>
    <t>Coca Cola</t>
  </si>
  <si>
    <t>Athens</t>
  </si>
  <si>
    <t>Greece</t>
  </si>
  <si>
    <t>Munich</t>
  </si>
  <si>
    <t>Katy Perry</t>
  </si>
  <si>
    <t>Paris</t>
  </si>
  <si>
    <t>France</t>
  </si>
  <si>
    <t>Ed Sheeran</t>
  </si>
  <si>
    <t>london</t>
  </si>
  <si>
    <t>Justin Bieber</t>
  </si>
  <si>
    <t>Apple</t>
  </si>
  <si>
    <t>Harry Styles</t>
  </si>
  <si>
    <t>Honda</t>
  </si>
  <si>
    <t>Facebook</t>
  </si>
  <si>
    <t>Calvin Harris</t>
  </si>
  <si>
    <t xml:space="preserve">Κωδικός </t>
  </si>
  <si>
    <t>Ονοματεπώνυμο</t>
  </si>
  <si>
    <t xml:space="preserve">Τμημα </t>
  </si>
  <si>
    <t xml:space="preserve">θέση Εργασίας </t>
  </si>
  <si>
    <t>Μικτά</t>
  </si>
  <si>
    <t xml:space="preserve">Bonus </t>
  </si>
  <si>
    <t>ΕΡΓΑΖΟΜΕΝΟΣ 1</t>
  </si>
  <si>
    <t>ΠΩΛΗΣΕΩΝ</t>
  </si>
  <si>
    <t xml:space="preserve">ΕΞΩΤΕΡΙΚΟΣ ΠΩΛΗΤΗΣ </t>
  </si>
  <si>
    <t>ΕΡΓΑΖΟΜΕΝΟΣ 2</t>
  </si>
  <si>
    <t>IT</t>
  </si>
  <si>
    <t>ΤΕΧΝΙΚΟΣ</t>
  </si>
  <si>
    <t>ΕΡΓΑΖΟΜΕΝΟΣ 3</t>
  </si>
  <si>
    <t>ΛΟΓΙΣΤΗΡΙΟ</t>
  </si>
  <si>
    <t>ΛΟΓΙΣΤΗΣ</t>
  </si>
  <si>
    <t>ΕΡΓΑΖΟΜΕΝΟΣ 4</t>
  </si>
  <si>
    <t xml:space="preserve">ΤΕΧΝΙΚΩΝ </t>
  </si>
  <si>
    <t xml:space="preserve">ΕΞΩΤΕΡΙΚΟΣ ΤΕΧΝΙΚΟΣ </t>
  </si>
  <si>
    <t>ΕΡΓΑΖΟΜΕΝΟΣ 5</t>
  </si>
  <si>
    <t xml:space="preserve">ΤΗΛΕΦΩΝΙΚΏΝ ΠΩΛΗΣΕΩΝ </t>
  </si>
  <si>
    <t>ΠΩΛΗΤΗΣ</t>
  </si>
  <si>
    <t>ΕΡΓΑΖΟΜΕΝΟΣ 6</t>
  </si>
  <si>
    <t>ΕΡΓΑΖΟΜΕΝΟΣ 7</t>
  </si>
  <si>
    <t>ΕΡΓΑΖΟΜΕΝΟΣ 8</t>
  </si>
  <si>
    <t>ΕΡΓΑΖΟΜΕΝΟΣ 9</t>
  </si>
  <si>
    <t>ΕΡΓΑΖΟΜΕΝΟΣ 10</t>
  </si>
  <si>
    <t>ΕΡΓΑΖΟΜΕΝΟΣ 11</t>
  </si>
  <si>
    <t>ΕΡΓΑΖΟΜΕΝΟΣ 12</t>
  </si>
  <si>
    <t>ΕΡΓΑΖΟΜΕΝΟΣ 13</t>
  </si>
  <si>
    <t>ΕΡΓΑΖΟΜΕΝΟΣ 14</t>
  </si>
  <si>
    <t>ΕΡΓΑΖΟΜΕΝΟΣ 15</t>
  </si>
  <si>
    <t>ΕΡΓΑΖΟΜΕΝΟΣ 16</t>
  </si>
  <si>
    <t>ΓΡΑΜΜΑΤΕΙΑ</t>
  </si>
  <si>
    <t>ΕΡΓΑΖΟΜΕΝΟΣ 17</t>
  </si>
  <si>
    <t>ΕΡΓΑΖΟΜΕΝΟΣ 18</t>
  </si>
  <si>
    <t>ΕΡΓΑΖΟΜΕΝΟΣ 19</t>
  </si>
  <si>
    <t>ΕΡΓΑΖΟΜΕΝΟΣ 20</t>
  </si>
  <si>
    <t>ΕΡΓΑΖΟΜΕΝΟΣ 21</t>
  </si>
  <si>
    <t>ΕΡΓΑΖΟΜΕΝΟΣ 22</t>
  </si>
  <si>
    <t>ΕΡΓΑΖΟΜΕΝΟΣ 24</t>
  </si>
  <si>
    <t>ΕΡΓΑΖΟΜΕΝΟΣ 25</t>
  </si>
  <si>
    <t>ΕΡΓΑΖΟΜΕΝΟΣ 26</t>
  </si>
  <si>
    <t>ΕΡΓΑΖΟΜΕΝΟΣ 27</t>
  </si>
  <si>
    <t>ΕΡΓΑΖΟΜΕΝΟΣ 29</t>
  </si>
  <si>
    <t>ΕΡΓΑΖΟΜΕΝΟΣ 30</t>
  </si>
  <si>
    <t>ΕΡΓΑΖΟΜΕΝΟΣ 31</t>
  </si>
  <si>
    <t>ΕΡΓΑΖΟΜΕΝΟΣ 32</t>
  </si>
  <si>
    <t>ΕΡΓΑΖΟΜΕΝΟΣ 34</t>
  </si>
  <si>
    <t>ΕΡΓΑΖΟΜΕΝΟΣ 35</t>
  </si>
  <si>
    <t>ΕΡΓΑΖΟΜΕΝΟΣ 36</t>
  </si>
  <si>
    <t>ΕΡΓΑΖΟΜΕΝΟΣ 37</t>
  </si>
  <si>
    <t>ΕΡΓΑΖΟΜΕΝΟΣ 39</t>
  </si>
  <si>
    <t>ΕΡΓΑΖΟΜΕΝΟΣ 40</t>
  </si>
  <si>
    <t>ΕΡΓΑΖΟΜΕΝΟΣ 41</t>
  </si>
  <si>
    <t>ΕΡΓΑΖΟΜΕΝΟΣ 42</t>
  </si>
  <si>
    <t>ΕΡΓΑΖΟΜΕΝΟΣ 44</t>
  </si>
  <si>
    <t>ΕΡΓΑΖΟΜΕΝΟΣ 45</t>
  </si>
  <si>
    <t>ΕΡΓΑΖΟΜΕΝΟΣ 46</t>
  </si>
  <si>
    <t>ΕΡΓΑΖΟΜΕΝΟΣ 47</t>
  </si>
  <si>
    <t>ΕΡΓΑΖΟΜΕΝΟΣ 49</t>
  </si>
  <si>
    <t>ΕΡΓΑΖΟΜΕΝΟΣ 50</t>
  </si>
  <si>
    <t>ΕΡΓΑΖΟΜΕΝΟΣ 51</t>
  </si>
  <si>
    <t>ΕΡΓΑΖΟΜΕΝΟΣ 52</t>
  </si>
  <si>
    <t>ΕΡΓΑΖΟΜΕΝΟΣ 54</t>
  </si>
  <si>
    <t>ΕΡΓΑΖΟΜΕΝΟΣ 55</t>
  </si>
  <si>
    <t xml:space="preserve">Ελληνικά </t>
  </si>
  <si>
    <t>τιμή</t>
  </si>
  <si>
    <t xml:space="preserve">Συνάρτηση </t>
  </si>
  <si>
    <t>Αριθμός Συνάρτησης</t>
  </si>
  <si>
    <t xml:space="preserve">Μέσος όρος </t>
  </si>
  <si>
    <t>Πλήθος εγγραφών</t>
  </si>
  <si>
    <t>Εγγραφές</t>
  </si>
  <si>
    <t>max</t>
  </si>
  <si>
    <t>min</t>
  </si>
  <si>
    <t xml:space="preserve">Πολλαπλασιάζει όλους τους αριθμούς </t>
  </si>
  <si>
    <t>PRODUCT</t>
  </si>
  <si>
    <t>Τυπική απόκλιση</t>
  </si>
  <si>
    <t>STDEV</t>
  </si>
  <si>
    <t>STDEVP</t>
  </si>
  <si>
    <t>Άθροισμα</t>
  </si>
  <si>
    <t>Διακύμανση</t>
  </si>
  <si>
    <t>VAR</t>
  </si>
  <si>
    <t>VARP</t>
  </si>
  <si>
    <t xml:space="preserve">Global πωλήσεις ανά προϊόν </t>
  </si>
  <si>
    <t>Έτος</t>
  </si>
  <si>
    <t>Κινητά Τηλέφωνα</t>
  </si>
  <si>
    <t>Φορητοί Υπολογιστές</t>
  </si>
  <si>
    <t>Συσκευές IoT</t>
  </si>
  <si>
    <t>Λοιπά</t>
  </si>
  <si>
    <t xml:space="preserve">Συνολο </t>
  </si>
  <si>
    <t xml:space="preserve">Προηγούμενο </t>
  </si>
  <si>
    <t xml:space="preserve">% Αύξηση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</si>
</sst>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3" formatCode="_-* #,##0.00_-;\-* #,##0.00_-;_-* &quot;-&quot;??_-;_-@_-"/>
    <numFmt numFmtId="164" formatCode="dd\ mmmm"/>
    <numFmt numFmtId="165" formatCode="_-* #,##0\ &quot;€&quot;_-;\-* #,##0\ &quot;€&quot;_-;_-* &quot;-&quot;??\ &quot;€&quot;_-;_-@_-"/>
    <numFmt numFmtId="166" formatCode="#,##0\ [$€-408];\-#,##0\ [$€-408]"/>
    <numFmt numFmtId="167" formatCode="#,##0.00\ [$€-408]"/>
    <numFmt numFmtId="168" formatCode="_(* #,##0.0_);_(* \(#,##0.0\);_(* &quot;-&quot;??_);_(@_)"/>
    <numFmt numFmtId="169" formatCode="0.0"/>
    <numFmt numFmtId="170" formatCode="#,##0.00\ &quot;€&quot;"/>
    <numFmt numFmtId="171" formatCode="h:mm;@"/>
    <numFmt numFmtId="172" formatCode="#,##0_);\(#,##0\)"/>
    <numFmt numFmtId="173" formatCode="0.0%"/>
    <numFmt numFmtId="174" formatCode="0.000%"/>
  </numFmts>
  <fonts count="35" x14ac:knownFonts="1">
    <font>
      <sz val="11"/>
      <color theme="1"/>
      <name val="Aptos Narrow"/>
      <family val="2"/>
      <charset val="161"/>
      <scheme val="minor"/>
    </font>
    <font>
      <b/>
      <sz val="11"/>
      <color theme="4"/>
      <name val="Aptos Narrow"/>
      <family val="2"/>
      <scheme val="minor"/>
    </font>
    <font>
      <sz val="11"/>
      <color theme="1"/>
      <name val="Aptos Narrow"/>
      <family val="2"/>
      <charset val="161"/>
      <scheme val="minor"/>
    </font>
    <font>
      <sz val="18"/>
      <color theme="3"/>
      <name val="Aptos Display"/>
      <family val="2"/>
      <charset val="161"/>
      <scheme val="major"/>
    </font>
    <font>
      <b/>
      <sz val="11"/>
      <color theme="1"/>
      <name val="Aptos Narrow"/>
      <family val="2"/>
      <charset val="161"/>
      <scheme val="minor"/>
    </font>
    <font>
      <sz val="11"/>
      <color theme="0"/>
      <name val="Aptos Narrow"/>
      <family val="2"/>
      <charset val="161"/>
      <scheme val="minor"/>
    </font>
    <font>
      <b/>
      <sz val="11"/>
      <color theme="1"/>
      <name val="Aptos Narrow"/>
      <family val="2"/>
      <scheme val="minor"/>
    </font>
    <font>
      <sz val="11"/>
      <color theme="1"/>
      <name val="Aptos Narrow"/>
      <family val="2"/>
      <scheme val="minor"/>
    </font>
    <font>
      <sz val="11"/>
      <color rgb="FFFF0000"/>
      <name val="Aptos Narrow"/>
      <family val="2"/>
      <charset val="238"/>
      <scheme val="minor"/>
    </font>
    <font>
      <b/>
      <sz val="10"/>
      <color theme="0"/>
      <name val="Arial"/>
      <family val="2"/>
    </font>
    <font>
      <b/>
      <sz val="10"/>
      <color theme="1"/>
      <name val="Arial"/>
      <family val="2"/>
    </font>
    <font>
      <i/>
      <sz val="10"/>
      <name val="Arial"/>
      <family val="2"/>
    </font>
    <font>
      <sz val="10"/>
      <name val="Arial"/>
      <family val="2"/>
      <charset val="161"/>
    </font>
    <font>
      <sz val="10"/>
      <color theme="1"/>
      <name val="Arial"/>
      <family val="2"/>
      <charset val="161"/>
    </font>
    <font>
      <sz val="11"/>
      <name val="Aptos Narrow"/>
      <family val="2"/>
      <charset val="161"/>
      <scheme val="minor"/>
    </font>
    <font>
      <i/>
      <sz val="11"/>
      <color theme="1"/>
      <name val="Aptos Narrow"/>
      <family val="2"/>
      <scheme val="minor"/>
    </font>
    <font>
      <b/>
      <sz val="11"/>
      <color theme="0"/>
      <name val="Aptos Narrow"/>
      <family val="2"/>
      <scheme val="minor"/>
    </font>
    <font>
      <i/>
      <sz val="9"/>
      <color theme="4" tint="-0.249977111117893"/>
      <name val="Aptos Narrow"/>
      <family val="2"/>
      <scheme val="minor"/>
    </font>
    <font>
      <b/>
      <i/>
      <sz val="11"/>
      <color theme="1"/>
      <name val="Aptos Narrow"/>
      <family val="2"/>
      <charset val="161"/>
      <scheme val="minor"/>
    </font>
    <font>
      <sz val="22"/>
      <color theme="0"/>
      <name val="Aptos Display"/>
      <family val="2"/>
      <scheme val="major"/>
    </font>
    <font>
      <sz val="11"/>
      <color theme="0"/>
      <name val="Aptos Narrow"/>
      <family val="2"/>
      <scheme val="minor"/>
    </font>
    <font>
      <sz val="9"/>
      <color theme="1"/>
      <name val="Aptos Narrow"/>
      <family val="2"/>
      <scheme val="minor"/>
    </font>
    <font>
      <sz val="10"/>
      <color theme="1"/>
      <name val="Aptos Narrow"/>
      <family val="2"/>
      <scheme val="minor"/>
    </font>
    <font>
      <sz val="11"/>
      <color theme="2"/>
      <name val="Aptos Narrow"/>
      <family val="2"/>
      <scheme val="minor"/>
    </font>
    <font>
      <sz val="9"/>
      <name val="Aptos Narrow"/>
      <family val="2"/>
      <scheme val="minor"/>
    </font>
    <font>
      <sz val="11"/>
      <name val="Aptos Narrow"/>
      <family val="2"/>
      <scheme val="minor"/>
    </font>
    <font>
      <sz val="11"/>
      <color theme="1"/>
      <name val="Arial"/>
      <family val="2"/>
    </font>
    <font>
      <sz val="11"/>
      <color rgb="FFFF0000"/>
      <name val="Aptos Narrow"/>
      <family val="2"/>
      <scheme val="minor"/>
    </font>
    <font>
      <sz val="9"/>
      <color rgb="FFFF0000"/>
      <name val="Aptos Narrow"/>
      <family val="2"/>
      <scheme val="minor"/>
    </font>
    <font>
      <sz val="11"/>
      <color theme="5" tint="0.79998168889431442"/>
      <name val="Aptos Narrow"/>
      <family val="2"/>
      <scheme val="minor"/>
    </font>
    <font>
      <sz val="14"/>
      <color theme="1"/>
      <name val="Aptos Narrow"/>
      <family val="2"/>
      <scheme val="minor"/>
    </font>
    <font>
      <b/>
      <sz val="11"/>
      <color rgb="FF000000"/>
      <name val="Aptos Narrow"/>
      <family val="2"/>
      <charset val="161"/>
      <scheme val="minor"/>
    </font>
    <font>
      <b/>
      <sz val="18"/>
      <color theme="3"/>
      <name val="Aptos Display"/>
      <family val="2"/>
      <scheme val="major"/>
    </font>
    <font>
      <sz val="11"/>
      <color theme="3"/>
      <name val="Aptos Narrow"/>
      <family val="2"/>
      <scheme val="minor"/>
    </font>
    <font>
      <b/>
      <sz val="11"/>
      <color theme="3"/>
      <name val="Aptos Narrow"/>
      <family val="2"/>
      <scheme val="minor"/>
    </font>
  </fonts>
  <fills count="22">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patternFill>
    </fill>
    <fill>
      <patternFill patternType="solid">
        <fgColor theme="6"/>
      </patternFill>
    </fill>
    <fill>
      <patternFill patternType="solid">
        <fgColor theme="6" tint="0.79998168889431442"/>
        <bgColor indexed="65"/>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7030A0"/>
        <bgColor indexed="64"/>
      </patternFill>
    </fill>
    <fill>
      <patternFill patternType="solid">
        <fgColor theme="1" tint="4.9989318521683403E-2"/>
        <bgColor indexed="64"/>
      </patternFill>
    </fill>
    <fill>
      <patternFill patternType="solid">
        <fgColor theme="0" tint="-4.9989318521683403E-2"/>
        <bgColor indexed="64"/>
      </patternFill>
    </fill>
    <fill>
      <patternFill patternType="solid">
        <fgColor theme="1"/>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s>
  <cellStyleXfs count="13">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5" fillId="4" borderId="0" applyNumberFormat="0" applyBorder="0" applyAlignment="0" applyProtection="0"/>
    <xf numFmtId="0" fontId="5" fillId="5" borderId="0" applyNumberFormat="0" applyBorder="0" applyAlignment="0" applyProtection="0"/>
    <xf numFmtId="0" fontId="2" fillId="6" borderId="0" applyNumberFormat="0" applyBorder="0" applyAlignment="0" applyProtection="0"/>
    <xf numFmtId="0" fontId="15" fillId="0" borderId="0"/>
    <xf numFmtId="0" fontId="15" fillId="0" borderId="0">
      <alignment horizontal="center"/>
    </xf>
    <xf numFmtId="0" fontId="17" fillId="0" borderId="0">
      <alignment horizontal="left" indent="1"/>
    </xf>
    <xf numFmtId="0" fontId="6" fillId="0" borderId="0"/>
    <xf numFmtId="172" fontId="7" fillId="7" borderId="1">
      <alignment horizontal="right" indent="1"/>
    </xf>
    <xf numFmtId="173" fontId="7" fillId="7" borderId="1">
      <alignment horizontal="right" indent="1"/>
    </xf>
  </cellStyleXfs>
  <cellXfs count="288">
    <xf numFmtId="0" fontId="0" fillId="0" borderId="0" xfId="0"/>
    <xf numFmtId="0" fontId="0" fillId="2" borderId="1" xfId="0" applyFill="1" applyBorder="1" applyAlignment="1">
      <alignment horizontal="center"/>
    </xf>
    <xf numFmtId="0" fontId="1" fillId="3" borderId="2" xfId="0" applyFont="1" applyFill="1" applyBorder="1"/>
    <xf numFmtId="0" fontId="1" fillId="3" borderId="3" xfId="0" applyFont="1" applyFill="1" applyBorder="1" applyAlignment="1">
      <alignment horizontal="center"/>
    </xf>
    <xf numFmtId="0" fontId="1" fillId="3" borderId="3" xfId="0" applyFont="1" applyFill="1" applyBorder="1"/>
    <xf numFmtId="0" fontId="1" fillId="3" borderId="4" xfId="0" applyFont="1" applyFill="1" applyBorder="1"/>
    <xf numFmtId="0" fontId="0" fillId="0" borderId="5" xfId="0" applyBorder="1"/>
    <xf numFmtId="164" fontId="0" fillId="0" borderId="1" xfId="0" applyNumberFormat="1" applyBorder="1" applyAlignment="1">
      <alignment horizontal="center"/>
    </xf>
    <xf numFmtId="0" fontId="0" fillId="0" borderId="1" xfId="0" applyBorder="1"/>
    <xf numFmtId="0" fontId="0" fillId="0" borderId="6" xfId="0" applyBorder="1"/>
    <xf numFmtId="0" fontId="0" fillId="0" borderId="7" xfId="0" applyBorder="1"/>
    <xf numFmtId="164" fontId="0" fillId="0" borderId="8" xfId="0" applyNumberFormat="1" applyBorder="1" applyAlignment="1">
      <alignment horizontal="center"/>
    </xf>
    <xf numFmtId="0" fontId="0" fillId="0" borderId="8" xfId="0" applyBorder="1"/>
    <xf numFmtId="0" fontId="0" fillId="0" borderId="9" xfId="0" applyBorder="1"/>
    <xf numFmtId="0" fontId="6" fillId="7" borderId="10" xfId="0" applyFont="1" applyFill="1" applyBorder="1"/>
    <xf numFmtId="0" fontId="6" fillId="7" borderId="11" xfId="0" applyFont="1" applyFill="1" applyBorder="1"/>
    <xf numFmtId="0" fontId="6" fillId="7" borderId="12" xfId="0" applyFont="1" applyFill="1" applyBorder="1" applyAlignment="1">
      <alignment horizontal="center"/>
    </xf>
    <xf numFmtId="0" fontId="6" fillId="7" borderId="13" xfId="0" applyFont="1" applyFill="1" applyBorder="1" applyAlignment="1">
      <alignment horizontal="center"/>
    </xf>
    <xf numFmtId="0" fontId="6" fillId="8" borderId="0" xfId="0" applyFont="1" applyFill="1"/>
    <xf numFmtId="0" fontId="6" fillId="8" borderId="14" xfId="0" applyFont="1" applyFill="1" applyBorder="1"/>
    <xf numFmtId="0" fontId="6" fillId="8" borderId="15" xfId="0" applyFont="1" applyFill="1" applyBorder="1" applyAlignment="1">
      <alignment horizontal="center" vertical="center"/>
    </xf>
    <xf numFmtId="0" fontId="6" fillId="8" borderId="0" xfId="0" applyFont="1" applyFill="1" applyAlignment="1">
      <alignment horizontal="center" vertical="center"/>
    </xf>
    <xf numFmtId="0" fontId="6" fillId="8" borderId="16" xfId="0" applyFont="1" applyFill="1" applyBorder="1" applyAlignment="1">
      <alignment horizontal="center" vertical="center"/>
    </xf>
    <xf numFmtId="0" fontId="6" fillId="8" borderId="17" xfId="0" applyFont="1" applyFill="1" applyBorder="1" applyAlignment="1">
      <alignment horizontal="center" vertical="center"/>
    </xf>
    <xf numFmtId="0" fontId="6" fillId="8" borderId="18" xfId="0" applyFont="1" applyFill="1" applyBorder="1" applyAlignment="1">
      <alignment horizontal="center" vertical="center"/>
    </xf>
    <xf numFmtId="0" fontId="6" fillId="8" borderId="19" xfId="0" applyFont="1" applyFill="1" applyBorder="1" applyAlignment="1">
      <alignment horizontal="center" vertical="center"/>
    </xf>
    <xf numFmtId="165" fontId="0" fillId="0" borderId="12" xfId="0" applyNumberFormat="1" applyBorder="1" applyAlignment="1">
      <alignment horizontal="center"/>
    </xf>
    <xf numFmtId="165" fontId="0" fillId="0" borderId="13" xfId="0" applyNumberFormat="1" applyBorder="1" applyAlignment="1">
      <alignment horizontal="center"/>
    </xf>
    <xf numFmtId="165" fontId="0" fillId="0" borderId="11" xfId="0" applyNumberFormat="1" applyBorder="1" applyAlignment="1">
      <alignment horizontal="center"/>
    </xf>
    <xf numFmtId="165" fontId="0" fillId="0" borderId="12" xfId="0" applyNumberFormat="1" applyBorder="1"/>
    <xf numFmtId="165" fontId="0" fillId="0" borderId="13" xfId="0" applyNumberFormat="1" applyBorder="1"/>
    <xf numFmtId="165" fontId="0" fillId="0" borderId="0" xfId="0" applyNumberFormat="1" applyAlignment="1">
      <alignment horizontal="center"/>
    </xf>
    <xf numFmtId="165" fontId="0" fillId="0" borderId="16" xfId="0" applyNumberFormat="1" applyBorder="1" applyAlignment="1">
      <alignment horizontal="center"/>
    </xf>
    <xf numFmtId="165" fontId="0" fillId="0" borderId="15" xfId="0" applyNumberFormat="1" applyBorder="1" applyAlignment="1">
      <alignment horizontal="center"/>
    </xf>
    <xf numFmtId="165" fontId="0" fillId="0" borderId="0" xfId="0" applyNumberFormat="1"/>
    <xf numFmtId="165" fontId="0" fillId="0" borderId="16" xfId="0" applyNumberFormat="1" applyBorder="1"/>
    <xf numFmtId="165" fontId="0" fillId="0" borderId="18" xfId="0" applyNumberFormat="1" applyBorder="1" applyAlignment="1">
      <alignment horizontal="center"/>
    </xf>
    <xf numFmtId="165" fontId="0" fillId="0" borderId="19"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xf numFmtId="165" fontId="0" fillId="0" borderId="19" xfId="0" applyNumberFormat="1" applyBorder="1"/>
    <xf numFmtId="165" fontId="0" fillId="0" borderId="11" xfId="0" applyNumberFormat="1" applyBorder="1"/>
    <xf numFmtId="0" fontId="0" fillId="7" borderId="0" xfId="0" applyFill="1"/>
    <xf numFmtId="0" fontId="0" fillId="0" borderId="15" xfId="0" applyBorder="1"/>
    <xf numFmtId="165" fontId="0" fillId="0" borderId="15" xfId="0" applyNumberFormat="1" applyBorder="1"/>
    <xf numFmtId="0" fontId="0" fillId="0" borderId="16" xfId="0" applyBorder="1"/>
    <xf numFmtId="165" fontId="0" fillId="0" borderId="17" xfId="0" applyNumberFormat="1" applyBorder="1"/>
    <xf numFmtId="0" fontId="0" fillId="0" borderId="18" xfId="0" applyBorder="1"/>
    <xf numFmtId="0" fontId="6" fillId="3" borderId="10" xfId="0" applyFont="1" applyFill="1" applyBorder="1"/>
    <xf numFmtId="0" fontId="6" fillId="3" borderId="11" xfId="0" applyFont="1" applyFill="1" applyBorder="1"/>
    <xf numFmtId="0" fontId="6" fillId="3" borderId="12" xfId="0" applyFont="1" applyFill="1" applyBorder="1" applyAlignment="1">
      <alignment horizontal="center"/>
    </xf>
    <xf numFmtId="0" fontId="6" fillId="3" borderId="13" xfId="0" applyFont="1" applyFill="1" applyBorder="1" applyAlignment="1">
      <alignment horizontal="center"/>
    </xf>
    <xf numFmtId="0" fontId="6" fillId="3" borderId="0" xfId="0" applyFont="1" applyFill="1"/>
    <xf numFmtId="0" fontId="6" fillId="3" borderId="14" xfId="0" applyFont="1" applyFill="1" applyBorder="1"/>
    <xf numFmtId="0" fontId="6" fillId="3" borderId="15" xfId="0" applyFont="1" applyFill="1" applyBorder="1" applyAlignment="1">
      <alignment horizontal="center" vertical="center"/>
    </xf>
    <xf numFmtId="0" fontId="6" fillId="3" borderId="0" xfId="0" applyFont="1" applyFill="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0" fillId="3" borderId="12" xfId="0" applyFill="1" applyBorder="1"/>
    <xf numFmtId="0" fontId="6" fillId="3" borderId="15" xfId="0" applyFont="1" applyFill="1" applyBorder="1"/>
    <xf numFmtId="0" fontId="0" fillId="3" borderId="0" xfId="0" applyFill="1"/>
    <xf numFmtId="0" fontId="6" fillId="3" borderId="17" xfId="0" applyFont="1" applyFill="1" applyBorder="1"/>
    <xf numFmtId="0" fontId="0" fillId="3" borderId="18" xfId="0" applyFill="1" applyBorder="1"/>
    <xf numFmtId="0" fontId="6" fillId="9" borderId="10" xfId="0" applyFont="1" applyFill="1" applyBorder="1"/>
    <xf numFmtId="0" fontId="6" fillId="9" borderId="11" xfId="0" applyFont="1" applyFill="1" applyBorder="1"/>
    <xf numFmtId="0" fontId="6" fillId="9" borderId="12" xfId="0" applyFont="1" applyFill="1" applyBorder="1" applyAlignment="1">
      <alignment horizontal="center"/>
    </xf>
    <xf numFmtId="0" fontId="6" fillId="9" borderId="13" xfId="0" applyFont="1" applyFill="1" applyBorder="1" applyAlignment="1">
      <alignment horizontal="center"/>
    </xf>
    <xf numFmtId="0" fontId="6" fillId="9" borderId="0" xfId="0" applyFont="1" applyFill="1"/>
    <xf numFmtId="0" fontId="6" fillId="9" borderId="14" xfId="0" applyFont="1" applyFill="1" applyBorder="1"/>
    <xf numFmtId="0" fontId="6" fillId="9" borderId="15" xfId="0" applyFont="1" applyFill="1" applyBorder="1" applyAlignment="1">
      <alignment horizontal="center" vertical="center"/>
    </xf>
    <xf numFmtId="0" fontId="6" fillId="9" borderId="0" xfId="0" applyFont="1" applyFill="1" applyAlignment="1">
      <alignment horizontal="center" vertical="center"/>
    </xf>
    <xf numFmtId="0" fontId="6" fillId="9" borderId="16" xfId="0" applyFont="1" applyFill="1" applyBorder="1" applyAlignment="1">
      <alignment horizontal="center" vertical="center"/>
    </xf>
    <xf numFmtId="0" fontId="6" fillId="9" borderId="17" xfId="0" applyFont="1" applyFill="1" applyBorder="1" applyAlignment="1">
      <alignment horizontal="center" vertical="center"/>
    </xf>
    <xf numFmtId="0" fontId="6" fillId="9" borderId="18" xfId="0" applyFont="1" applyFill="1" applyBorder="1" applyAlignment="1">
      <alignment horizontal="center" vertical="center"/>
    </xf>
    <xf numFmtId="0" fontId="6" fillId="9" borderId="19" xfId="0" applyFont="1" applyFill="1" applyBorder="1" applyAlignment="1">
      <alignment horizontal="center" vertical="center"/>
    </xf>
    <xf numFmtId="0" fontId="6" fillId="9" borderId="11" xfId="0" applyFont="1" applyFill="1" applyBorder="1" applyAlignment="1"/>
    <xf numFmtId="0" fontId="6" fillId="9" borderId="12" xfId="0" applyFont="1" applyFill="1" applyBorder="1" applyAlignment="1"/>
    <xf numFmtId="0" fontId="6" fillId="9" borderId="13" xfId="0" applyFont="1" applyFill="1" applyBorder="1" applyAlignment="1"/>
    <xf numFmtId="0" fontId="0" fillId="0" borderId="12" xfId="0" applyNumberFormat="1" applyBorder="1" applyAlignment="1">
      <alignment horizontal="center"/>
    </xf>
    <xf numFmtId="0" fontId="0" fillId="0" borderId="13" xfId="0" applyNumberFormat="1" applyBorder="1" applyAlignment="1">
      <alignment horizontal="center"/>
    </xf>
    <xf numFmtId="0" fontId="0" fillId="0" borderId="11" xfId="0" applyNumberFormat="1" applyBorder="1" applyAlignment="1">
      <alignment horizontal="center"/>
    </xf>
    <xf numFmtId="0" fontId="0" fillId="0" borderId="12" xfId="0" applyNumberFormat="1" applyBorder="1"/>
    <xf numFmtId="0" fontId="0" fillId="0" borderId="13" xfId="0" applyNumberFormat="1" applyBorder="1"/>
    <xf numFmtId="0" fontId="0" fillId="0" borderId="0" xfId="0" applyNumberFormat="1" applyAlignment="1">
      <alignment horizontal="center"/>
    </xf>
    <xf numFmtId="0" fontId="0" fillId="0" borderId="16" xfId="0" applyNumberFormat="1" applyBorder="1" applyAlignment="1">
      <alignment horizontal="center"/>
    </xf>
    <xf numFmtId="0" fontId="0" fillId="0" borderId="15" xfId="0" applyNumberFormat="1" applyBorder="1" applyAlignment="1">
      <alignment horizontal="center"/>
    </xf>
    <xf numFmtId="0" fontId="0" fillId="0" borderId="0" xfId="0" applyNumberFormat="1"/>
    <xf numFmtId="0" fontId="0" fillId="0" borderId="16" xfId="0" applyNumberFormat="1" applyBorder="1"/>
    <xf numFmtId="0" fontId="0" fillId="0" borderId="18" xfId="0" applyNumberFormat="1" applyBorder="1" applyAlignment="1">
      <alignment horizontal="center"/>
    </xf>
    <xf numFmtId="0" fontId="0" fillId="0" borderId="19" xfId="0" applyNumberFormat="1" applyBorder="1" applyAlignment="1">
      <alignment horizontal="center"/>
    </xf>
    <xf numFmtId="0" fontId="0" fillId="0" borderId="17" xfId="0" applyNumberFormat="1" applyBorder="1" applyAlignment="1">
      <alignment horizontal="center"/>
    </xf>
    <xf numFmtId="0" fontId="0" fillId="0" borderId="18" xfId="0" applyNumberFormat="1" applyBorder="1"/>
    <xf numFmtId="0" fontId="0" fillId="0" borderId="19" xfId="0" applyNumberFormat="1" applyBorder="1"/>
    <xf numFmtId="0" fontId="6" fillId="0" borderId="0" xfId="0" applyFont="1"/>
    <xf numFmtId="9" fontId="0" fillId="0" borderId="0" xfId="2" applyFont="1"/>
    <xf numFmtId="2" fontId="0" fillId="0" borderId="0" xfId="0" applyNumberFormat="1"/>
    <xf numFmtId="0" fontId="0" fillId="0" borderId="11" xfId="0" applyBorder="1"/>
    <xf numFmtId="0" fontId="0" fillId="0" borderId="10" xfId="0" applyBorder="1"/>
    <xf numFmtId="166" fontId="0" fillId="0" borderId="11" xfId="0" applyNumberFormat="1" applyBorder="1" applyAlignment="1">
      <alignment horizontal="center"/>
    </xf>
    <xf numFmtId="167" fontId="0" fillId="10" borderId="11" xfId="0" applyNumberFormat="1" applyFill="1" applyBorder="1"/>
    <xf numFmtId="167" fontId="0" fillId="10" borderId="12" xfId="0" applyNumberFormat="1" applyFill="1" applyBorder="1"/>
    <xf numFmtId="0" fontId="0" fillId="0" borderId="14" xfId="0" applyBorder="1"/>
    <xf numFmtId="167" fontId="0" fillId="10" borderId="15" xfId="0" applyNumberFormat="1" applyFill="1" applyBorder="1"/>
    <xf numFmtId="167" fontId="0" fillId="10" borderId="0" xfId="0" applyNumberFormat="1" applyFill="1"/>
    <xf numFmtId="167" fontId="0" fillId="7" borderId="15" xfId="0" applyNumberFormat="1" applyFill="1" applyBorder="1"/>
    <xf numFmtId="167" fontId="0" fillId="11" borderId="0" xfId="0" applyNumberFormat="1" applyFill="1"/>
    <xf numFmtId="167" fontId="0" fillId="7" borderId="0" xfId="0" applyNumberFormat="1" applyFill="1"/>
    <xf numFmtId="0" fontId="0" fillId="0" borderId="20" xfId="0" applyBorder="1"/>
    <xf numFmtId="0" fontId="0" fillId="0" borderId="21" xfId="0" applyBorder="1"/>
    <xf numFmtId="166" fontId="0" fillId="0" borderId="22" xfId="0" applyNumberFormat="1" applyBorder="1" applyAlignment="1">
      <alignment horizontal="center"/>
    </xf>
    <xf numFmtId="167" fontId="0" fillId="7" borderId="20" xfId="0" applyNumberFormat="1" applyFill="1" applyBorder="1"/>
    <xf numFmtId="167" fontId="0" fillId="7" borderId="18" xfId="0" applyNumberFormat="1" applyFill="1" applyBorder="1"/>
    <xf numFmtId="0" fontId="6" fillId="7" borderId="0" xfId="0" applyFont="1" applyFill="1"/>
    <xf numFmtId="0" fontId="0" fillId="0" borderId="23" xfId="0" applyBorder="1"/>
    <xf numFmtId="0" fontId="6" fillId="7" borderId="24" xfId="0" applyFont="1" applyFill="1" applyBorder="1" applyAlignment="1">
      <alignment wrapText="1"/>
    </xf>
    <xf numFmtId="0" fontId="6" fillId="7" borderId="25" xfId="0" applyFont="1" applyFill="1" applyBorder="1" applyAlignment="1">
      <alignment wrapText="1"/>
    </xf>
    <xf numFmtId="0" fontId="0" fillId="0" borderId="26" xfId="0" applyBorder="1"/>
    <xf numFmtId="168" fontId="0" fillId="0" borderId="1" xfId="1" applyNumberFormat="1" applyFont="1" applyBorder="1"/>
    <xf numFmtId="169" fontId="0" fillId="0" borderId="27" xfId="0" applyNumberFormat="1" applyBorder="1"/>
    <xf numFmtId="0" fontId="0" fillId="0" borderId="28" xfId="0" applyBorder="1"/>
    <xf numFmtId="170" fontId="0" fillId="0" borderId="29" xfId="0" applyNumberFormat="1" applyBorder="1"/>
    <xf numFmtId="170" fontId="0" fillId="0" borderId="30" xfId="0" applyNumberFormat="1" applyBorder="1"/>
    <xf numFmtId="0" fontId="0" fillId="0" borderId="1" xfId="0" quotePrefix="1" applyBorder="1"/>
    <xf numFmtId="0" fontId="0" fillId="7" borderId="1" xfId="0" applyFill="1" applyBorder="1"/>
    <xf numFmtId="165" fontId="0" fillId="7" borderId="1" xfId="0" applyNumberFormat="1" applyFill="1" applyBorder="1"/>
    <xf numFmtId="20" fontId="0" fillId="0" borderId="1" xfId="0" applyNumberFormat="1" applyBorder="1"/>
    <xf numFmtId="171" fontId="0" fillId="0" borderId="1" xfId="0" applyNumberFormat="1" applyBorder="1"/>
    <xf numFmtId="171" fontId="0" fillId="0" borderId="1" xfId="0" quotePrefix="1" applyNumberFormat="1" applyBorder="1"/>
    <xf numFmtId="167" fontId="0" fillId="0" borderId="11" xfId="0" applyNumberFormat="1" applyFill="1" applyBorder="1"/>
    <xf numFmtId="167" fontId="0" fillId="0" borderId="13" xfId="0" applyNumberFormat="1" applyFill="1" applyBorder="1"/>
    <xf numFmtId="167" fontId="0" fillId="0" borderId="15" xfId="0" applyNumberFormat="1" applyFill="1" applyBorder="1"/>
    <xf numFmtId="167" fontId="0" fillId="0" borderId="16" xfId="0" applyNumberFormat="1" applyFill="1" applyBorder="1"/>
    <xf numFmtId="167" fontId="0" fillId="0" borderId="19" xfId="0" applyNumberFormat="1" applyFill="1" applyBorder="1"/>
    <xf numFmtId="0" fontId="0" fillId="0" borderId="0" xfId="0" applyFill="1"/>
    <xf numFmtId="0" fontId="6" fillId="8" borderId="31" xfId="0" applyFont="1" applyFill="1" applyBorder="1" applyAlignment="1">
      <alignment horizontal="center" vertical="center"/>
    </xf>
    <xf numFmtId="0" fontId="6" fillId="8" borderId="32" xfId="0" applyFont="1" applyFill="1" applyBorder="1" applyAlignment="1">
      <alignment horizontal="center" vertical="center"/>
    </xf>
    <xf numFmtId="167" fontId="0" fillId="0" borderId="17" xfId="0" applyNumberFormat="1" applyFill="1"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xf numFmtId="0" fontId="0" fillId="0" borderId="10"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14" xfId="0" applyBorder="1" applyAlignment="1">
      <alignment horizontal="center"/>
    </xf>
    <xf numFmtId="14" fontId="0" fillId="0" borderId="14" xfId="0" applyNumberFormat="1" applyBorder="1" applyAlignment="1">
      <alignment horizontal="center"/>
    </xf>
    <xf numFmtId="49" fontId="0" fillId="0" borderId="0" xfId="0" applyNumberFormat="1" applyAlignment="1">
      <alignment horizontal="center"/>
    </xf>
    <xf numFmtId="0" fontId="0" fillId="0" borderId="17" xfId="0" applyBorder="1"/>
    <xf numFmtId="0" fontId="0" fillId="0" borderId="33" xfId="0" applyBorder="1"/>
    <xf numFmtId="0" fontId="0" fillId="0" borderId="17" xfId="0" applyBorder="1" applyAlignment="1">
      <alignment horizontal="center"/>
    </xf>
    <xf numFmtId="0" fontId="0" fillId="0" borderId="18" xfId="0" applyBorder="1" applyAlignment="1">
      <alignment horizontal="center"/>
    </xf>
    <xf numFmtId="0" fontId="0" fillId="0" borderId="19" xfId="0" applyBorder="1"/>
    <xf numFmtId="0" fontId="0" fillId="0" borderId="33" xfId="0" applyBorder="1" applyAlignment="1">
      <alignment horizontal="center"/>
    </xf>
    <xf numFmtId="0" fontId="0" fillId="0" borderId="1" xfId="0" applyBorder="1" applyAlignment="1">
      <alignment horizontal="center"/>
    </xf>
    <xf numFmtId="165" fontId="0" fillId="0" borderId="1" xfId="0" applyNumberFormat="1" applyBorder="1"/>
    <xf numFmtId="0" fontId="0" fillId="0" borderId="0" xfId="0" applyAlignment="1">
      <alignment horizontal="left"/>
    </xf>
    <xf numFmtId="0" fontId="0" fillId="0" borderId="0" xfId="0" quotePrefix="1" applyAlignment="1">
      <alignment horizontal="left"/>
    </xf>
    <xf numFmtId="0" fontId="0" fillId="0" borderId="18" xfId="0" quotePrefix="1" applyBorder="1" applyAlignment="1">
      <alignment horizontal="center"/>
    </xf>
    <xf numFmtId="0" fontId="0" fillId="0" borderId="12" xfId="0" applyBorder="1"/>
    <xf numFmtId="0" fontId="0" fillId="0" borderId="13"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0" xfId="0" applyAlignment="1">
      <alignment horizontal="left" vertical="center"/>
    </xf>
    <xf numFmtId="0" fontId="8" fillId="0" borderId="0" xfId="0" applyFont="1" applyAlignment="1"/>
    <xf numFmtId="0" fontId="10" fillId="3" borderId="0" xfId="0" applyFont="1" applyFill="1"/>
    <xf numFmtId="0" fontId="9" fillId="0" borderId="0" xfId="0" applyFont="1"/>
    <xf numFmtId="0" fontId="11" fillId="0" borderId="0" xfId="0" applyFont="1"/>
    <xf numFmtId="43" fontId="0" fillId="0" borderId="0" xfId="1" applyFont="1"/>
    <xf numFmtId="43" fontId="0" fillId="3" borderId="34" xfId="1" applyFont="1" applyFill="1" applyBorder="1"/>
    <xf numFmtId="0" fontId="0" fillId="3" borderId="34" xfId="0" applyFill="1" applyBorder="1"/>
    <xf numFmtId="0" fontId="13" fillId="0" borderId="0" xfId="0" applyFont="1" applyFill="1"/>
    <xf numFmtId="0" fontId="12" fillId="0" borderId="0" xfId="0" applyFont="1" applyFill="1"/>
    <xf numFmtId="0" fontId="14" fillId="0" borderId="0" xfId="0" applyFont="1" applyFill="1"/>
    <xf numFmtId="0" fontId="14" fillId="0" borderId="0" xfId="1" applyNumberFormat="1" applyFont="1" applyFill="1"/>
    <xf numFmtId="0" fontId="14" fillId="0" borderId="0" xfId="0" applyNumberFormat="1" applyFont="1" applyFill="1"/>
    <xf numFmtId="0" fontId="14" fillId="0" borderId="0" xfId="1" applyNumberFormat="1" applyFont="1" applyFill="1" applyBorder="1"/>
    <xf numFmtId="0" fontId="14" fillId="0" borderId="0" xfId="0" applyNumberFormat="1" applyFont="1" applyFill="1" applyBorder="1"/>
    <xf numFmtId="0" fontId="12" fillId="0" borderId="0" xfId="0" applyFont="1" applyFill="1" applyAlignment="1"/>
    <xf numFmtId="0" fontId="15" fillId="0" borderId="0" xfId="7"/>
    <xf numFmtId="0" fontId="15" fillId="0" borderId="0" xfId="8">
      <alignment horizontal="center"/>
    </xf>
    <xf numFmtId="0" fontId="17" fillId="0" borderId="0" xfId="9">
      <alignment horizontal="left" indent="1"/>
    </xf>
    <xf numFmtId="0" fontId="0" fillId="14" borderId="0" xfId="0" applyFill="1" applyAlignment="1">
      <alignment horizontal="center"/>
    </xf>
    <xf numFmtId="0" fontId="0" fillId="0" borderId="0" xfId="0" applyAlignment="1">
      <alignment horizontal="right"/>
    </xf>
    <xf numFmtId="0" fontId="16" fillId="15" borderId="0" xfId="0" applyFont="1" applyFill="1" applyAlignment="1">
      <alignment horizontal="center"/>
    </xf>
    <xf numFmtId="0" fontId="6" fillId="0" borderId="0" xfId="10"/>
    <xf numFmtId="172" fontId="7" fillId="7" borderId="1" xfId="11">
      <alignment horizontal="right" indent="1"/>
    </xf>
    <xf numFmtId="172" fontId="7" fillId="16" borderId="1" xfId="11" applyFill="1" applyAlignment="1"/>
    <xf numFmtId="173" fontId="7" fillId="7" borderId="1" xfId="12">
      <alignment horizontal="right" indent="1"/>
    </xf>
    <xf numFmtId="172" fontId="15" fillId="0" borderId="0" xfId="8" applyNumberFormat="1">
      <alignment horizontal="center"/>
    </xf>
    <xf numFmtId="172" fontId="18" fillId="0" borderId="0" xfId="8" applyNumberFormat="1" applyFont="1">
      <alignment horizontal="center"/>
    </xf>
    <xf numFmtId="172" fontId="4" fillId="0" borderId="0" xfId="0" applyNumberFormat="1" applyFont="1"/>
    <xf numFmtId="0" fontId="18" fillId="0" borderId="0" xfId="8" applyFont="1">
      <alignment horizontal="center"/>
    </xf>
    <xf numFmtId="0" fontId="19" fillId="17" borderId="0" xfId="3" applyFont="1" applyFill="1" applyAlignment="1">
      <alignment vertical="center"/>
    </xf>
    <xf numFmtId="0" fontId="0" fillId="17" borderId="0" xfId="0" applyFill="1"/>
    <xf numFmtId="0" fontId="0" fillId="17" borderId="0" xfId="0" applyFill="1" applyAlignment="1">
      <alignment horizontal="center"/>
    </xf>
    <xf numFmtId="0" fontId="6" fillId="18" borderId="0" xfId="6" applyFont="1" applyFill="1"/>
    <xf numFmtId="0" fontId="6" fillId="18" borderId="0" xfId="6" applyFont="1" applyFill="1" applyAlignment="1">
      <alignment horizontal="center"/>
    </xf>
    <xf numFmtId="0" fontId="6" fillId="0" borderId="0" xfId="6" applyFont="1" applyFill="1" applyAlignment="1">
      <alignment horizontal="center"/>
    </xf>
    <xf numFmtId="0" fontId="5" fillId="5" borderId="35" xfId="5" applyBorder="1"/>
    <xf numFmtId="0" fontId="5" fillId="5" borderId="35" xfId="5" applyBorder="1" applyAlignment="1">
      <alignment horizontal="center"/>
    </xf>
    <xf numFmtId="0" fontId="5" fillId="0" borderId="36" xfId="5" applyFill="1" applyBorder="1" applyAlignment="1">
      <alignment horizontal="center"/>
    </xf>
    <xf numFmtId="0" fontId="5" fillId="5" borderId="0" xfId="5" applyBorder="1" applyAlignment="1">
      <alignment horizontal="center"/>
    </xf>
    <xf numFmtId="0" fontId="0" fillId="0" borderId="35" xfId="0" applyBorder="1"/>
    <xf numFmtId="0" fontId="0" fillId="0" borderId="35" xfId="0" applyBorder="1" applyAlignment="1">
      <alignment horizontal="center"/>
    </xf>
    <xf numFmtId="1" fontId="0" fillId="14" borderId="35" xfId="0" applyNumberFormat="1" applyFill="1" applyBorder="1" applyAlignment="1">
      <alignment horizontal="center"/>
    </xf>
    <xf numFmtId="0" fontId="5" fillId="0" borderId="0" xfId="5" applyFill="1" applyBorder="1" applyAlignment="1">
      <alignment horizontal="center"/>
    </xf>
    <xf numFmtId="0" fontId="6" fillId="0" borderId="35" xfId="0" applyFont="1" applyBorder="1"/>
    <xf numFmtId="1" fontId="6" fillId="0" borderId="35" xfId="0" applyNumberFormat="1" applyFont="1" applyBorder="1" applyAlignment="1">
      <alignment horizontal="center"/>
    </xf>
    <xf numFmtId="1" fontId="5" fillId="5" borderId="0" xfId="5" applyNumberFormat="1" applyBorder="1" applyAlignment="1">
      <alignment horizontal="center"/>
    </xf>
    <xf numFmtId="0" fontId="21" fillId="0" borderId="0" xfId="0" applyFont="1" applyAlignment="1">
      <alignment horizontal="center"/>
    </xf>
    <xf numFmtId="0" fontId="2" fillId="18" borderId="0" xfId="6" applyFill="1"/>
    <xf numFmtId="0" fontId="22" fillId="18" borderId="0" xfId="6" applyFont="1" applyFill="1" applyAlignment="1">
      <alignment horizontal="center" vertical="center"/>
    </xf>
    <xf numFmtId="0" fontId="6" fillId="18" borderId="0" xfId="6" applyFont="1" applyFill="1" applyAlignment="1">
      <alignment horizontal="right"/>
    </xf>
    <xf numFmtId="0" fontId="6" fillId="18" borderId="0" xfId="0" applyFont="1" applyFill="1"/>
    <xf numFmtId="0" fontId="0" fillId="18" borderId="0" xfId="0" applyFill="1"/>
    <xf numFmtId="0" fontId="21" fillId="18" borderId="0" xfId="0" applyFont="1" applyFill="1" applyAlignment="1">
      <alignment horizontal="center" vertical="top"/>
    </xf>
    <xf numFmtId="2" fontId="0" fillId="0" borderId="35" xfId="0" applyNumberFormat="1" applyBorder="1" applyAlignment="1">
      <alignment horizontal="center"/>
    </xf>
    <xf numFmtId="2" fontId="0" fillId="14" borderId="35" xfId="0" applyNumberFormat="1" applyFill="1" applyBorder="1" applyAlignment="1">
      <alignment horizontal="center"/>
    </xf>
    <xf numFmtId="0" fontId="23" fillId="18" borderId="0" xfId="0" applyFont="1" applyFill="1"/>
    <xf numFmtId="169" fontId="0" fillId="0" borderId="35" xfId="0" applyNumberFormat="1" applyBorder="1" applyAlignment="1">
      <alignment horizontal="center"/>
    </xf>
    <xf numFmtId="2" fontId="6" fillId="0" borderId="35" xfId="0" applyNumberFormat="1" applyFont="1" applyBorder="1" applyAlignment="1">
      <alignment horizontal="center"/>
    </xf>
    <xf numFmtId="2" fontId="5" fillId="5" borderId="0" xfId="5" applyNumberFormat="1" applyBorder="1" applyAlignment="1">
      <alignment horizontal="center"/>
    </xf>
    <xf numFmtId="1" fontId="24" fillId="0" borderId="0" xfId="0" applyNumberFormat="1" applyFont="1"/>
    <xf numFmtId="0" fontId="24" fillId="0" borderId="0" xfId="0" applyFont="1"/>
    <xf numFmtId="9" fontId="24" fillId="0" borderId="0" xfId="2" applyFont="1"/>
    <xf numFmtId="0" fontId="2" fillId="18" borderId="0" xfId="6" applyFill="1" applyAlignment="1">
      <alignment horizontal="center"/>
    </xf>
    <xf numFmtId="9" fontId="0" fillId="0" borderId="35" xfId="2" applyFont="1" applyBorder="1" applyAlignment="1">
      <alignment horizontal="center"/>
    </xf>
    <xf numFmtId="9" fontId="0" fillId="14" borderId="35" xfId="2" applyFont="1" applyFill="1" applyBorder="1" applyAlignment="1">
      <alignment horizontal="center"/>
    </xf>
    <xf numFmtId="173" fontId="25" fillId="14" borderId="37" xfId="2" applyNumberFormat="1" applyFont="1" applyFill="1" applyBorder="1" applyAlignment="1">
      <alignment horizontal="center" vertical="center" wrapText="1"/>
    </xf>
    <xf numFmtId="9" fontId="0" fillId="14" borderId="0" xfId="2" applyFont="1" applyFill="1"/>
    <xf numFmtId="9" fontId="25" fillId="14" borderId="37" xfId="2" applyFont="1" applyFill="1" applyBorder="1" applyAlignment="1">
      <alignment horizontal="center" vertical="center" wrapText="1"/>
    </xf>
    <xf numFmtId="9" fontId="25" fillId="14" borderId="35" xfId="2" applyFont="1" applyFill="1" applyBorder="1" applyAlignment="1">
      <alignment horizontal="center" vertical="center" wrapText="1"/>
    </xf>
    <xf numFmtId="9" fontId="0" fillId="0" borderId="0" xfId="2" applyFont="1" applyAlignment="1">
      <alignment horizontal="center"/>
    </xf>
    <xf numFmtId="0" fontId="26" fillId="0" borderId="0" xfId="0" applyFont="1"/>
    <xf numFmtId="0" fontId="27" fillId="0" borderId="0" xfId="0" applyFont="1"/>
    <xf numFmtId="0" fontId="28" fillId="0" borderId="0" xfId="0" applyFont="1" applyAlignment="1">
      <alignment horizontal="center"/>
    </xf>
    <xf numFmtId="0" fontId="20" fillId="9" borderId="0" xfId="0" applyFont="1" applyFill="1"/>
    <xf numFmtId="1" fontId="21" fillId="18" borderId="0" xfId="0" applyNumberFormat="1" applyFont="1" applyFill="1" applyAlignment="1">
      <alignment horizontal="center" vertical="top"/>
    </xf>
    <xf numFmtId="9" fontId="21" fillId="18" borderId="0" xfId="0" applyNumberFormat="1" applyFont="1" applyFill="1" applyAlignment="1">
      <alignment horizontal="center" vertical="top"/>
    </xf>
    <xf numFmtId="0" fontId="27" fillId="18" borderId="0" xfId="0" applyFont="1" applyFill="1"/>
    <xf numFmtId="1" fontId="28" fillId="0" borderId="0" xfId="0" applyNumberFormat="1" applyFont="1"/>
    <xf numFmtId="0" fontId="28" fillId="0" borderId="0" xfId="0" applyFont="1"/>
    <xf numFmtId="9" fontId="28" fillId="0" borderId="0" xfId="2" applyFont="1"/>
    <xf numFmtId="174" fontId="29" fillId="14" borderId="37" xfId="2" applyNumberFormat="1" applyFont="1" applyFill="1" applyBorder="1" applyAlignment="1">
      <alignment horizontal="right" vertical="center" wrapText="1"/>
    </xf>
    <xf numFmtId="0" fontId="30" fillId="0" borderId="18" xfId="0" applyFont="1" applyBorder="1" applyAlignment="1">
      <alignment horizontal="left"/>
    </xf>
    <xf numFmtId="0" fontId="0" fillId="0" borderId="0" xfId="0" applyAlignment="1">
      <alignment horizontal="right" vertical="top"/>
    </xf>
    <xf numFmtId="14" fontId="0" fillId="0" borderId="0" xfId="0" applyNumberFormat="1"/>
    <xf numFmtId="0" fontId="4" fillId="0" borderId="0" xfId="0" applyFont="1"/>
    <xf numFmtId="0" fontId="4" fillId="19" borderId="1" xfId="0" applyFont="1" applyFill="1" applyBorder="1"/>
    <xf numFmtId="0" fontId="31" fillId="19" borderId="1" xfId="0" applyFont="1" applyFill="1" applyBorder="1" applyAlignment="1">
      <alignment wrapText="1"/>
    </xf>
    <xf numFmtId="0" fontId="0" fillId="0" borderId="1" xfId="0" applyBorder="1" applyAlignment="1">
      <alignment wrapText="1"/>
    </xf>
    <xf numFmtId="3" fontId="0" fillId="0" borderId="0" xfId="0" applyNumberFormat="1" applyAlignment="1">
      <alignment horizontal="left"/>
    </xf>
    <xf numFmtId="3" fontId="0" fillId="0" borderId="0" xfId="0" applyNumberFormat="1"/>
    <xf numFmtId="0" fontId="32" fillId="11" borderId="38" xfId="3" applyFont="1" applyFill="1" applyBorder="1" applyAlignment="1"/>
    <xf numFmtId="0" fontId="3" fillId="11" borderId="38" xfId="3" applyFill="1" applyBorder="1" applyAlignment="1"/>
    <xf numFmtId="0" fontId="33" fillId="11" borderId="38" xfId="0" applyFont="1" applyFill="1" applyBorder="1"/>
    <xf numFmtId="0" fontId="34" fillId="11" borderId="0" xfId="4" applyFont="1" applyFill="1" applyAlignment="1">
      <alignment horizontal="left"/>
    </xf>
    <xf numFmtId="0" fontId="34" fillId="11" borderId="0" xfId="4" applyFont="1" applyFill="1" applyAlignment="1">
      <alignment horizontal="center" wrapText="1"/>
    </xf>
    <xf numFmtId="0" fontId="34" fillId="11" borderId="0" xfId="4" applyFont="1" applyFill="1" applyAlignment="1">
      <alignment horizontal="center"/>
    </xf>
    <xf numFmtId="0" fontId="33" fillId="11" borderId="0" xfId="0" applyFont="1" applyFill="1" applyAlignment="1">
      <alignment horizontal="left"/>
    </xf>
    <xf numFmtId="0" fontId="19" fillId="20" borderId="0" xfId="3" applyFont="1" applyFill="1" applyAlignment="1">
      <alignment vertical="center"/>
    </xf>
    <xf numFmtId="0" fontId="0" fillId="20" borderId="0" xfId="0" applyFill="1"/>
    <xf numFmtId="0" fontId="0" fillId="20" borderId="0" xfId="0" applyFill="1" applyAlignment="1">
      <alignment horizontal="center"/>
    </xf>
    <xf numFmtId="0" fontId="5" fillId="20" borderId="35" xfId="5" applyFill="1" applyBorder="1"/>
    <xf numFmtId="0" fontId="5" fillId="20" borderId="35" xfId="5" applyFill="1" applyBorder="1" applyAlignment="1">
      <alignment horizontal="center"/>
    </xf>
    <xf numFmtId="0" fontId="5" fillId="20" borderId="0" xfId="5" applyFill="1" applyBorder="1" applyAlignment="1">
      <alignment horizontal="center"/>
    </xf>
    <xf numFmtId="1" fontId="5" fillId="20" borderId="0" xfId="5" applyNumberFormat="1" applyFill="1" applyBorder="1" applyAlignment="1">
      <alignment horizontal="center"/>
    </xf>
    <xf numFmtId="2" fontId="5" fillId="20" borderId="0" xfId="5" applyNumberFormat="1" applyFill="1" applyBorder="1" applyAlignment="1">
      <alignment horizontal="center"/>
    </xf>
    <xf numFmtId="0" fontId="6" fillId="11" borderId="1" xfId="0" applyFont="1" applyFill="1" applyBorder="1"/>
    <xf numFmtId="0" fontId="6" fillId="21" borderId="1" xfId="0" applyFont="1" applyFill="1" applyBorder="1"/>
    <xf numFmtId="0" fontId="6" fillId="3" borderId="11" xfId="0" applyFont="1" applyFill="1" applyBorder="1" applyAlignment="1">
      <alignment horizontal="center"/>
    </xf>
    <xf numFmtId="0" fontId="6" fillId="3" borderId="12" xfId="0" applyFont="1" applyFill="1" applyBorder="1" applyAlignment="1">
      <alignment horizontal="center"/>
    </xf>
    <xf numFmtId="0" fontId="6" fillId="3" borderId="13" xfId="0" applyFont="1" applyFill="1" applyBorder="1" applyAlignment="1">
      <alignment horizontal="center"/>
    </xf>
    <xf numFmtId="0" fontId="6" fillId="7" borderId="11" xfId="0" applyFont="1" applyFill="1" applyBorder="1" applyAlignment="1">
      <alignment horizontal="center"/>
    </xf>
    <xf numFmtId="0" fontId="6" fillId="7" borderId="12" xfId="0" applyFont="1" applyFill="1" applyBorder="1" applyAlignment="1">
      <alignment horizontal="center"/>
    </xf>
    <xf numFmtId="0" fontId="6" fillId="7" borderId="13" xfId="0" applyFont="1" applyFill="1" applyBorder="1" applyAlignment="1">
      <alignment horizontal="center"/>
    </xf>
    <xf numFmtId="0" fontId="0" fillId="0" borderId="11" xfId="0" applyBorder="1" applyAlignment="1">
      <alignment horizontal="left" vertical="center"/>
    </xf>
    <xf numFmtId="0" fontId="0" fillId="0" borderId="15" xfId="0" applyBorder="1" applyAlignment="1">
      <alignment horizontal="left" vertical="center"/>
    </xf>
    <xf numFmtId="0" fontId="0" fillId="0" borderId="17" xfId="0" applyBorder="1" applyAlignment="1">
      <alignment horizontal="left" vertical="center"/>
    </xf>
    <xf numFmtId="0" fontId="8" fillId="0" borderId="0" xfId="0" applyFont="1" applyAlignment="1">
      <alignment horizontal="left"/>
    </xf>
    <xf numFmtId="0" fontId="8" fillId="0" borderId="0" xfId="0" applyFont="1" applyAlignment="1">
      <alignment horizontal="center"/>
    </xf>
    <xf numFmtId="0" fontId="9" fillId="12" borderId="0" xfId="0" applyFont="1" applyFill="1" applyAlignment="1">
      <alignment horizontal="center"/>
    </xf>
    <xf numFmtId="0" fontId="16" fillId="13" borderId="6" xfId="0" applyFont="1" applyFill="1" applyBorder="1" applyAlignment="1">
      <alignment horizontal="center"/>
    </xf>
    <xf numFmtId="0" fontId="16" fillId="13" borderId="34" xfId="0" applyFont="1" applyFill="1" applyBorder="1" applyAlignment="1">
      <alignment horizontal="center"/>
    </xf>
    <xf numFmtId="0" fontId="16" fillId="13" borderId="5" xfId="0" applyFont="1" applyFill="1" applyBorder="1" applyAlignment="1">
      <alignment horizontal="center"/>
    </xf>
    <xf numFmtId="0" fontId="0" fillId="0" borderId="0" xfId="0" applyAlignment="1">
      <alignment horizontal="left" vertical="top" wrapText="1"/>
    </xf>
    <xf numFmtId="0" fontId="6" fillId="18" borderId="0" xfId="6" applyFont="1" applyFill="1" applyAlignment="1">
      <alignment horizontal="center"/>
    </xf>
  </cellXfs>
  <cellStyles count="13">
    <cellStyle name="20% - Accent3" xfId="6" builtinId="38"/>
    <cellStyle name="Accent1" xfId="4" builtinId="29"/>
    <cellStyle name="Accent3" xfId="5" builtinId="37"/>
    <cellStyle name="Comma" xfId="1" builtinId="3"/>
    <cellStyle name="InputMoney" xfId="11" xr:uid="{263C7FDB-01F3-424F-BDFC-B14373D2D76B}"/>
    <cellStyle name="InputPercent" xfId="12" xr:uid="{9C863E34-A9D2-4E1E-9541-27E828914434}"/>
    <cellStyle name="LineItem" xfId="7" xr:uid="{FE93124C-A93D-43C1-A3A3-3D3D1A2768FB}"/>
    <cellStyle name="LineTitle" xfId="10" xr:uid="{620ECE01-2214-43D2-B821-B8F8149B9965}"/>
    <cellStyle name="Normal" xfId="0" builtinId="0"/>
    <cellStyle name="Percent" xfId="2" builtinId="5"/>
    <cellStyle name="RangeName" xfId="9" xr:uid="{E686C595-7C15-4CB1-9F9C-DD3F487B25F7}"/>
    <cellStyle name="Title" xfId="3" builtinId="15"/>
    <cellStyle name="Units" xfId="8" xr:uid="{800580AE-B3BA-4BAD-8B3C-45B9D2BE7CC7}"/>
  </cellStyles>
  <dxfs count="13">
    <dxf>
      <font>
        <color theme="9"/>
      </font>
      <fill>
        <patternFill>
          <bgColor theme="9"/>
        </patternFill>
      </fill>
    </dxf>
    <dxf>
      <font>
        <color theme="0"/>
      </font>
      <fill>
        <patternFill>
          <bgColor theme="9" tint="0.59996337778862885"/>
        </patternFill>
      </fill>
    </dxf>
    <dxf>
      <font>
        <color theme="0"/>
      </font>
      <fill>
        <patternFill>
          <bgColor theme="5" tint="0.39994506668294322"/>
        </patternFill>
      </fill>
    </dxf>
    <dxf>
      <font>
        <color rgb="FF9C0006"/>
      </font>
      <fill>
        <patternFill>
          <bgColor rgb="FFFFC7CE"/>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dd\ mmmm"/>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4"/>
        <name val="Aptos Narrow"/>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DC4CA970-7C86-4509-8FED-DD05CBAB604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Πωλήσεις</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barChart>
        <c:barDir val="col"/>
        <c:grouping val="stacked"/>
        <c:varyColors val="0"/>
        <c:ser>
          <c:idx val="0"/>
          <c:order val="0"/>
          <c:tx>
            <c:v>Κινητά Τηλέφωνα</c:v>
          </c:tx>
          <c:spPr>
            <a:solidFill>
              <a:schemeClr val="accent1"/>
            </a:solidFill>
            <a:ln>
              <a:noFill/>
            </a:ln>
            <a:effectLst/>
          </c:spPr>
          <c:invertIfNegative val="0"/>
          <c:cat>
            <c:numLit>
              <c:formatCode>General</c:formatCode>
              <c:ptCount val="9"/>
              <c:pt idx="0">
                <c:v>2014</c:v>
              </c:pt>
              <c:pt idx="1">
                <c:v>2015</c:v>
              </c:pt>
              <c:pt idx="2">
                <c:v>2016</c:v>
              </c:pt>
              <c:pt idx="3">
                <c:v>2017</c:v>
              </c:pt>
              <c:pt idx="4">
                <c:v>2018</c:v>
              </c:pt>
              <c:pt idx="5">
                <c:v>2019</c:v>
              </c:pt>
              <c:pt idx="6">
                <c:v>2020</c:v>
              </c:pt>
              <c:pt idx="7">
                <c:v>2021</c:v>
              </c:pt>
              <c:pt idx="8">
                <c:v>2022</c:v>
              </c:pt>
            </c:numLit>
          </c:cat>
          <c:val>
            <c:numLit>
              <c:formatCode>General</c:formatCode>
              <c:ptCount val="9"/>
              <c:pt idx="0">
                <c:v>647521</c:v>
              </c:pt>
              <c:pt idx="1">
                <c:v>1024913</c:v>
              </c:pt>
              <c:pt idx="2">
                <c:v>2461201</c:v>
              </c:pt>
              <c:pt idx="3">
                <c:v>4968977</c:v>
              </c:pt>
              <c:pt idx="4">
                <c:v>8631377</c:v>
              </c:pt>
              <c:pt idx="5">
                <c:v>8294289</c:v>
              </c:pt>
              <c:pt idx="6">
                <c:v>9741569</c:v>
              </c:pt>
              <c:pt idx="7">
                <c:v>11097249</c:v>
              </c:pt>
              <c:pt idx="8">
                <c:v>12484332</c:v>
              </c:pt>
            </c:numLit>
          </c:val>
          <c:extLst>
            <c:ext xmlns:c16="http://schemas.microsoft.com/office/drawing/2014/chart" uri="{C3380CC4-5D6E-409C-BE32-E72D297353CC}">
              <c16:uniqueId val="{00000000-42B3-4427-B09E-FB2616A994CB}"/>
            </c:ext>
          </c:extLst>
        </c:ser>
        <c:ser>
          <c:idx val="1"/>
          <c:order val="1"/>
          <c:tx>
            <c:v>Φορητοί Υπολογιστές</c:v>
          </c:tx>
          <c:spPr>
            <a:solidFill>
              <a:schemeClr val="accent2"/>
            </a:solidFill>
            <a:ln>
              <a:noFill/>
            </a:ln>
            <a:effectLst/>
          </c:spPr>
          <c:invertIfNegative val="0"/>
          <c:cat>
            <c:numLit>
              <c:formatCode>General</c:formatCode>
              <c:ptCount val="9"/>
              <c:pt idx="0">
                <c:v>2014</c:v>
              </c:pt>
              <c:pt idx="1">
                <c:v>2015</c:v>
              </c:pt>
              <c:pt idx="2">
                <c:v>2016</c:v>
              </c:pt>
              <c:pt idx="3">
                <c:v>2017</c:v>
              </c:pt>
              <c:pt idx="4">
                <c:v>2018</c:v>
              </c:pt>
              <c:pt idx="5">
                <c:v>2019</c:v>
              </c:pt>
              <c:pt idx="6">
                <c:v>2020</c:v>
              </c:pt>
              <c:pt idx="7">
                <c:v>2021</c:v>
              </c:pt>
              <c:pt idx="8">
                <c:v>2022</c:v>
              </c:pt>
            </c:numLit>
          </c:cat>
          <c:val>
            <c:numLit>
              <c:formatCode>General</c:formatCode>
              <c:ptCount val="9"/>
              <c:pt idx="0">
                <c:v>3292929</c:v>
              </c:pt>
              <c:pt idx="1">
                <c:v>3479793</c:v>
              </c:pt>
              <c:pt idx="2">
                <c:v>4641281</c:v>
              </c:pt>
              <c:pt idx="3">
                <c:v>5150577</c:v>
              </c:pt>
              <c:pt idx="4">
                <c:v>6279089</c:v>
              </c:pt>
              <c:pt idx="5">
                <c:v>8415201</c:v>
              </c:pt>
              <c:pt idx="6">
                <c:v>8671681</c:v>
              </c:pt>
              <c:pt idx="7">
                <c:v>12383313</c:v>
              </c:pt>
              <c:pt idx="8">
                <c:v>14419422</c:v>
              </c:pt>
            </c:numLit>
          </c:val>
          <c:extLst>
            <c:ext xmlns:c16="http://schemas.microsoft.com/office/drawing/2014/chart" uri="{C3380CC4-5D6E-409C-BE32-E72D297353CC}">
              <c16:uniqueId val="{00000001-42B3-4427-B09E-FB2616A994CB}"/>
            </c:ext>
          </c:extLst>
        </c:ser>
        <c:ser>
          <c:idx val="2"/>
          <c:order val="2"/>
          <c:tx>
            <c:v>Συσκευές IoT</c:v>
          </c:tx>
          <c:spPr>
            <a:solidFill>
              <a:schemeClr val="accent3"/>
            </a:solidFill>
            <a:ln>
              <a:noFill/>
            </a:ln>
            <a:effectLst/>
          </c:spPr>
          <c:invertIfNegative val="0"/>
          <c:cat>
            <c:numLit>
              <c:formatCode>General</c:formatCode>
              <c:ptCount val="9"/>
              <c:pt idx="0">
                <c:v>2014</c:v>
              </c:pt>
              <c:pt idx="1">
                <c:v>2015</c:v>
              </c:pt>
              <c:pt idx="2">
                <c:v>2016</c:v>
              </c:pt>
              <c:pt idx="3">
                <c:v>2017</c:v>
              </c:pt>
              <c:pt idx="4">
                <c:v>2018</c:v>
              </c:pt>
              <c:pt idx="5">
                <c:v>2019</c:v>
              </c:pt>
              <c:pt idx="6">
                <c:v>2020</c:v>
              </c:pt>
              <c:pt idx="7">
                <c:v>2021</c:v>
              </c:pt>
              <c:pt idx="8">
                <c:v>2022</c:v>
              </c:pt>
            </c:numLit>
          </c:cat>
          <c:val>
            <c:numLit>
              <c:formatCode>General</c:formatCode>
              <c:ptCount val="9"/>
              <c:pt idx="0">
                <c:v>9340</c:v>
              </c:pt>
              <c:pt idx="1">
                <c:v>13004</c:v>
              </c:pt>
              <c:pt idx="2">
                <c:v>221852</c:v>
              </c:pt>
              <c:pt idx="3">
                <c:v>449020</c:v>
              </c:pt>
              <c:pt idx="4">
                <c:v>745804</c:v>
              </c:pt>
              <c:pt idx="5">
                <c:v>654204</c:v>
              </c:pt>
              <c:pt idx="6">
                <c:v>881372</c:v>
              </c:pt>
              <c:pt idx="7">
                <c:v>1610508</c:v>
              </c:pt>
              <c:pt idx="8">
                <c:v>1695282</c:v>
              </c:pt>
            </c:numLit>
          </c:val>
          <c:extLst>
            <c:ext xmlns:c16="http://schemas.microsoft.com/office/drawing/2014/chart" uri="{C3380CC4-5D6E-409C-BE32-E72D297353CC}">
              <c16:uniqueId val="{00000002-42B3-4427-B09E-FB2616A994CB}"/>
            </c:ext>
          </c:extLst>
        </c:ser>
        <c:ser>
          <c:idx val="3"/>
          <c:order val="3"/>
          <c:tx>
            <c:v>Λοιπά</c:v>
          </c:tx>
          <c:spPr>
            <a:solidFill>
              <a:schemeClr val="accent4"/>
            </a:solidFill>
            <a:ln>
              <a:noFill/>
            </a:ln>
            <a:effectLst/>
          </c:spPr>
          <c:invertIfNegative val="0"/>
          <c:cat>
            <c:numLit>
              <c:formatCode>General</c:formatCode>
              <c:ptCount val="9"/>
              <c:pt idx="0">
                <c:v>2014</c:v>
              </c:pt>
              <c:pt idx="1">
                <c:v>2015</c:v>
              </c:pt>
              <c:pt idx="2">
                <c:v>2016</c:v>
              </c:pt>
              <c:pt idx="3">
                <c:v>2017</c:v>
              </c:pt>
              <c:pt idx="4">
                <c:v>2018</c:v>
              </c:pt>
              <c:pt idx="5">
                <c:v>2019</c:v>
              </c:pt>
              <c:pt idx="6">
                <c:v>2020</c:v>
              </c:pt>
              <c:pt idx="7">
                <c:v>2021</c:v>
              </c:pt>
              <c:pt idx="8">
                <c:v>2022</c:v>
              </c:pt>
            </c:numLit>
          </c:cat>
          <c:val>
            <c:numLit>
              <c:formatCode>General</c:formatCode>
              <c:ptCount val="9"/>
              <c:pt idx="0">
                <c:v>24822</c:v>
              </c:pt>
              <c:pt idx="1">
                <c:v>28486</c:v>
              </c:pt>
              <c:pt idx="2">
                <c:v>237334</c:v>
              </c:pt>
              <c:pt idx="3">
                <c:v>464502</c:v>
              </c:pt>
              <c:pt idx="4">
                <c:v>761286</c:v>
              </c:pt>
              <c:pt idx="5">
                <c:v>669686</c:v>
              </c:pt>
              <c:pt idx="6">
                <c:v>896854</c:v>
              </c:pt>
              <c:pt idx="7">
                <c:v>1625990</c:v>
              </c:pt>
              <c:pt idx="8">
                <c:v>1710764</c:v>
              </c:pt>
            </c:numLit>
          </c:val>
          <c:extLst>
            <c:ext xmlns:c16="http://schemas.microsoft.com/office/drawing/2014/chart" uri="{C3380CC4-5D6E-409C-BE32-E72D297353CC}">
              <c16:uniqueId val="{00000003-42B3-4427-B09E-FB2616A994CB}"/>
            </c:ext>
          </c:extLst>
        </c:ser>
        <c:dLbls>
          <c:showLegendKey val="0"/>
          <c:showVal val="0"/>
          <c:showCatName val="0"/>
          <c:showSerName val="0"/>
          <c:showPercent val="0"/>
          <c:showBubbleSize val="0"/>
        </c:dLbls>
        <c:gapWidth val="75"/>
        <c:overlap val="100"/>
        <c:axId val="918140072"/>
        <c:axId val="918137608"/>
      </c:barChart>
      <c:lineChart>
        <c:grouping val="standard"/>
        <c:varyColors val="0"/>
        <c:ser>
          <c:idx val="4"/>
          <c:order val="4"/>
          <c:tx>
            <c:v>% Αύξηση </c:v>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9"/>
              <c:pt idx="0">
                <c:v>2014</c:v>
              </c:pt>
              <c:pt idx="1">
                <c:v>2015</c:v>
              </c:pt>
              <c:pt idx="2">
                <c:v>2016</c:v>
              </c:pt>
              <c:pt idx="3">
                <c:v>2017</c:v>
              </c:pt>
              <c:pt idx="4">
                <c:v>2018</c:v>
              </c:pt>
              <c:pt idx="5">
                <c:v>2019</c:v>
              </c:pt>
              <c:pt idx="6">
                <c:v>2020</c:v>
              </c:pt>
              <c:pt idx="7">
                <c:v>2021</c:v>
              </c:pt>
              <c:pt idx="8">
                <c:v>2022</c:v>
              </c:pt>
            </c:numLit>
          </c:cat>
          <c:val>
            <c:numLit>
              <c:formatCode>General</c:formatCode>
              <c:ptCount val="9"/>
              <c:pt idx="0">
                <c:v>0</c:v>
              </c:pt>
              <c:pt idx="1">
                <c:v>0.14373617232296926</c:v>
              </c:pt>
              <c:pt idx="2">
                <c:v>0.66300200232574957</c:v>
              </c:pt>
              <c:pt idx="3">
                <c:v>0.45895743397000721</c:v>
              </c:pt>
              <c:pt idx="4">
                <c:v>0.48794160592937458</c:v>
              </c:pt>
              <c:pt idx="5">
                <c:v>9.8408460536186876E-2</c:v>
              </c:pt>
              <c:pt idx="6">
                <c:v>0.11965895514704165</c:v>
              </c:pt>
              <c:pt idx="7">
                <c:v>0.32315281118237277</c:v>
              </c:pt>
              <c:pt idx="8">
                <c:v>0.13446349445925929</c:v>
              </c:pt>
            </c:numLit>
          </c:val>
          <c:smooth val="0"/>
          <c:extLst>
            <c:ext xmlns:c16="http://schemas.microsoft.com/office/drawing/2014/chart" uri="{C3380CC4-5D6E-409C-BE32-E72D297353CC}">
              <c16:uniqueId val="{00000004-42B3-4427-B09E-FB2616A994CB}"/>
            </c:ext>
          </c:extLst>
        </c:ser>
        <c:dLbls>
          <c:showLegendKey val="0"/>
          <c:showVal val="0"/>
          <c:showCatName val="0"/>
          <c:showSerName val="0"/>
          <c:showPercent val="0"/>
          <c:showBubbleSize val="0"/>
        </c:dLbls>
        <c:marker val="1"/>
        <c:smooth val="0"/>
        <c:axId val="947885320"/>
        <c:axId val="947889192"/>
      </c:lineChart>
      <c:catAx>
        <c:axId val="91814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918137608"/>
        <c:crosses val="autoZero"/>
        <c:auto val="1"/>
        <c:lblAlgn val="ctr"/>
        <c:lblOffset val="100"/>
        <c:noMultiLvlLbl val="0"/>
      </c:catAx>
      <c:valAx>
        <c:axId val="91813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91814007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dispUnitsLbl>
        </c:dispUnits>
      </c:valAx>
      <c:valAx>
        <c:axId val="9478891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947885320"/>
        <c:crosses val="max"/>
        <c:crossBetween val="between"/>
      </c:valAx>
      <c:catAx>
        <c:axId val="947885320"/>
        <c:scaling>
          <c:orientation val="minMax"/>
        </c:scaling>
        <c:delete val="1"/>
        <c:axPos val="b"/>
        <c:numFmt formatCode="General" sourceLinked="1"/>
        <c:majorTickMark val="out"/>
        <c:minorTickMark val="none"/>
        <c:tickLblPos val="nextTo"/>
        <c:crossAx val="9478891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4</xdr:row>
      <xdr:rowOff>19958</xdr:rowOff>
    </xdr:from>
    <xdr:to>
      <xdr:col>13</xdr:col>
      <xdr:colOff>471713</xdr:colOff>
      <xdr:row>22</xdr:row>
      <xdr:rowOff>56243</xdr:rowOff>
    </xdr:to>
    <xdr:sp macro="" textlink="">
      <xdr:nvSpPr>
        <xdr:cNvPr id="2" name="TextBox 1">
          <a:extLst>
            <a:ext uri="{FF2B5EF4-FFF2-40B4-BE49-F238E27FC236}">
              <a16:creationId xmlns:a16="http://schemas.microsoft.com/office/drawing/2014/main" id="{04D84E1B-8CEA-9CA1-9E06-848A31EB3765}"/>
            </a:ext>
          </a:extLst>
        </xdr:cNvPr>
        <xdr:cNvSpPr txBox="1"/>
      </xdr:nvSpPr>
      <xdr:spPr>
        <a:xfrm>
          <a:off x="3924300" y="756558"/>
          <a:ext cx="5189763" cy="3350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100">
              <a:solidFill>
                <a:schemeClr val="dk1"/>
              </a:solidFill>
              <a:effectLst/>
              <a:latin typeface="+mn-lt"/>
              <a:ea typeface="+mn-ea"/>
              <a:cs typeface="+mn-cs"/>
            </a:rPr>
            <a:t>1</a:t>
          </a:r>
          <a:r>
            <a:rPr lang="el-GR" sz="1100" baseline="30000">
              <a:solidFill>
                <a:schemeClr val="dk1"/>
              </a:solidFill>
              <a:effectLst/>
              <a:latin typeface="+mn-lt"/>
              <a:ea typeface="+mn-ea"/>
              <a:cs typeface="+mn-cs"/>
            </a:rPr>
            <a:t>η</a:t>
          </a:r>
          <a:r>
            <a:rPr lang="el-GR" sz="1100">
              <a:solidFill>
                <a:schemeClr val="dk1"/>
              </a:solidFill>
              <a:effectLst/>
              <a:latin typeface="+mn-lt"/>
              <a:ea typeface="+mn-ea"/>
              <a:cs typeface="+mn-cs"/>
            </a:rPr>
            <a:t> Άσκηση </a:t>
          </a:r>
        </a:p>
        <a:p>
          <a:r>
            <a:rPr lang="el-GR" sz="1100">
              <a:solidFill>
                <a:schemeClr val="dk1"/>
              </a:solidFill>
              <a:effectLst/>
              <a:latin typeface="+mn-lt"/>
              <a:ea typeface="+mn-ea"/>
              <a:cs typeface="+mn-cs"/>
            </a:rPr>
            <a:t> </a:t>
          </a:r>
        </a:p>
        <a:p>
          <a:r>
            <a:rPr lang="el-GR" sz="1100">
              <a:solidFill>
                <a:schemeClr val="dk1"/>
              </a:solidFill>
              <a:effectLst/>
              <a:latin typeface="+mn-lt"/>
              <a:ea typeface="+mn-ea"/>
              <a:cs typeface="+mn-cs"/>
            </a:rPr>
            <a:t>1.) Πήγαινε στο κελί </a:t>
          </a:r>
          <a:r>
            <a:rPr lang="en-US" sz="1100">
              <a:solidFill>
                <a:schemeClr val="dk1"/>
              </a:solidFill>
              <a:effectLst/>
              <a:latin typeface="+mn-lt"/>
              <a:ea typeface="+mn-ea"/>
              <a:cs typeface="+mn-cs"/>
            </a:rPr>
            <a:t>J7</a:t>
          </a:r>
          <a:r>
            <a:rPr lang="el-GR" sz="1100">
              <a:solidFill>
                <a:schemeClr val="dk1"/>
              </a:solidFill>
              <a:effectLst/>
              <a:latin typeface="+mn-lt"/>
              <a:ea typeface="+mn-ea"/>
              <a:cs typeface="+mn-cs"/>
            </a:rPr>
            <a:t> και πληκτρολόγησε </a:t>
          </a:r>
          <a:r>
            <a:rPr lang="el-GR" sz="1100" b="1">
              <a:solidFill>
                <a:schemeClr val="dk1"/>
              </a:solidFill>
              <a:effectLst/>
              <a:latin typeface="+mn-lt"/>
              <a:ea typeface="+mn-ea"/>
              <a:cs typeface="+mn-cs"/>
            </a:rPr>
            <a:t>Προϊόν</a:t>
          </a:r>
          <a:r>
            <a:rPr lang="el-GR" sz="1100" b="1" baseline="0">
              <a:solidFill>
                <a:schemeClr val="dk1"/>
              </a:solidFill>
              <a:effectLst/>
              <a:latin typeface="+mn-lt"/>
              <a:ea typeface="+mn-ea"/>
              <a:cs typeface="+mn-cs"/>
            </a:rPr>
            <a:t> </a:t>
          </a:r>
          <a:endParaRPr lang="el-GR" sz="1100">
            <a:solidFill>
              <a:schemeClr val="dk1"/>
            </a:solidFill>
            <a:effectLst/>
            <a:latin typeface="+mn-lt"/>
            <a:ea typeface="+mn-ea"/>
            <a:cs typeface="+mn-cs"/>
          </a:endParaRPr>
        </a:p>
        <a:p>
          <a:r>
            <a:rPr lang="el-GR" sz="1100">
              <a:solidFill>
                <a:schemeClr val="dk1"/>
              </a:solidFill>
              <a:effectLst/>
              <a:latin typeface="+mn-lt"/>
              <a:ea typeface="+mn-ea"/>
              <a:cs typeface="+mn-cs"/>
            </a:rPr>
            <a:t>2.) Πάτησε το πλήκτρο </a:t>
          </a:r>
          <a:r>
            <a:rPr lang="en-US" sz="1100" b="1">
              <a:solidFill>
                <a:schemeClr val="dk1"/>
              </a:solidFill>
              <a:effectLst/>
              <a:latin typeface="+mn-lt"/>
              <a:ea typeface="+mn-ea"/>
              <a:cs typeface="+mn-cs"/>
            </a:rPr>
            <a:t>Tab</a:t>
          </a:r>
          <a:r>
            <a:rPr lang="en-US" sz="1100">
              <a:solidFill>
                <a:schemeClr val="dk1"/>
              </a:solidFill>
              <a:effectLst/>
              <a:latin typeface="+mn-lt"/>
              <a:ea typeface="+mn-ea"/>
              <a:cs typeface="+mn-cs"/>
            </a:rPr>
            <a:t> </a:t>
          </a:r>
          <a:r>
            <a:rPr lang="el-GR" sz="1100">
              <a:solidFill>
                <a:schemeClr val="dk1"/>
              </a:solidFill>
              <a:effectLst/>
              <a:latin typeface="+mn-lt"/>
              <a:ea typeface="+mn-ea"/>
              <a:cs typeface="+mn-cs"/>
            </a:rPr>
            <a:t>στο πληκτρολόγιο και πληκτρολόγησε </a:t>
          </a:r>
          <a:r>
            <a:rPr lang="el-GR" sz="1100" b="1">
              <a:solidFill>
                <a:schemeClr val="dk1"/>
              </a:solidFill>
              <a:effectLst/>
              <a:latin typeface="+mn-lt"/>
              <a:ea typeface="+mn-ea"/>
              <a:cs typeface="+mn-cs"/>
            </a:rPr>
            <a:t>Κόστος</a:t>
          </a:r>
          <a:r>
            <a:rPr lang="el-GR" sz="1100" b="1" baseline="0">
              <a:solidFill>
                <a:schemeClr val="dk1"/>
              </a:solidFill>
              <a:effectLst/>
              <a:latin typeface="+mn-lt"/>
              <a:ea typeface="+mn-ea"/>
              <a:cs typeface="+mn-cs"/>
            </a:rPr>
            <a:t> </a:t>
          </a:r>
          <a:r>
            <a:rPr lang="el-GR" sz="1100">
              <a:solidFill>
                <a:schemeClr val="dk1"/>
              </a:solidFill>
              <a:effectLst/>
              <a:latin typeface="+mn-lt"/>
              <a:ea typeface="+mn-ea"/>
              <a:cs typeface="+mn-cs"/>
            </a:rPr>
            <a:t>στο κελί Κ7. </a:t>
          </a:r>
        </a:p>
        <a:p>
          <a:r>
            <a:rPr lang="el-GR" sz="1100">
              <a:solidFill>
                <a:schemeClr val="dk1"/>
              </a:solidFill>
              <a:effectLst/>
              <a:latin typeface="+mn-lt"/>
              <a:ea typeface="+mn-ea"/>
              <a:cs typeface="+mn-cs"/>
            </a:rPr>
            <a:t>3.) Πήγαινε στο κελί </a:t>
          </a:r>
          <a:r>
            <a:rPr lang="en-US" sz="1100">
              <a:solidFill>
                <a:schemeClr val="dk1"/>
              </a:solidFill>
              <a:effectLst/>
              <a:latin typeface="+mn-lt"/>
              <a:ea typeface="+mn-ea"/>
              <a:cs typeface="+mn-cs"/>
            </a:rPr>
            <a:t>J8</a:t>
          </a:r>
          <a:r>
            <a:rPr lang="el-GR" sz="1100">
              <a:solidFill>
                <a:schemeClr val="dk1"/>
              </a:solidFill>
              <a:effectLst/>
              <a:latin typeface="+mn-lt"/>
              <a:ea typeface="+mn-ea"/>
              <a:cs typeface="+mn-cs"/>
            </a:rPr>
            <a:t>, πληκτρολόγησε</a:t>
          </a:r>
          <a:r>
            <a:rPr lang="el-GR" sz="1100" baseline="0">
              <a:solidFill>
                <a:schemeClr val="dk1"/>
              </a:solidFill>
              <a:effectLst/>
              <a:latin typeface="+mn-lt"/>
              <a:ea typeface="+mn-ea"/>
              <a:cs typeface="+mn-cs"/>
            </a:rPr>
            <a:t> Γ</a:t>
          </a:r>
          <a:r>
            <a:rPr lang="el-GR" sz="1100">
              <a:solidFill>
                <a:schemeClr val="dk1"/>
              </a:solidFill>
              <a:effectLst/>
              <a:latin typeface="+mn-lt"/>
              <a:ea typeface="+mn-ea"/>
              <a:cs typeface="+mn-cs"/>
            </a:rPr>
            <a:t>άλα και πάτησε </a:t>
          </a:r>
          <a:r>
            <a:rPr lang="en-US" sz="1100">
              <a:solidFill>
                <a:schemeClr val="dk1"/>
              </a:solidFill>
              <a:effectLst/>
              <a:latin typeface="+mn-lt"/>
              <a:ea typeface="+mn-ea"/>
              <a:cs typeface="+mn-cs"/>
            </a:rPr>
            <a:t>Enter</a:t>
          </a:r>
          <a:r>
            <a:rPr lang="el-GR" sz="1100">
              <a:solidFill>
                <a:schemeClr val="dk1"/>
              </a:solidFill>
              <a:effectLst/>
              <a:latin typeface="+mn-lt"/>
              <a:ea typeface="+mn-ea"/>
              <a:cs typeface="+mn-cs"/>
            </a:rPr>
            <a:t>. </a:t>
          </a:r>
        </a:p>
        <a:p>
          <a:r>
            <a:rPr lang="el-GR" sz="1100">
              <a:solidFill>
                <a:schemeClr val="dk1"/>
              </a:solidFill>
              <a:effectLst/>
              <a:latin typeface="+mn-lt"/>
              <a:ea typeface="+mn-ea"/>
              <a:cs typeface="+mn-cs"/>
            </a:rPr>
            <a:t>4.) Στο κελί </a:t>
          </a:r>
          <a:r>
            <a:rPr lang="en-US" sz="1100">
              <a:solidFill>
                <a:schemeClr val="dk1"/>
              </a:solidFill>
              <a:effectLst/>
              <a:latin typeface="+mn-lt"/>
              <a:ea typeface="+mn-ea"/>
              <a:cs typeface="+mn-cs"/>
            </a:rPr>
            <a:t>J9</a:t>
          </a:r>
          <a:r>
            <a:rPr lang="el-GR" sz="1100">
              <a:solidFill>
                <a:schemeClr val="dk1"/>
              </a:solidFill>
              <a:effectLst/>
              <a:latin typeface="+mn-lt"/>
              <a:ea typeface="+mn-ea"/>
              <a:cs typeface="+mn-cs"/>
            </a:rPr>
            <a:t>, πληκτρολόγησε Αυγά και πάτησε </a:t>
          </a:r>
          <a:r>
            <a:rPr lang="en-US" sz="1100">
              <a:solidFill>
                <a:schemeClr val="dk1"/>
              </a:solidFill>
              <a:effectLst/>
              <a:latin typeface="+mn-lt"/>
              <a:ea typeface="+mn-ea"/>
              <a:cs typeface="+mn-cs"/>
            </a:rPr>
            <a:t>Enter</a:t>
          </a:r>
          <a:r>
            <a:rPr lang="el-GR" sz="1100">
              <a:solidFill>
                <a:schemeClr val="dk1"/>
              </a:solidFill>
              <a:effectLst/>
              <a:latin typeface="+mn-lt"/>
              <a:ea typeface="+mn-ea"/>
              <a:cs typeface="+mn-cs"/>
            </a:rPr>
            <a:t>.</a:t>
          </a:r>
        </a:p>
        <a:p>
          <a:r>
            <a:rPr lang="el-GR" sz="1100">
              <a:solidFill>
                <a:schemeClr val="dk1"/>
              </a:solidFill>
              <a:effectLst/>
              <a:latin typeface="+mn-lt"/>
              <a:ea typeface="+mn-ea"/>
              <a:cs typeface="+mn-cs"/>
            </a:rPr>
            <a:t>5.) Στο κελί</a:t>
          </a:r>
          <a:r>
            <a:rPr lang="en-US" sz="1100" baseline="0">
              <a:solidFill>
                <a:schemeClr val="dk1"/>
              </a:solidFill>
              <a:effectLst/>
              <a:latin typeface="+mn-lt"/>
              <a:ea typeface="+mn-ea"/>
              <a:cs typeface="+mn-cs"/>
            </a:rPr>
            <a:t> J10</a:t>
          </a:r>
          <a:r>
            <a:rPr lang="el-GR" sz="1100">
              <a:solidFill>
                <a:schemeClr val="dk1"/>
              </a:solidFill>
              <a:effectLst/>
              <a:latin typeface="+mn-lt"/>
              <a:ea typeface="+mn-ea"/>
              <a:cs typeface="+mn-cs"/>
            </a:rPr>
            <a:t>, πληκτρολόγησε Ψωμί και πάτησε </a:t>
          </a:r>
          <a:r>
            <a:rPr lang="en-US" sz="1100">
              <a:solidFill>
                <a:schemeClr val="dk1"/>
              </a:solidFill>
              <a:effectLst/>
              <a:latin typeface="+mn-lt"/>
              <a:ea typeface="+mn-ea"/>
              <a:cs typeface="+mn-cs"/>
            </a:rPr>
            <a:t>Enter</a:t>
          </a:r>
          <a:r>
            <a:rPr lang="el-GR" sz="1100">
              <a:solidFill>
                <a:schemeClr val="dk1"/>
              </a:solidFill>
              <a:effectLst/>
              <a:latin typeface="+mn-lt"/>
              <a:ea typeface="+mn-ea"/>
              <a:cs typeface="+mn-cs"/>
            </a:rPr>
            <a:t>. </a:t>
          </a:r>
        </a:p>
        <a:p>
          <a:r>
            <a:rPr lang="el-GR" sz="1100">
              <a:solidFill>
                <a:schemeClr val="dk1"/>
              </a:solidFill>
              <a:effectLst/>
              <a:latin typeface="+mn-lt"/>
              <a:ea typeface="+mn-ea"/>
              <a:cs typeface="+mn-cs"/>
            </a:rPr>
            <a:t>6.) Στο κελί </a:t>
          </a:r>
          <a:r>
            <a:rPr lang="en-US" sz="1100">
              <a:solidFill>
                <a:schemeClr val="dk1"/>
              </a:solidFill>
              <a:effectLst/>
              <a:latin typeface="+mn-lt"/>
              <a:ea typeface="+mn-ea"/>
              <a:cs typeface="+mn-cs"/>
            </a:rPr>
            <a:t>J11</a:t>
          </a:r>
          <a:r>
            <a:rPr lang="el-GR" sz="1100">
              <a:solidFill>
                <a:schemeClr val="dk1"/>
              </a:solidFill>
              <a:effectLst/>
              <a:latin typeface="+mn-lt"/>
              <a:ea typeface="+mn-ea"/>
              <a:cs typeface="+mn-cs"/>
            </a:rPr>
            <a:t>, πληκτρολόγησε Τυρί και πάτησε </a:t>
          </a:r>
          <a:r>
            <a:rPr lang="en-US" sz="1100">
              <a:solidFill>
                <a:schemeClr val="dk1"/>
              </a:solidFill>
              <a:effectLst/>
              <a:latin typeface="+mn-lt"/>
              <a:ea typeface="+mn-ea"/>
              <a:cs typeface="+mn-cs"/>
            </a:rPr>
            <a:t>Enter</a:t>
          </a:r>
          <a:r>
            <a:rPr lang="el-GR" sz="1100">
              <a:solidFill>
                <a:schemeClr val="dk1"/>
              </a:solidFill>
              <a:effectLst/>
              <a:latin typeface="+mn-lt"/>
              <a:ea typeface="+mn-ea"/>
              <a:cs typeface="+mn-cs"/>
            </a:rPr>
            <a:t>. </a:t>
          </a:r>
        </a:p>
        <a:p>
          <a:r>
            <a:rPr lang="el-GR" sz="1100">
              <a:solidFill>
                <a:schemeClr val="dk1"/>
              </a:solidFill>
              <a:effectLst/>
              <a:latin typeface="+mn-lt"/>
              <a:ea typeface="+mn-ea"/>
              <a:cs typeface="+mn-cs"/>
            </a:rPr>
            <a:t>7.) Στο κελί </a:t>
          </a:r>
          <a:r>
            <a:rPr lang="en-US" sz="1100">
              <a:solidFill>
                <a:schemeClr val="dk1"/>
              </a:solidFill>
              <a:effectLst/>
              <a:latin typeface="+mn-lt"/>
              <a:ea typeface="+mn-ea"/>
              <a:cs typeface="+mn-cs"/>
            </a:rPr>
            <a:t>J12</a:t>
          </a:r>
          <a:r>
            <a:rPr lang="el-GR" sz="1100">
              <a:solidFill>
                <a:schemeClr val="dk1"/>
              </a:solidFill>
              <a:effectLst/>
              <a:latin typeface="+mn-lt"/>
              <a:ea typeface="+mn-ea"/>
              <a:cs typeface="+mn-cs"/>
            </a:rPr>
            <a:t>, πληκτρολόγησε Κρέας και πάτησε </a:t>
          </a:r>
          <a:r>
            <a:rPr lang="en-US" sz="1100">
              <a:solidFill>
                <a:schemeClr val="dk1"/>
              </a:solidFill>
              <a:effectLst/>
              <a:latin typeface="+mn-lt"/>
              <a:ea typeface="+mn-ea"/>
              <a:cs typeface="+mn-cs"/>
            </a:rPr>
            <a:t>Enter</a:t>
          </a:r>
          <a:r>
            <a:rPr lang="el-GR" sz="1100">
              <a:solidFill>
                <a:schemeClr val="dk1"/>
              </a:solidFill>
              <a:effectLst/>
              <a:latin typeface="+mn-lt"/>
              <a:ea typeface="+mn-ea"/>
              <a:cs typeface="+mn-cs"/>
            </a:rPr>
            <a:t>. </a:t>
          </a:r>
        </a:p>
        <a:p>
          <a:r>
            <a:rPr lang="el-GR" sz="1100">
              <a:solidFill>
                <a:schemeClr val="dk1"/>
              </a:solidFill>
              <a:effectLst/>
              <a:latin typeface="+mn-lt"/>
              <a:ea typeface="+mn-ea"/>
              <a:cs typeface="+mn-cs"/>
            </a:rPr>
            <a:t>8.) Στο κελί </a:t>
          </a:r>
          <a:r>
            <a:rPr lang="en-US" sz="1100">
              <a:solidFill>
                <a:schemeClr val="dk1"/>
              </a:solidFill>
              <a:effectLst/>
              <a:latin typeface="+mn-lt"/>
              <a:ea typeface="+mn-ea"/>
              <a:cs typeface="+mn-cs"/>
            </a:rPr>
            <a:t>J13</a:t>
          </a:r>
          <a:r>
            <a:rPr lang="el-GR" sz="1100">
              <a:solidFill>
                <a:schemeClr val="dk1"/>
              </a:solidFill>
              <a:effectLst/>
              <a:latin typeface="+mn-lt"/>
              <a:ea typeface="+mn-ea"/>
              <a:cs typeface="+mn-cs"/>
            </a:rPr>
            <a:t>, πληκτρολόγησε Συνολικό Κόστος.</a:t>
          </a:r>
        </a:p>
        <a:p>
          <a:endParaRPr lang="el-GR" sz="1100"/>
        </a:p>
        <a:p>
          <a:r>
            <a:rPr lang="el-GR" sz="1100"/>
            <a:t>Παρατηρήσεις </a:t>
          </a:r>
        </a:p>
        <a:p>
          <a:pPr lvl="0"/>
          <a:r>
            <a:rPr lang="el-GR" sz="1100">
              <a:solidFill>
                <a:schemeClr val="dk1"/>
              </a:solidFill>
              <a:effectLst/>
              <a:latin typeface="+mn-lt"/>
              <a:ea typeface="+mn-ea"/>
              <a:cs typeface="+mn-cs"/>
            </a:rPr>
            <a:t>Παρατήρησε ότι το κελί δεν είναι αρκετά μεγάλο για την τιμή Συνολικό Κόστος. </a:t>
          </a:r>
        </a:p>
        <a:p>
          <a:pPr lvl="0"/>
          <a:r>
            <a:rPr lang="el-GR" sz="1100">
              <a:solidFill>
                <a:schemeClr val="dk1"/>
              </a:solidFill>
              <a:effectLst/>
              <a:latin typeface="+mn-lt"/>
              <a:ea typeface="+mn-ea"/>
              <a:cs typeface="+mn-cs"/>
            </a:rPr>
            <a:t>Τοποθέτησε το ποντίκι σου στη γραμμή μεταξύ των στηλών </a:t>
          </a:r>
          <a:r>
            <a:rPr lang="en-US" sz="1100">
              <a:solidFill>
                <a:schemeClr val="dk1"/>
              </a:solidFill>
              <a:effectLst/>
              <a:latin typeface="+mn-lt"/>
              <a:ea typeface="+mn-ea"/>
              <a:cs typeface="+mn-cs"/>
            </a:rPr>
            <a:t>A</a:t>
          </a:r>
          <a:r>
            <a:rPr lang="el-GR" sz="1100">
              <a:solidFill>
                <a:schemeClr val="dk1"/>
              </a:solidFill>
              <a:effectLst/>
              <a:latin typeface="+mn-lt"/>
              <a:ea typeface="+mn-ea"/>
              <a:cs typeface="+mn-cs"/>
            </a:rPr>
            <a:t> και </a:t>
          </a:r>
          <a:r>
            <a:rPr lang="en-US" sz="1100">
              <a:solidFill>
                <a:schemeClr val="dk1"/>
              </a:solidFill>
              <a:effectLst/>
              <a:latin typeface="+mn-lt"/>
              <a:ea typeface="+mn-ea"/>
              <a:cs typeface="+mn-cs"/>
            </a:rPr>
            <a:t>B</a:t>
          </a:r>
          <a:r>
            <a:rPr lang="el-GR" sz="1100">
              <a:solidFill>
                <a:schemeClr val="dk1"/>
              </a:solidFill>
              <a:effectLst/>
              <a:latin typeface="+mn-lt"/>
              <a:ea typeface="+mn-ea"/>
              <a:cs typeface="+mn-cs"/>
            </a:rPr>
            <a:t> μέχρι να εμφανιστεί ο σταυρός  Μπορεί να χρειαστεί να κάνεις αριστερό κλικ στη γραμμή πρώτα. </a:t>
          </a:r>
        </a:p>
        <a:p>
          <a:pPr lvl="0"/>
          <a:r>
            <a:rPr lang="el-GR" sz="1100">
              <a:solidFill>
                <a:schemeClr val="dk1"/>
              </a:solidFill>
              <a:effectLst/>
              <a:latin typeface="+mn-lt"/>
              <a:ea typeface="+mn-ea"/>
              <a:cs typeface="+mn-cs"/>
            </a:rPr>
            <a:t>Έπειτα, κράτησε πατημένο το αριστερό κλικ του ποντικιού και σύρε τη στήλη προς τα δεξιά μέχρι να μπορείς να δεις καθαρά το Συνολικό Κόστος.</a:t>
          </a:r>
        </a:p>
        <a:p>
          <a:endParaRPr lang="el-GR" sz="1100"/>
        </a:p>
      </xdr:txBody>
    </xdr:sp>
    <xdr:clientData/>
  </xdr:twoCellAnchor>
  <xdr:twoCellAnchor>
    <xdr:from>
      <xdr:col>9</xdr:col>
      <xdr:colOff>363764</xdr:colOff>
      <xdr:row>24</xdr:row>
      <xdr:rowOff>97064</xdr:rowOff>
    </xdr:from>
    <xdr:to>
      <xdr:col>15</xdr:col>
      <xdr:colOff>115207</xdr:colOff>
      <xdr:row>38</xdr:row>
      <xdr:rowOff>101599</xdr:rowOff>
    </xdr:to>
    <xdr:sp macro="" textlink="">
      <xdr:nvSpPr>
        <xdr:cNvPr id="3" name="TextBox 2">
          <a:extLst>
            <a:ext uri="{FF2B5EF4-FFF2-40B4-BE49-F238E27FC236}">
              <a16:creationId xmlns:a16="http://schemas.microsoft.com/office/drawing/2014/main" id="{C9D46EAA-0560-0FE6-D041-2238130AA25B}"/>
            </a:ext>
          </a:extLst>
        </xdr:cNvPr>
        <xdr:cNvSpPr txBox="1"/>
      </xdr:nvSpPr>
      <xdr:spPr>
        <a:xfrm>
          <a:off x="6250214" y="4516664"/>
          <a:ext cx="3815443" cy="2582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t>1) Προσθήκη γραμμής 34</a:t>
          </a:r>
        </a:p>
        <a:p>
          <a:r>
            <a:rPr lang="el-GR" sz="1100"/>
            <a:t>2)</a:t>
          </a:r>
          <a:r>
            <a:rPr lang="el-GR"/>
            <a:t>Επεξεργάσου την περιγραφή στο κελί </a:t>
          </a:r>
          <a:r>
            <a:rPr lang="en-US"/>
            <a:t>D</a:t>
          </a:r>
          <a:r>
            <a:rPr lang="el-GR"/>
            <a:t>26</a:t>
          </a:r>
          <a:r>
            <a:rPr lang="en-US"/>
            <a:t> </a:t>
          </a:r>
          <a:endParaRPr lang="el-GR"/>
        </a:p>
        <a:p>
          <a:r>
            <a:rPr lang="el-GR" sz="1100"/>
            <a:t>3)</a:t>
          </a:r>
          <a:r>
            <a:rPr lang="el-GR" sz="1100" baseline="0"/>
            <a:t> </a:t>
          </a:r>
          <a:r>
            <a:rPr lang="el-GR"/>
            <a:t>Άλλαξε το πλάτος της στήλης </a:t>
          </a:r>
          <a:r>
            <a:rPr lang="en-US"/>
            <a:t>D </a:t>
          </a:r>
          <a:r>
            <a:rPr lang="el-GR"/>
            <a:t>ώστε να χωράει η νέα περιγραφή</a:t>
          </a:r>
        </a:p>
        <a:p>
          <a:r>
            <a:rPr lang="el-GR" sz="1100"/>
            <a:t>4)</a:t>
          </a:r>
          <a:r>
            <a:rPr lang="el-GR"/>
            <a:t>Άλλαξε την ημερομηνία στο κελί </a:t>
          </a:r>
          <a:r>
            <a:rPr lang="en-US"/>
            <a:t>B8 </a:t>
          </a:r>
          <a:r>
            <a:rPr lang="el-GR"/>
            <a:t>και στη συνέχεια κάνε αντιγραφή και επικόλληση της νέας ημερομηνίας στα κελιά </a:t>
          </a:r>
          <a:r>
            <a:rPr lang="en-US"/>
            <a:t>B9 </a:t>
          </a:r>
          <a:r>
            <a:rPr lang="el-GR"/>
            <a:t>και </a:t>
          </a:r>
          <a:r>
            <a:rPr lang="en-US"/>
            <a:t>B10</a:t>
          </a:r>
          <a:endParaRPr lang="el-GR"/>
        </a:p>
        <a:p>
          <a:r>
            <a:rPr lang="el-GR" b="1"/>
            <a:t>Νέες ημερομηνίες</a:t>
          </a:r>
          <a:r>
            <a:rPr lang="el-GR"/>
            <a:t> Μπορείς να πατήσεις </a:t>
          </a:r>
          <a:r>
            <a:rPr lang="en-US" b="1"/>
            <a:t>CTRL + C</a:t>
          </a:r>
          <a:r>
            <a:rPr lang="en-US"/>
            <a:t> </a:t>
          </a:r>
          <a:r>
            <a:rPr lang="el-GR"/>
            <a:t>για αντιγραφή και </a:t>
          </a:r>
          <a:r>
            <a:rPr lang="en-US" b="1"/>
            <a:t>CTRL + V</a:t>
          </a:r>
          <a:r>
            <a:rPr lang="en-US"/>
            <a:t> </a:t>
          </a:r>
          <a:r>
            <a:rPr lang="el-GR"/>
            <a:t>για επικόλληση.</a:t>
          </a:r>
        </a:p>
        <a:p>
          <a:r>
            <a:rPr lang="el-GR"/>
            <a:t>Χρησιμοποίησε την εντολή </a:t>
          </a:r>
          <a:r>
            <a:rPr lang="en-US" b="1"/>
            <a:t>File &gt; Save As...</a:t>
          </a:r>
          <a:r>
            <a:rPr lang="en-US"/>
            <a:t> </a:t>
          </a:r>
          <a:r>
            <a:rPr lang="el-GR"/>
            <a:t>για να αποθηκεύσεις το αρχείο</a:t>
          </a:r>
        </a:p>
        <a:p>
          <a:endParaRPr lang="el-G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603279</xdr:colOff>
      <xdr:row>0</xdr:row>
      <xdr:rowOff>9525</xdr:rowOff>
    </xdr:from>
    <xdr:to>
      <xdr:col>19</xdr:col>
      <xdr:colOff>488979</xdr:colOff>
      <xdr:row>1</xdr:row>
      <xdr:rowOff>104775</xdr:rowOff>
    </xdr:to>
    <xdr:sp macro="" textlink="">
      <xdr:nvSpPr>
        <xdr:cNvPr id="2" name="Ορθογώνιο 1">
          <a:extLst>
            <a:ext uri="{FF2B5EF4-FFF2-40B4-BE49-F238E27FC236}">
              <a16:creationId xmlns:a16="http://schemas.microsoft.com/office/drawing/2014/main" id="{6A27009C-8051-4C47-B9ED-713CEF99F73D}"/>
            </a:ext>
          </a:extLst>
        </xdr:cNvPr>
        <xdr:cNvSpPr/>
      </xdr:nvSpPr>
      <xdr:spPr>
        <a:xfrm>
          <a:off x="3203604" y="9525"/>
          <a:ext cx="1714500" cy="28575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IF</a:t>
          </a:r>
          <a:endParaRPr lang="el-GR" sz="1100"/>
        </a:p>
      </xdr:txBody>
    </xdr:sp>
    <xdr:clientData/>
  </xdr:twoCellAnchor>
  <xdr:twoCellAnchor>
    <xdr:from>
      <xdr:col>17</xdr:col>
      <xdr:colOff>9525</xdr:colOff>
      <xdr:row>9</xdr:row>
      <xdr:rowOff>19050</xdr:rowOff>
    </xdr:from>
    <xdr:to>
      <xdr:col>19</xdr:col>
      <xdr:colOff>504825</xdr:colOff>
      <xdr:row>10</xdr:row>
      <xdr:rowOff>171450</xdr:rowOff>
    </xdr:to>
    <xdr:sp macro="" textlink="">
      <xdr:nvSpPr>
        <xdr:cNvPr id="3" name="Ορθογώνιο 2">
          <a:extLst>
            <a:ext uri="{FF2B5EF4-FFF2-40B4-BE49-F238E27FC236}">
              <a16:creationId xmlns:a16="http://schemas.microsoft.com/office/drawing/2014/main" id="{8750F6D4-26C1-4069-B1CD-52799A076058}"/>
            </a:ext>
          </a:extLst>
        </xdr:cNvPr>
        <xdr:cNvSpPr/>
      </xdr:nvSpPr>
      <xdr:spPr>
        <a:xfrm>
          <a:off x="3219450" y="1733550"/>
          <a:ext cx="1714500" cy="3429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AND</a:t>
          </a:r>
          <a:endParaRPr lang="el-GR" sz="1100"/>
        </a:p>
      </xdr:txBody>
    </xdr:sp>
    <xdr:clientData/>
  </xdr:twoCellAnchor>
  <xdr:twoCellAnchor>
    <xdr:from>
      <xdr:col>17</xdr:col>
      <xdr:colOff>0</xdr:colOff>
      <xdr:row>18</xdr:row>
      <xdr:rowOff>0</xdr:rowOff>
    </xdr:from>
    <xdr:to>
      <xdr:col>19</xdr:col>
      <xdr:colOff>495300</xdr:colOff>
      <xdr:row>19</xdr:row>
      <xdr:rowOff>142875</xdr:rowOff>
    </xdr:to>
    <xdr:sp macro="" textlink="">
      <xdr:nvSpPr>
        <xdr:cNvPr id="4" name="Ορθογώνιο 3">
          <a:extLst>
            <a:ext uri="{FF2B5EF4-FFF2-40B4-BE49-F238E27FC236}">
              <a16:creationId xmlns:a16="http://schemas.microsoft.com/office/drawing/2014/main" id="{E5198111-1FFE-4DA0-9175-0EB74F93B1A5}"/>
            </a:ext>
          </a:extLst>
        </xdr:cNvPr>
        <xdr:cNvSpPr/>
      </xdr:nvSpPr>
      <xdr:spPr>
        <a:xfrm>
          <a:off x="3209925" y="3429000"/>
          <a:ext cx="1714500" cy="3333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OR</a:t>
          </a:r>
          <a:endParaRPr lang="el-GR" sz="1100"/>
        </a:p>
      </xdr:txBody>
    </xdr:sp>
    <xdr:clientData/>
  </xdr:twoCellAnchor>
  <xdr:twoCellAnchor>
    <xdr:from>
      <xdr:col>17</xdr:col>
      <xdr:colOff>0</xdr:colOff>
      <xdr:row>27</xdr:row>
      <xdr:rowOff>0</xdr:rowOff>
    </xdr:from>
    <xdr:to>
      <xdr:col>19</xdr:col>
      <xdr:colOff>495300</xdr:colOff>
      <xdr:row>28</xdr:row>
      <xdr:rowOff>152400</xdr:rowOff>
    </xdr:to>
    <xdr:sp macro="" textlink="">
      <xdr:nvSpPr>
        <xdr:cNvPr id="5" name="Ορθογώνιο 4">
          <a:extLst>
            <a:ext uri="{FF2B5EF4-FFF2-40B4-BE49-F238E27FC236}">
              <a16:creationId xmlns:a16="http://schemas.microsoft.com/office/drawing/2014/main" id="{D7A98EAF-7506-450F-BE40-B74A6CFCDAC1}"/>
            </a:ext>
          </a:extLst>
        </xdr:cNvPr>
        <xdr:cNvSpPr/>
      </xdr:nvSpPr>
      <xdr:spPr>
        <a:xfrm>
          <a:off x="3209925" y="5143500"/>
          <a:ext cx="1714500" cy="3429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NOT</a:t>
          </a:r>
          <a:endParaRPr lang="el-GR" sz="1100"/>
        </a:p>
      </xdr:txBody>
    </xdr:sp>
    <xdr:clientData/>
  </xdr:twoCellAnchor>
  <xdr:twoCellAnchor editAs="oneCell">
    <xdr:from>
      <xdr:col>25</xdr:col>
      <xdr:colOff>265285</xdr:colOff>
      <xdr:row>0</xdr:row>
      <xdr:rowOff>114300</xdr:rowOff>
    </xdr:from>
    <xdr:to>
      <xdr:col>31</xdr:col>
      <xdr:colOff>19838</xdr:colOff>
      <xdr:row>9</xdr:row>
      <xdr:rowOff>143278</xdr:rowOff>
    </xdr:to>
    <xdr:pic>
      <xdr:nvPicPr>
        <xdr:cNvPr id="6" name="Εικόνα 5">
          <a:extLst>
            <a:ext uri="{FF2B5EF4-FFF2-40B4-BE49-F238E27FC236}">
              <a16:creationId xmlns:a16="http://schemas.microsoft.com/office/drawing/2014/main" id="{9B42FA07-5CEE-48EC-82CE-C79E6987F9EB}"/>
            </a:ext>
          </a:extLst>
        </xdr:cNvPr>
        <xdr:cNvPicPr>
          <a:picLocks noChangeAspect="1"/>
        </xdr:cNvPicPr>
      </xdr:nvPicPr>
      <xdr:blipFill>
        <a:blip xmlns:r="http://schemas.openxmlformats.org/officeDocument/2006/relationships" r:embed="rId1"/>
        <a:stretch>
          <a:fillRect/>
        </a:stretch>
      </xdr:blipFill>
      <xdr:spPr>
        <a:xfrm>
          <a:off x="8352010" y="114300"/>
          <a:ext cx="3412153" cy="1743478"/>
        </a:xfrm>
        <a:prstGeom prst="rect">
          <a:avLst/>
        </a:prstGeom>
      </xdr:spPr>
    </xdr:pic>
    <xdr:clientData/>
  </xdr:twoCellAnchor>
  <xdr:twoCellAnchor editAs="oneCell">
    <xdr:from>
      <xdr:col>25</xdr:col>
      <xdr:colOff>226441</xdr:colOff>
      <xdr:row>9</xdr:row>
      <xdr:rowOff>190499</xdr:rowOff>
    </xdr:from>
    <xdr:to>
      <xdr:col>31</xdr:col>
      <xdr:colOff>178</xdr:colOff>
      <xdr:row>20</xdr:row>
      <xdr:rowOff>39714</xdr:rowOff>
    </xdr:to>
    <xdr:pic>
      <xdr:nvPicPr>
        <xdr:cNvPr id="7" name="Εικόνα 6">
          <a:extLst>
            <a:ext uri="{FF2B5EF4-FFF2-40B4-BE49-F238E27FC236}">
              <a16:creationId xmlns:a16="http://schemas.microsoft.com/office/drawing/2014/main" id="{7662082A-F38E-4BD7-92A1-245FDB8C2C5C}"/>
            </a:ext>
          </a:extLst>
        </xdr:cNvPr>
        <xdr:cNvPicPr>
          <a:picLocks noChangeAspect="1"/>
        </xdr:cNvPicPr>
      </xdr:nvPicPr>
      <xdr:blipFill>
        <a:blip xmlns:r="http://schemas.openxmlformats.org/officeDocument/2006/relationships" r:embed="rId2"/>
        <a:stretch>
          <a:fillRect/>
        </a:stretch>
      </xdr:blipFill>
      <xdr:spPr>
        <a:xfrm>
          <a:off x="8313166" y="1904999"/>
          <a:ext cx="3431337" cy="1944715"/>
        </a:xfrm>
        <a:prstGeom prst="rect">
          <a:avLst/>
        </a:prstGeom>
      </xdr:spPr>
    </xdr:pic>
    <xdr:clientData/>
  </xdr:twoCellAnchor>
  <xdr:twoCellAnchor editAs="oneCell">
    <xdr:from>
      <xdr:col>25</xdr:col>
      <xdr:colOff>238125</xdr:colOff>
      <xdr:row>20</xdr:row>
      <xdr:rowOff>34720</xdr:rowOff>
    </xdr:from>
    <xdr:to>
      <xdr:col>31</xdr:col>
      <xdr:colOff>9525</xdr:colOff>
      <xdr:row>30</xdr:row>
      <xdr:rowOff>151339</xdr:rowOff>
    </xdr:to>
    <xdr:pic>
      <xdr:nvPicPr>
        <xdr:cNvPr id="8" name="Εικόνα 7">
          <a:extLst>
            <a:ext uri="{FF2B5EF4-FFF2-40B4-BE49-F238E27FC236}">
              <a16:creationId xmlns:a16="http://schemas.microsoft.com/office/drawing/2014/main" id="{77535A55-8055-43EA-91B4-2D31E7996AEA}"/>
            </a:ext>
          </a:extLst>
        </xdr:cNvPr>
        <xdr:cNvPicPr>
          <a:picLocks noChangeAspect="1"/>
        </xdr:cNvPicPr>
      </xdr:nvPicPr>
      <xdr:blipFill>
        <a:blip xmlns:r="http://schemas.openxmlformats.org/officeDocument/2006/relationships" r:embed="rId3"/>
        <a:stretch>
          <a:fillRect/>
        </a:stretch>
      </xdr:blipFill>
      <xdr:spPr>
        <a:xfrm>
          <a:off x="8324850" y="3844720"/>
          <a:ext cx="3429000" cy="2021619"/>
        </a:xfrm>
        <a:prstGeom prst="rect">
          <a:avLst/>
        </a:prstGeom>
      </xdr:spPr>
    </xdr:pic>
    <xdr:clientData/>
  </xdr:twoCellAnchor>
  <xdr:twoCellAnchor editAs="oneCell">
    <xdr:from>
      <xdr:col>25</xdr:col>
      <xdr:colOff>209550</xdr:colOff>
      <xdr:row>31</xdr:row>
      <xdr:rowOff>76201</xdr:rowOff>
    </xdr:from>
    <xdr:to>
      <xdr:col>32</xdr:col>
      <xdr:colOff>131675</xdr:colOff>
      <xdr:row>39</xdr:row>
      <xdr:rowOff>180975</xdr:rowOff>
    </xdr:to>
    <xdr:pic>
      <xdr:nvPicPr>
        <xdr:cNvPr id="9" name="Εικόνα 8">
          <a:extLst>
            <a:ext uri="{FF2B5EF4-FFF2-40B4-BE49-F238E27FC236}">
              <a16:creationId xmlns:a16="http://schemas.microsoft.com/office/drawing/2014/main" id="{388E79B1-D705-41FB-B2DD-1C2665B2741D}"/>
            </a:ext>
          </a:extLst>
        </xdr:cNvPr>
        <xdr:cNvPicPr>
          <a:picLocks noChangeAspect="1"/>
        </xdr:cNvPicPr>
      </xdr:nvPicPr>
      <xdr:blipFill>
        <a:blip xmlns:r="http://schemas.openxmlformats.org/officeDocument/2006/relationships" r:embed="rId4"/>
        <a:stretch>
          <a:fillRect/>
        </a:stretch>
      </xdr:blipFill>
      <xdr:spPr>
        <a:xfrm>
          <a:off x="8296275" y="5981701"/>
          <a:ext cx="4189325" cy="1628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561975</xdr:colOff>
      <xdr:row>0</xdr:row>
      <xdr:rowOff>36041</xdr:rowOff>
    </xdr:from>
    <xdr:to>
      <xdr:col>21</xdr:col>
      <xdr:colOff>458860</xdr:colOff>
      <xdr:row>4</xdr:row>
      <xdr:rowOff>171615</xdr:rowOff>
    </xdr:to>
    <xdr:pic>
      <xdr:nvPicPr>
        <xdr:cNvPr id="2" name="Picture 1">
          <a:extLst>
            <a:ext uri="{FF2B5EF4-FFF2-40B4-BE49-F238E27FC236}">
              <a16:creationId xmlns:a16="http://schemas.microsoft.com/office/drawing/2014/main" id="{CD5837F4-6509-1861-8166-DE5DDE18FE1E}"/>
            </a:ext>
          </a:extLst>
        </xdr:cNvPr>
        <xdr:cNvPicPr>
          <a:picLocks noChangeAspect="1"/>
        </xdr:cNvPicPr>
      </xdr:nvPicPr>
      <xdr:blipFill>
        <a:blip xmlns:r="http://schemas.openxmlformats.org/officeDocument/2006/relationships" r:embed="rId1"/>
        <a:stretch>
          <a:fillRect/>
        </a:stretch>
      </xdr:blipFill>
      <xdr:spPr>
        <a:xfrm>
          <a:off x="5181600" y="36041"/>
          <a:ext cx="9040885" cy="8975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34</xdr:row>
      <xdr:rowOff>0</xdr:rowOff>
    </xdr:from>
    <xdr:to>
      <xdr:col>17</xdr:col>
      <xdr:colOff>362524</xdr:colOff>
      <xdr:row>71</xdr:row>
      <xdr:rowOff>18643</xdr:rowOff>
    </xdr:to>
    <xdr:pic>
      <xdr:nvPicPr>
        <xdr:cNvPr id="2" name="Picture 2">
          <a:extLst>
            <a:ext uri="{FF2B5EF4-FFF2-40B4-BE49-F238E27FC236}">
              <a16:creationId xmlns:a16="http://schemas.microsoft.com/office/drawing/2014/main" id="{64431B19-E9D9-48B3-BB89-B49922BA98ED}"/>
            </a:ext>
          </a:extLst>
        </xdr:cNvPr>
        <xdr:cNvPicPr>
          <a:picLocks noChangeAspect="1"/>
        </xdr:cNvPicPr>
      </xdr:nvPicPr>
      <xdr:blipFill>
        <a:blip xmlns:r="http://schemas.openxmlformats.org/officeDocument/2006/relationships" r:embed="rId1"/>
        <a:stretch>
          <a:fillRect/>
        </a:stretch>
      </xdr:blipFill>
      <xdr:spPr>
        <a:xfrm>
          <a:off x="0" y="6534150"/>
          <a:ext cx="10725724" cy="706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727557</xdr:colOff>
      <xdr:row>16</xdr:row>
      <xdr:rowOff>170498</xdr:rowOff>
    </xdr:from>
    <xdr:to>
      <xdr:col>11</xdr:col>
      <xdr:colOff>629124</xdr:colOff>
      <xdr:row>25</xdr:row>
      <xdr:rowOff>96203</xdr:rowOff>
    </xdr:to>
    <xdr:pic>
      <xdr:nvPicPr>
        <xdr:cNvPr id="2" name="Graphic 12">
          <a:extLst>
            <a:ext uri="{FF2B5EF4-FFF2-40B4-BE49-F238E27FC236}">
              <a16:creationId xmlns:a16="http://schemas.microsoft.com/office/drawing/2014/main" id="{D7A6CB25-DF60-4501-B67A-D0459094B8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90457" y="3532823"/>
          <a:ext cx="996942" cy="1640205"/>
        </a:xfrm>
        <a:prstGeom prst="rect">
          <a:avLst/>
        </a:prstGeom>
      </xdr:spPr>
    </xdr:pic>
    <xdr:clientData/>
  </xdr:twoCellAnchor>
  <xdr:twoCellAnchor>
    <xdr:from>
      <xdr:col>9</xdr:col>
      <xdr:colOff>45720</xdr:colOff>
      <xdr:row>17</xdr:row>
      <xdr:rowOff>7620</xdr:rowOff>
    </xdr:from>
    <xdr:to>
      <xdr:col>9</xdr:col>
      <xdr:colOff>830580</xdr:colOff>
      <xdr:row>20</xdr:row>
      <xdr:rowOff>0</xdr:rowOff>
    </xdr:to>
    <xdr:sp macro="" textlink="$J$19">
      <xdr:nvSpPr>
        <xdr:cNvPr id="3" name="Star: 7 Points 8">
          <a:extLst>
            <a:ext uri="{FF2B5EF4-FFF2-40B4-BE49-F238E27FC236}">
              <a16:creationId xmlns:a16="http://schemas.microsoft.com/office/drawing/2014/main" id="{9E27C89E-5DD0-4902-94D9-2A4EFA2AA218}"/>
            </a:ext>
          </a:extLst>
        </xdr:cNvPr>
        <xdr:cNvSpPr/>
      </xdr:nvSpPr>
      <xdr:spPr>
        <a:xfrm>
          <a:off x="8008620" y="3560445"/>
          <a:ext cx="784860" cy="563880"/>
        </a:xfrm>
        <a:prstGeom prst="star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994A456-67FB-4827-8730-45E52C1BA9F7}" type="TxLink">
            <a:rPr lang="en-US" sz="9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Calibri"/>
              <a:cs typeface="Calibri"/>
            </a:rPr>
            <a:pPr algn="l"/>
            <a:t>1602</a:t>
          </a:fld>
          <a:endParaRPr lang="el-GR" sz="1100"/>
        </a:p>
      </xdr:txBody>
    </xdr:sp>
    <xdr:clientData/>
  </xdr:twoCellAnchor>
  <xdr:twoCellAnchor>
    <xdr:from>
      <xdr:col>11</xdr:col>
      <xdr:colOff>160020</xdr:colOff>
      <xdr:row>16</xdr:row>
      <xdr:rowOff>152400</xdr:rowOff>
    </xdr:from>
    <xdr:to>
      <xdr:col>11</xdr:col>
      <xdr:colOff>944880</xdr:colOff>
      <xdr:row>19</xdr:row>
      <xdr:rowOff>144780</xdr:rowOff>
    </xdr:to>
    <xdr:sp macro="" textlink="$L$19">
      <xdr:nvSpPr>
        <xdr:cNvPr id="4" name="Star: 7 Points 9">
          <a:extLst>
            <a:ext uri="{FF2B5EF4-FFF2-40B4-BE49-F238E27FC236}">
              <a16:creationId xmlns:a16="http://schemas.microsoft.com/office/drawing/2014/main" id="{01A9D32B-B599-496F-84D1-30DABA4D947A}"/>
            </a:ext>
          </a:extLst>
        </xdr:cNvPr>
        <xdr:cNvSpPr/>
      </xdr:nvSpPr>
      <xdr:spPr>
        <a:xfrm>
          <a:off x="9218295" y="3514725"/>
          <a:ext cx="784860" cy="563880"/>
        </a:xfrm>
        <a:prstGeom prst="star7">
          <a:avLst/>
        </a:prstGeom>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053F4A3-7BD3-43F1-9DCF-1F13D467DD55}" type="TxLink">
            <a:rPr lang="en-US" sz="900" b="1" i="0" u="none"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Calibri"/>
              <a:ea typeface="Calibri"/>
              <a:cs typeface="Calibri"/>
            </a:rPr>
            <a:pPr algn="l"/>
            <a:t>83%</a:t>
          </a:fld>
          <a:endParaRPr lang="el-GR" sz="1100"/>
        </a:p>
      </xdr:txBody>
    </xdr:sp>
    <xdr:clientData/>
  </xdr:twoCellAnchor>
  <xdr:twoCellAnchor>
    <xdr:from>
      <xdr:col>7</xdr:col>
      <xdr:colOff>323850</xdr:colOff>
      <xdr:row>15</xdr:row>
      <xdr:rowOff>0</xdr:rowOff>
    </xdr:from>
    <xdr:to>
      <xdr:col>7</xdr:col>
      <xdr:colOff>533398</xdr:colOff>
      <xdr:row>16</xdr:row>
      <xdr:rowOff>0</xdr:rowOff>
    </xdr:to>
    <xdr:sp macro="" textlink="">
      <xdr:nvSpPr>
        <xdr:cNvPr id="5" name="Isosceles Triangle 10">
          <a:extLst>
            <a:ext uri="{FF2B5EF4-FFF2-40B4-BE49-F238E27FC236}">
              <a16:creationId xmlns:a16="http://schemas.microsoft.com/office/drawing/2014/main" id="{8D3AB53D-77FB-46AB-8D29-9C1F2B1A77A1}"/>
            </a:ext>
          </a:extLst>
        </xdr:cNvPr>
        <xdr:cNvSpPr/>
      </xdr:nvSpPr>
      <xdr:spPr>
        <a:xfrm>
          <a:off x="7219950" y="3152775"/>
          <a:ext cx="209548" cy="209550"/>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7</xdr:col>
      <xdr:colOff>535305</xdr:colOff>
      <xdr:row>15</xdr:row>
      <xdr:rowOff>11430</xdr:rowOff>
    </xdr:from>
    <xdr:to>
      <xdr:col>7</xdr:col>
      <xdr:colOff>744855</xdr:colOff>
      <xdr:row>15</xdr:row>
      <xdr:rowOff>192406</xdr:rowOff>
    </xdr:to>
    <xdr:sp macro="" textlink="">
      <xdr:nvSpPr>
        <xdr:cNvPr id="6" name="Flowchart: Merge 11">
          <a:extLst>
            <a:ext uri="{FF2B5EF4-FFF2-40B4-BE49-F238E27FC236}">
              <a16:creationId xmlns:a16="http://schemas.microsoft.com/office/drawing/2014/main" id="{2FFF538F-E48D-48F9-AF66-87C5DD50D2BB}"/>
            </a:ext>
          </a:extLst>
        </xdr:cNvPr>
        <xdr:cNvSpPr/>
      </xdr:nvSpPr>
      <xdr:spPr>
        <a:xfrm>
          <a:off x="7431405" y="3164205"/>
          <a:ext cx="209550" cy="180976"/>
        </a:xfrm>
        <a:prstGeom prst="flowChartMerg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748512</xdr:colOff>
      <xdr:row>16</xdr:row>
      <xdr:rowOff>157163</xdr:rowOff>
    </xdr:from>
    <xdr:to>
      <xdr:col>11</xdr:col>
      <xdr:colOff>646269</xdr:colOff>
      <xdr:row>25</xdr:row>
      <xdr:rowOff>80963</xdr:rowOff>
    </xdr:to>
    <xdr:pic>
      <xdr:nvPicPr>
        <xdr:cNvPr id="2" name="Graphic 12">
          <a:extLst>
            <a:ext uri="{FF2B5EF4-FFF2-40B4-BE49-F238E27FC236}">
              <a16:creationId xmlns:a16="http://schemas.microsoft.com/office/drawing/2014/main" id="{5DBC654B-2B80-42F9-85B5-3ED1C04D4B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711412" y="3376613"/>
          <a:ext cx="993132" cy="16383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51</xdr:row>
      <xdr:rowOff>0</xdr:rowOff>
    </xdr:from>
    <xdr:to>
      <xdr:col>2</xdr:col>
      <xdr:colOff>1770063</xdr:colOff>
      <xdr:row>52</xdr:row>
      <xdr:rowOff>127345</xdr:rowOff>
    </xdr:to>
    <xdr:sp macro="" textlink="">
      <xdr:nvSpPr>
        <xdr:cNvPr id="2" name="TextBox 1">
          <a:extLst>
            <a:ext uri="{FF2B5EF4-FFF2-40B4-BE49-F238E27FC236}">
              <a16:creationId xmlns:a16="http://schemas.microsoft.com/office/drawing/2014/main" id="{53CD13A5-84B9-4B70-8CD9-610EB613F199}"/>
            </a:ext>
          </a:extLst>
        </xdr:cNvPr>
        <xdr:cNvSpPr txBox="1"/>
      </xdr:nvSpPr>
      <xdr:spPr>
        <a:xfrm>
          <a:off x="609600" y="9906000"/>
          <a:ext cx="3084513" cy="3178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l-GR" sz="1100" b="1">
              <a:solidFill>
                <a:schemeClr val="dk1"/>
              </a:solidFill>
              <a:effectLst/>
              <a:latin typeface="+mn-lt"/>
              <a:ea typeface="+mn-ea"/>
              <a:cs typeface="+mn-cs"/>
            </a:rPr>
            <a:t>SUBTOTAL (αριθμός_συνάρτησης, ref1, [ref2], ...)</a:t>
          </a:r>
          <a:endParaRPr lang="el-GR" sz="1100">
            <a:solidFill>
              <a:schemeClr val="dk1"/>
            </a:solidFill>
            <a:effectLst/>
            <a:latin typeface="+mn-lt"/>
            <a:ea typeface="+mn-ea"/>
            <a:cs typeface="+mn-cs"/>
          </a:endParaRPr>
        </a:p>
        <a:p>
          <a:endParaRPr lang="el-G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513183</xdr:colOff>
      <xdr:row>14</xdr:row>
      <xdr:rowOff>100885</xdr:rowOff>
    </xdr:from>
    <xdr:to>
      <xdr:col>11</xdr:col>
      <xdr:colOff>9719</xdr:colOff>
      <xdr:row>35</xdr:row>
      <xdr:rowOff>97193</xdr:rowOff>
    </xdr:to>
    <xdr:graphicFrame macro="">
      <xdr:nvGraphicFramePr>
        <xdr:cNvPr id="2" name="Γράφημα 4">
          <a:extLst>
            <a:ext uri="{FF2B5EF4-FFF2-40B4-BE49-F238E27FC236}">
              <a16:creationId xmlns:a16="http://schemas.microsoft.com/office/drawing/2014/main" id="{68C777C9-A511-40B0-B2B8-EDD2A9316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57706D-AB23-4B1F-8532-625250865254}" name="Table1" displayName="Table1" ref="A25:E34" totalsRowShown="0" headerRowDxfId="12" headerRowBorderDxfId="11" tableBorderDxfId="10" totalsRowBorderDxfId="9">
  <tableColumns count="5">
    <tableColumn id="1" xr3:uid="{28580A3B-3F4E-4A37-BC94-2E8CE0655DC7}" name="Call ID" dataDxfId="8"/>
    <tableColumn id="2" xr3:uid="{9C98D369-89A1-413D-832D-B708F90B2F12}" name="Date" dataDxfId="7"/>
    <tableColumn id="3" xr3:uid="{BAC57511-4D4D-4768-8B82-584710B53934}" name="Type of Call" dataDxfId="6"/>
    <tableColumn id="4" xr3:uid="{2BCA89D2-AB5A-4226-9819-0E9CBCD8624B}" name="Description" dataDxfId="5"/>
    <tableColumn id="5" xr3:uid="{1A89085B-E349-4311-A38B-1B6453BCBADF}" name="Action Taken" dataDxfId="4"/>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F02D0-31CD-418F-9176-2B8D140631D6}">
  <sheetPr codeName="Sheet1"/>
  <dimension ref="A1:E34"/>
  <sheetViews>
    <sheetView tabSelected="1" workbookViewId="0">
      <selection activeCell="E15" sqref="E15"/>
    </sheetView>
  </sheetViews>
  <sheetFormatPr defaultRowHeight="14.6" x14ac:dyDescent="0.4"/>
  <cols>
    <col min="10" max="10" width="11.3046875" customWidth="1"/>
  </cols>
  <sheetData>
    <row r="1" spans="1:4" x14ac:dyDescent="0.4">
      <c r="A1" t="s">
        <v>0</v>
      </c>
    </row>
    <row r="2" spans="1:4" x14ac:dyDescent="0.4">
      <c r="A2" t="s">
        <v>1</v>
      </c>
    </row>
    <row r="3" spans="1:4" x14ac:dyDescent="0.4">
      <c r="A3" t="s">
        <v>2</v>
      </c>
    </row>
    <row r="4" spans="1:4" x14ac:dyDescent="0.4">
      <c r="D4" s="1" t="s">
        <v>3</v>
      </c>
    </row>
    <row r="7" spans="1:4" x14ac:dyDescent="0.4">
      <c r="A7" t="s">
        <v>4</v>
      </c>
      <c r="B7" t="s">
        <v>5</v>
      </c>
    </row>
    <row r="8" spans="1:4" x14ac:dyDescent="0.4">
      <c r="A8" t="s">
        <v>6</v>
      </c>
      <c r="B8">
        <v>3.99</v>
      </c>
    </row>
    <row r="9" spans="1:4" x14ac:dyDescent="0.4">
      <c r="A9" t="s">
        <v>7</v>
      </c>
      <c r="B9">
        <v>1</v>
      </c>
    </row>
    <row r="10" spans="1:4" x14ac:dyDescent="0.4">
      <c r="A10" t="s">
        <v>8</v>
      </c>
      <c r="B10">
        <v>2.25</v>
      </c>
    </row>
    <row r="11" spans="1:4" x14ac:dyDescent="0.4">
      <c r="A11" t="s">
        <v>9</v>
      </c>
      <c r="B11">
        <v>1.99</v>
      </c>
    </row>
    <row r="12" spans="1:4" x14ac:dyDescent="0.4">
      <c r="A12" t="s">
        <v>10</v>
      </c>
      <c r="B12">
        <v>3.99</v>
      </c>
    </row>
    <row r="13" spans="1:4" x14ac:dyDescent="0.4">
      <c r="A13" t="s">
        <v>11</v>
      </c>
    </row>
    <row r="25" spans="1:5" x14ac:dyDescent="0.4">
      <c r="A25" s="2" t="s">
        <v>12</v>
      </c>
      <c r="B25" s="3" t="s">
        <v>13</v>
      </c>
      <c r="C25" s="4" t="s">
        <v>14</v>
      </c>
      <c r="D25" s="4" t="s">
        <v>15</v>
      </c>
      <c r="E25" s="5" t="s">
        <v>16</v>
      </c>
    </row>
    <row r="26" spans="1:5" x14ac:dyDescent="0.4">
      <c r="A26" s="6" t="s">
        <v>17</v>
      </c>
      <c r="B26" s="7">
        <v>45266</v>
      </c>
      <c r="C26" s="8" t="s">
        <v>18</v>
      </c>
      <c r="D26" s="8" t="s">
        <v>19</v>
      </c>
      <c r="E26" s="9" t="s">
        <v>20</v>
      </c>
    </row>
    <row r="27" spans="1:5" x14ac:dyDescent="0.4">
      <c r="A27" s="6" t="s">
        <v>21</v>
      </c>
      <c r="B27" s="7">
        <v>45266</v>
      </c>
      <c r="C27" s="8" t="s">
        <v>22</v>
      </c>
      <c r="D27" s="8" t="s">
        <v>23</v>
      </c>
      <c r="E27" s="9" t="s">
        <v>24</v>
      </c>
    </row>
    <row r="28" spans="1:5" x14ac:dyDescent="0.4">
      <c r="A28" s="6" t="s">
        <v>25</v>
      </c>
      <c r="B28" s="7">
        <v>45267</v>
      </c>
      <c r="C28" s="8" t="s">
        <v>26</v>
      </c>
      <c r="D28" s="8" t="s">
        <v>27</v>
      </c>
      <c r="E28" s="9" t="s">
        <v>28</v>
      </c>
    </row>
    <row r="29" spans="1:5" x14ac:dyDescent="0.4">
      <c r="A29" s="6" t="s">
        <v>29</v>
      </c>
      <c r="B29" s="7">
        <v>45267</v>
      </c>
      <c r="C29" s="8" t="s">
        <v>30</v>
      </c>
      <c r="D29" s="8" t="s">
        <v>31</v>
      </c>
      <c r="E29" s="9" t="s">
        <v>32</v>
      </c>
    </row>
    <row r="30" spans="1:5" x14ac:dyDescent="0.4">
      <c r="A30" s="6" t="s">
        <v>33</v>
      </c>
      <c r="B30" s="7">
        <v>45268</v>
      </c>
      <c r="C30" s="8" t="s">
        <v>30</v>
      </c>
      <c r="D30" s="8" t="s">
        <v>34</v>
      </c>
      <c r="E30" s="9" t="s">
        <v>32</v>
      </c>
    </row>
    <row r="31" spans="1:5" x14ac:dyDescent="0.4">
      <c r="A31" s="6" t="s">
        <v>35</v>
      </c>
      <c r="B31" s="7">
        <v>45268</v>
      </c>
      <c r="C31" s="8" t="s">
        <v>18</v>
      </c>
      <c r="D31" s="8" t="s">
        <v>36</v>
      </c>
      <c r="E31" s="9" t="s">
        <v>20</v>
      </c>
    </row>
    <row r="32" spans="1:5" x14ac:dyDescent="0.4">
      <c r="A32" s="6" t="s">
        <v>37</v>
      </c>
      <c r="B32" s="7">
        <v>45269</v>
      </c>
      <c r="C32" s="8" t="s">
        <v>18</v>
      </c>
      <c r="D32" s="8" t="s">
        <v>38</v>
      </c>
      <c r="E32" s="9" t="s">
        <v>20</v>
      </c>
    </row>
    <row r="33" spans="1:5" x14ac:dyDescent="0.4">
      <c r="A33" s="6" t="s">
        <v>39</v>
      </c>
      <c r="B33" s="7"/>
      <c r="C33" s="8"/>
      <c r="D33" s="8"/>
      <c r="E33" s="9"/>
    </row>
    <row r="34" spans="1:5" x14ac:dyDescent="0.4">
      <c r="A34" s="10" t="s">
        <v>40</v>
      </c>
      <c r="B34" s="11"/>
      <c r="C34" s="12"/>
      <c r="D34" s="12"/>
      <c r="E34" s="13"/>
    </row>
  </sheetData>
  <dataValidations count="2">
    <dataValidation type="list" allowBlank="1" showInputMessage="1" showErrorMessage="1" sqref="E26:E34" xr:uid="{8D9A752E-231E-4004-B86C-D1602499F5C0}">
      <formula1>"None needed, New order despatched - emailed returns label, Details sent to website team, Details sent to accounts team, Asked customer to email, Returns label emailed, Asked customer to phone customer services"</formula1>
    </dataValidation>
    <dataValidation type="list" allowBlank="1" showInputMessage="1" showErrorMessage="1" sqref="C26:C34" xr:uid="{2853D837-1E46-4EE6-A6F2-16A78BA64715}">
      <formula1>"Product enquiry, Customer Complaint, Delivery enquiry, Website problem, Payment enquiry, Stores enquiry, Other"</formula1>
    </dataValidation>
  </dataValidation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94AF5-3849-4ED3-A861-C55613EFD301}">
  <sheetPr codeName="Sheet10"/>
  <dimension ref="A1:N203"/>
  <sheetViews>
    <sheetView topLeftCell="A25" workbookViewId="0">
      <selection activeCell="D3" sqref="D3"/>
    </sheetView>
  </sheetViews>
  <sheetFormatPr defaultRowHeight="14.6" x14ac:dyDescent="0.4"/>
  <sheetData>
    <row r="1" spans="1:14" ht="18.899999999999999" thickBot="1" x14ac:dyDescent="0.55000000000000004">
      <c r="A1" s="245" t="s">
        <v>226</v>
      </c>
      <c r="B1" s="47"/>
      <c r="C1" s="47"/>
      <c r="D1" s="47"/>
      <c r="E1" s="47"/>
      <c r="F1" s="47"/>
      <c r="G1" s="47"/>
      <c r="H1" s="47"/>
      <c r="I1" s="47"/>
      <c r="J1" s="47"/>
      <c r="K1" s="47"/>
      <c r="L1" s="47"/>
      <c r="M1" s="47"/>
      <c r="N1" s="47"/>
    </row>
    <row r="2" spans="1:14" x14ac:dyDescent="0.4">
      <c r="A2" t="s">
        <v>227</v>
      </c>
    </row>
    <row r="3" spans="1:14" x14ac:dyDescent="0.4">
      <c r="A3" t="s">
        <v>228</v>
      </c>
    </row>
    <row r="4" spans="1:14" x14ac:dyDescent="0.4">
      <c r="A4" s="183"/>
    </row>
    <row r="5" spans="1:14" x14ac:dyDescent="0.4">
      <c r="A5" t="s">
        <v>229</v>
      </c>
    </row>
    <row r="6" spans="1:14" x14ac:dyDescent="0.4">
      <c r="A6" t="s">
        <v>230</v>
      </c>
    </row>
    <row r="7" spans="1:14" x14ac:dyDescent="0.4">
      <c r="A7" s="183"/>
    </row>
    <row r="8" spans="1:14" x14ac:dyDescent="0.4">
      <c r="A8" t="s">
        <v>231</v>
      </c>
    </row>
    <row r="9" spans="1:14" x14ac:dyDescent="0.4">
      <c r="A9" t="s">
        <v>232</v>
      </c>
    </row>
    <row r="10" spans="1:14" x14ac:dyDescent="0.4">
      <c r="A10" s="183"/>
    </row>
    <row r="11" spans="1:14" x14ac:dyDescent="0.4">
      <c r="A11" t="s">
        <v>233</v>
      </c>
    </row>
    <row r="12" spans="1:14" x14ac:dyDescent="0.4">
      <c r="A12" t="s">
        <v>234</v>
      </c>
    </row>
    <row r="13" spans="1:14" x14ac:dyDescent="0.4">
      <c r="A13" s="183"/>
    </row>
    <row r="14" spans="1:14" x14ac:dyDescent="0.4">
      <c r="A14" t="s">
        <v>235</v>
      </c>
    </row>
    <row r="15" spans="1:14" x14ac:dyDescent="0.4">
      <c r="A15" s="183"/>
    </row>
    <row r="16" spans="1:14" x14ac:dyDescent="0.4">
      <c r="A16" t="s">
        <v>236</v>
      </c>
    </row>
    <row r="17" spans="1:14" x14ac:dyDescent="0.4">
      <c r="A17" s="183"/>
    </row>
    <row r="18" spans="1:14" x14ac:dyDescent="0.4">
      <c r="A18" s="246"/>
      <c r="B18" s="286" t="s">
        <v>237</v>
      </c>
      <c r="C18" s="286"/>
      <c r="D18" s="286"/>
      <c r="E18" s="286"/>
      <c r="F18" s="286"/>
      <c r="G18" s="286"/>
      <c r="H18" s="286"/>
      <c r="I18" s="286"/>
      <c r="J18" s="286"/>
      <c r="K18" s="286"/>
      <c r="L18" s="286"/>
      <c r="M18" s="286"/>
      <c r="N18" s="286"/>
    </row>
    <row r="19" spans="1:14" x14ac:dyDescent="0.4">
      <c r="A19" s="183"/>
    </row>
    <row r="20" spans="1:14" x14ac:dyDescent="0.4">
      <c r="A20" t="s">
        <v>238</v>
      </c>
    </row>
    <row r="21" spans="1:14" x14ac:dyDescent="0.4">
      <c r="A21" s="183"/>
      <c r="B21" t="s">
        <v>239</v>
      </c>
    </row>
    <row r="22" spans="1:14" x14ac:dyDescent="0.4">
      <c r="A22" s="183"/>
      <c r="B22" t="s">
        <v>240</v>
      </c>
    </row>
    <row r="23" spans="1:14" x14ac:dyDescent="0.4">
      <c r="A23" s="183"/>
      <c r="B23" t="s">
        <v>241</v>
      </c>
    </row>
    <row r="24" spans="1:14" x14ac:dyDescent="0.4">
      <c r="A24" s="183"/>
    </row>
    <row r="25" spans="1:14" x14ac:dyDescent="0.4">
      <c r="A25" t="s">
        <v>242</v>
      </c>
    </row>
    <row r="26" spans="1:14" x14ac:dyDescent="0.4">
      <c r="A26" t="s">
        <v>243</v>
      </c>
    </row>
    <row r="27" spans="1:14" x14ac:dyDescent="0.4">
      <c r="A27" s="183"/>
    </row>
    <row r="28" spans="1:14" x14ac:dyDescent="0.4">
      <c r="A28" t="s">
        <v>244</v>
      </c>
    </row>
    <row r="29" spans="1:14" x14ac:dyDescent="0.4">
      <c r="A29" t="s">
        <v>245</v>
      </c>
    </row>
    <row r="30" spans="1:14" x14ac:dyDescent="0.4">
      <c r="A30" s="183"/>
    </row>
    <row r="31" spans="1:14" x14ac:dyDescent="0.4">
      <c r="B31" s="286" t="s">
        <v>246</v>
      </c>
      <c r="C31" s="286"/>
      <c r="D31" s="286"/>
      <c r="E31" s="286"/>
      <c r="F31" s="286"/>
      <c r="G31" s="286"/>
      <c r="H31" s="286"/>
      <c r="I31" s="286"/>
      <c r="J31" s="286"/>
      <c r="K31" s="286"/>
      <c r="L31" s="286"/>
      <c r="M31" s="286"/>
      <c r="N31" s="286"/>
    </row>
    <row r="32" spans="1:14" x14ac:dyDescent="0.4">
      <c r="A32" s="183"/>
    </row>
    <row r="33" spans="1:1" x14ac:dyDescent="0.4">
      <c r="A33" t="s">
        <v>247</v>
      </c>
    </row>
    <row r="34" spans="1:1" x14ac:dyDescent="0.4">
      <c r="A34" s="183"/>
    </row>
    <row r="35" spans="1:1" x14ac:dyDescent="0.4">
      <c r="A35" s="183"/>
    </row>
    <row r="36" spans="1:1" x14ac:dyDescent="0.4">
      <c r="A36" s="183"/>
    </row>
    <row r="37" spans="1:1" x14ac:dyDescent="0.4">
      <c r="A37" s="183"/>
    </row>
    <row r="38" spans="1:1" x14ac:dyDescent="0.4">
      <c r="A38" s="183"/>
    </row>
    <row r="39" spans="1:1" x14ac:dyDescent="0.4">
      <c r="A39" s="183"/>
    </row>
    <row r="40" spans="1:1" x14ac:dyDescent="0.4">
      <c r="A40" s="183"/>
    </row>
    <row r="41" spans="1:1" x14ac:dyDescent="0.4">
      <c r="A41" s="183"/>
    </row>
    <row r="42" spans="1:1" x14ac:dyDescent="0.4">
      <c r="A42" s="183"/>
    </row>
    <row r="43" spans="1:1" x14ac:dyDescent="0.4">
      <c r="A43" s="183"/>
    </row>
    <row r="44" spans="1:1" x14ac:dyDescent="0.4">
      <c r="A44" s="183"/>
    </row>
    <row r="45" spans="1:1" x14ac:dyDescent="0.4">
      <c r="A45" s="183"/>
    </row>
    <row r="46" spans="1:1" x14ac:dyDescent="0.4">
      <c r="A46" s="183"/>
    </row>
    <row r="47" spans="1:1" x14ac:dyDescent="0.4">
      <c r="A47" s="183"/>
    </row>
    <row r="48" spans="1:1" x14ac:dyDescent="0.4">
      <c r="A48" s="183"/>
    </row>
    <row r="49" spans="1:1" x14ac:dyDescent="0.4">
      <c r="A49" s="183"/>
    </row>
    <row r="50" spans="1:1" x14ac:dyDescent="0.4">
      <c r="A50" s="183"/>
    </row>
    <row r="51" spans="1:1" x14ac:dyDescent="0.4">
      <c r="A51" s="183"/>
    </row>
    <row r="52" spans="1:1" x14ac:dyDescent="0.4">
      <c r="A52" s="183"/>
    </row>
    <row r="53" spans="1:1" x14ac:dyDescent="0.4">
      <c r="A53" s="183"/>
    </row>
    <row r="54" spans="1:1" x14ac:dyDescent="0.4">
      <c r="A54" s="183"/>
    </row>
    <row r="55" spans="1:1" x14ac:dyDescent="0.4">
      <c r="A55" s="183"/>
    </row>
    <row r="56" spans="1:1" x14ac:dyDescent="0.4">
      <c r="A56" s="183"/>
    </row>
    <row r="57" spans="1:1" x14ac:dyDescent="0.4">
      <c r="A57" s="183"/>
    </row>
    <row r="58" spans="1:1" x14ac:dyDescent="0.4">
      <c r="A58" s="183"/>
    </row>
    <row r="59" spans="1:1" x14ac:dyDescent="0.4">
      <c r="A59" s="183"/>
    </row>
    <row r="60" spans="1:1" x14ac:dyDescent="0.4">
      <c r="A60" s="183"/>
    </row>
    <row r="61" spans="1:1" x14ac:dyDescent="0.4">
      <c r="A61" s="183"/>
    </row>
    <row r="62" spans="1:1" x14ac:dyDescent="0.4">
      <c r="A62" s="183"/>
    </row>
    <row r="63" spans="1:1" x14ac:dyDescent="0.4">
      <c r="A63" s="183"/>
    </row>
    <row r="64" spans="1:1" x14ac:dyDescent="0.4">
      <c r="A64" s="183"/>
    </row>
    <row r="65" spans="1:1" x14ac:dyDescent="0.4">
      <c r="A65" s="183"/>
    </row>
    <row r="66" spans="1:1" x14ac:dyDescent="0.4">
      <c r="A66" s="183"/>
    </row>
    <row r="67" spans="1:1" x14ac:dyDescent="0.4">
      <c r="A67" s="183"/>
    </row>
    <row r="68" spans="1:1" x14ac:dyDescent="0.4">
      <c r="A68" s="183"/>
    </row>
    <row r="69" spans="1:1" x14ac:dyDescent="0.4">
      <c r="A69" s="183"/>
    </row>
    <row r="70" spans="1:1" x14ac:dyDescent="0.4">
      <c r="A70" s="183"/>
    </row>
    <row r="71" spans="1:1" x14ac:dyDescent="0.4">
      <c r="A71" s="183"/>
    </row>
    <row r="72" spans="1:1" x14ac:dyDescent="0.4">
      <c r="A72" s="183"/>
    </row>
    <row r="73" spans="1:1" x14ac:dyDescent="0.4">
      <c r="A73" s="183"/>
    </row>
    <row r="74" spans="1:1" x14ac:dyDescent="0.4">
      <c r="A74" s="183"/>
    </row>
    <row r="75" spans="1:1" x14ac:dyDescent="0.4">
      <c r="A75" s="183"/>
    </row>
    <row r="76" spans="1:1" x14ac:dyDescent="0.4">
      <c r="A76" s="183"/>
    </row>
    <row r="77" spans="1:1" x14ac:dyDescent="0.4">
      <c r="A77" s="183"/>
    </row>
    <row r="78" spans="1:1" x14ac:dyDescent="0.4">
      <c r="A78" s="183"/>
    </row>
    <row r="79" spans="1:1" x14ac:dyDescent="0.4">
      <c r="A79" s="183"/>
    </row>
    <row r="80" spans="1:1" x14ac:dyDescent="0.4">
      <c r="A80" s="183"/>
    </row>
    <row r="81" spans="1:1" x14ac:dyDescent="0.4">
      <c r="A81" s="183"/>
    </row>
    <row r="82" spans="1:1" x14ac:dyDescent="0.4">
      <c r="A82" s="183"/>
    </row>
    <row r="83" spans="1:1" x14ac:dyDescent="0.4">
      <c r="A83" s="183"/>
    </row>
    <row r="84" spans="1:1" x14ac:dyDescent="0.4">
      <c r="A84" s="183"/>
    </row>
    <row r="85" spans="1:1" x14ac:dyDescent="0.4">
      <c r="A85" s="183"/>
    </row>
    <row r="86" spans="1:1" x14ac:dyDescent="0.4">
      <c r="A86" s="183"/>
    </row>
    <row r="87" spans="1:1" x14ac:dyDescent="0.4">
      <c r="A87" s="183"/>
    </row>
    <row r="88" spans="1:1" x14ac:dyDescent="0.4">
      <c r="A88" s="183"/>
    </row>
    <row r="89" spans="1:1" x14ac:dyDescent="0.4">
      <c r="A89" s="183"/>
    </row>
    <row r="90" spans="1:1" x14ac:dyDescent="0.4">
      <c r="A90" s="183"/>
    </row>
    <row r="91" spans="1:1" x14ac:dyDescent="0.4">
      <c r="A91" s="183"/>
    </row>
    <row r="92" spans="1:1" x14ac:dyDescent="0.4">
      <c r="A92" s="183"/>
    </row>
    <row r="93" spans="1:1" x14ac:dyDescent="0.4">
      <c r="A93" s="183"/>
    </row>
    <row r="94" spans="1:1" x14ac:dyDescent="0.4">
      <c r="A94" s="183"/>
    </row>
    <row r="95" spans="1:1" x14ac:dyDescent="0.4">
      <c r="A95" s="183"/>
    </row>
    <row r="96" spans="1:1" x14ac:dyDescent="0.4">
      <c r="A96" s="183"/>
    </row>
    <row r="97" spans="1:1" x14ac:dyDescent="0.4">
      <c r="A97" s="183"/>
    </row>
    <row r="98" spans="1:1" x14ac:dyDescent="0.4">
      <c r="A98" s="183"/>
    </row>
    <row r="99" spans="1:1" x14ac:dyDescent="0.4">
      <c r="A99" s="183"/>
    </row>
    <row r="100" spans="1:1" x14ac:dyDescent="0.4">
      <c r="A100" s="183"/>
    </row>
    <row r="101" spans="1:1" x14ac:dyDescent="0.4">
      <c r="A101" s="183"/>
    </row>
    <row r="102" spans="1:1" x14ac:dyDescent="0.4">
      <c r="A102" s="183"/>
    </row>
    <row r="103" spans="1:1" x14ac:dyDescent="0.4">
      <c r="A103" s="183"/>
    </row>
    <row r="104" spans="1:1" x14ac:dyDescent="0.4">
      <c r="A104" s="183"/>
    </row>
    <row r="105" spans="1:1" x14ac:dyDescent="0.4">
      <c r="A105" s="183"/>
    </row>
    <row r="106" spans="1:1" x14ac:dyDescent="0.4">
      <c r="A106" s="183"/>
    </row>
    <row r="107" spans="1:1" x14ac:dyDescent="0.4">
      <c r="A107" s="183"/>
    </row>
    <row r="108" spans="1:1" x14ac:dyDescent="0.4">
      <c r="A108" s="183"/>
    </row>
    <row r="109" spans="1:1" x14ac:dyDescent="0.4">
      <c r="A109" s="183"/>
    </row>
    <row r="110" spans="1:1" x14ac:dyDescent="0.4">
      <c r="A110" s="183"/>
    </row>
    <row r="111" spans="1:1" x14ac:dyDescent="0.4">
      <c r="A111" s="183"/>
    </row>
    <row r="112" spans="1:1" x14ac:dyDescent="0.4">
      <c r="A112" s="183"/>
    </row>
    <row r="113" spans="1:1" x14ac:dyDescent="0.4">
      <c r="A113" s="183"/>
    </row>
    <row r="114" spans="1:1" x14ac:dyDescent="0.4">
      <c r="A114" s="183"/>
    </row>
    <row r="115" spans="1:1" x14ac:dyDescent="0.4">
      <c r="A115" s="183"/>
    </row>
    <row r="116" spans="1:1" x14ac:dyDescent="0.4">
      <c r="A116" s="183"/>
    </row>
    <row r="117" spans="1:1" x14ac:dyDescent="0.4">
      <c r="A117" s="183"/>
    </row>
    <row r="118" spans="1:1" x14ac:dyDescent="0.4">
      <c r="A118" s="183"/>
    </row>
    <row r="119" spans="1:1" x14ac:dyDescent="0.4">
      <c r="A119" s="183"/>
    </row>
    <row r="120" spans="1:1" x14ac:dyDescent="0.4">
      <c r="A120" s="183"/>
    </row>
    <row r="121" spans="1:1" x14ac:dyDescent="0.4">
      <c r="A121" s="183"/>
    </row>
    <row r="122" spans="1:1" x14ac:dyDescent="0.4">
      <c r="A122" s="183"/>
    </row>
    <row r="123" spans="1:1" x14ac:dyDescent="0.4">
      <c r="A123" s="183"/>
    </row>
    <row r="124" spans="1:1" x14ac:dyDescent="0.4">
      <c r="A124" s="183"/>
    </row>
    <row r="125" spans="1:1" x14ac:dyDescent="0.4">
      <c r="A125" s="183"/>
    </row>
    <row r="126" spans="1:1" x14ac:dyDescent="0.4">
      <c r="A126" s="183"/>
    </row>
    <row r="127" spans="1:1" x14ac:dyDescent="0.4">
      <c r="A127" s="183"/>
    </row>
    <row r="128" spans="1:1" x14ac:dyDescent="0.4">
      <c r="A128" s="183"/>
    </row>
    <row r="129" spans="1:1" x14ac:dyDescent="0.4">
      <c r="A129" s="183"/>
    </row>
    <row r="130" spans="1:1" x14ac:dyDescent="0.4">
      <c r="A130" s="183"/>
    </row>
    <row r="131" spans="1:1" x14ac:dyDescent="0.4">
      <c r="A131" s="183"/>
    </row>
    <row r="132" spans="1:1" x14ac:dyDescent="0.4">
      <c r="A132" s="183"/>
    </row>
    <row r="133" spans="1:1" x14ac:dyDescent="0.4">
      <c r="A133" s="183"/>
    </row>
    <row r="134" spans="1:1" x14ac:dyDescent="0.4">
      <c r="A134" s="183"/>
    </row>
    <row r="135" spans="1:1" x14ac:dyDescent="0.4">
      <c r="A135" s="183"/>
    </row>
    <row r="136" spans="1:1" x14ac:dyDescent="0.4">
      <c r="A136" s="183"/>
    </row>
    <row r="137" spans="1:1" x14ac:dyDescent="0.4">
      <c r="A137" s="183"/>
    </row>
    <row r="138" spans="1:1" x14ac:dyDescent="0.4">
      <c r="A138" s="183"/>
    </row>
    <row r="139" spans="1:1" x14ac:dyDescent="0.4">
      <c r="A139" s="183"/>
    </row>
    <row r="140" spans="1:1" x14ac:dyDescent="0.4">
      <c r="A140" s="183"/>
    </row>
    <row r="141" spans="1:1" x14ac:dyDescent="0.4">
      <c r="A141" s="183"/>
    </row>
    <row r="142" spans="1:1" x14ac:dyDescent="0.4">
      <c r="A142" s="183"/>
    </row>
    <row r="143" spans="1:1" x14ac:dyDescent="0.4">
      <c r="A143" s="183"/>
    </row>
    <row r="144" spans="1:1" x14ac:dyDescent="0.4">
      <c r="A144" s="183"/>
    </row>
    <row r="145" spans="1:1" x14ac:dyDescent="0.4">
      <c r="A145" s="183"/>
    </row>
    <row r="146" spans="1:1" x14ac:dyDescent="0.4">
      <c r="A146" s="183"/>
    </row>
    <row r="147" spans="1:1" x14ac:dyDescent="0.4">
      <c r="A147" s="183"/>
    </row>
    <row r="148" spans="1:1" x14ac:dyDescent="0.4">
      <c r="A148" s="183"/>
    </row>
    <row r="149" spans="1:1" x14ac:dyDescent="0.4">
      <c r="A149" s="183"/>
    </row>
    <row r="150" spans="1:1" x14ac:dyDescent="0.4">
      <c r="A150" s="183"/>
    </row>
    <row r="151" spans="1:1" x14ac:dyDescent="0.4">
      <c r="A151" s="183"/>
    </row>
    <row r="152" spans="1:1" x14ac:dyDescent="0.4">
      <c r="A152" s="183"/>
    </row>
    <row r="153" spans="1:1" x14ac:dyDescent="0.4">
      <c r="A153" s="183"/>
    </row>
    <row r="154" spans="1:1" x14ac:dyDescent="0.4">
      <c r="A154" s="183"/>
    </row>
    <row r="155" spans="1:1" x14ac:dyDescent="0.4">
      <c r="A155" s="183"/>
    </row>
    <row r="156" spans="1:1" x14ac:dyDescent="0.4">
      <c r="A156" s="183"/>
    </row>
    <row r="157" spans="1:1" x14ac:dyDescent="0.4">
      <c r="A157" s="183"/>
    </row>
    <row r="158" spans="1:1" x14ac:dyDescent="0.4">
      <c r="A158" s="183"/>
    </row>
    <row r="159" spans="1:1" x14ac:dyDescent="0.4">
      <c r="A159" s="183"/>
    </row>
    <row r="160" spans="1:1" x14ac:dyDescent="0.4">
      <c r="A160" s="183"/>
    </row>
    <row r="161" spans="1:1" x14ac:dyDescent="0.4">
      <c r="A161" s="183"/>
    </row>
    <row r="162" spans="1:1" x14ac:dyDescent="0.4">
      <c r="A162" s="183"/>
    </row>
    <row r="163" spans="1:1" x14ac:dyDescent="0.4">
      <c r="A163" s="183"/>
    </row>
    <row r="164" spans="1:1" x14ac:dyDescent="0.4">
      <c r="A164" s="183"/>
    </row>
    <row r="165" spans="1:1" x14ac:dyDescent="0.4">
      <c r="A165" s="183"/>
    </row>
    <row r="166" spans="1:1" x14ac:dyDescent="0.4">
      <c r="A166" s="183"/>
    </row>
    <row r="167" spans="1:1" x14ac:dyDescent="0.4">
      <c r="A167" s="183"/>
    </row>
    <row r="168" spans="1:1" x14ac:dyDescent="0.4">
      <c r="A168" s="183"/>
    </row>
    <row r="169" spans="1:1" x14ac:dyDescent="0.4">
      <c r="A169" s="183"/>
    </row>
    <row r="170" spans="1:1" x14ac:dyDescent="0.4">
      <c r="A170" s="183"/>
    </row>
    <row r="171" spans="1:1" x14ac:dyDescent="0.4">
      <c r="A171" s="183"/>
    </row>
    <row r="172" spans="1:1" x14ac:dyDescent="0.4">
      <c r="A172" s="183"/>
    </row>
    <row r="173" spans="1:1" x14ac:dyDescent="0.4">
      <c r="A173" s="183"/>
    </row>
    <row r="174" spans="1:1" x14ac:dyDescent="0.4">
      <c r="A174" s="183"/>
    </row>
    <row r="175" spans="1:1" x14ac:dyDescent="0.4">
      <c r="A175" s="183"/>
    </row>
    <row r="176" spans="1:1" x14ac:dyDescent="0.4">
      <c r="A176" s="183"/>
    </row>
    <row r="177" spans="1:1" x14ac:dyDescent="0.4">
      <c r="A177" s="183"/>
    </row>
    <row r="178" spans="1:1" x14ac:dyDescent="0.4">
      <c r="A178" s="183"/>
    </row>
    <row r="179" spans="1:1" x14ac:dyDescent="0.4">
      <c r="A179" s="183"/>
    </row>
    <row r="180" spans="1:1" x14ac:dyDescent="0.4">
      <c r="A180" s="183"/>
    </row>
    <row r="181" spans="1:1" x14ac:dyDescent="0.4">
      <c r="A181" s="183"/>
    </row>
    <row r="182" spans="1:1" x14ac:dyDescent="0.4">
      <c r="A182" s="183"/>
    </row>
    <row r="183" spans="1:1" x14ac:dyDescent="0.4">
      <c r="A183" s="183"/>
    </row>
    <row r="184" spans="1:1" x14ac:dyDescent="0.4">
      <c r="A184" s="183"/>
    </row>
    <row r="185" spans="1:1" x14ac:dyDescent="0.4">
      <c r="A185" s="183"/>
    </row>
    <row r="186" spans="1:1" x14ac:dyDescent="0.4">
      <c r="A186" s="183"/>
    </row>
    <row r="187" spans="1:1" x14ac:dyDescent="0.4">
      <c r="A187" s="183"/>
    </row>
    <row r="188" spans="1:1" x14ac:dyDescent="0.4">
      <c r="A188" s="183"/>
    </row>
    <row r="189" spans="1:1" x14ac:dyDescent="0.4">
      <c r="A189" s="183"/>
    </row>
    <row r="190" spans="1:1" x14ac:dyDescent="0.4">
      <c r="A190" s="183"/>
    </row>
    <row r="191" spans="1:1" x14ac:dyDescent="0.4">
      <c r="A191" s="183"/>
    </row>
    <row r="192" spans="1:1" x14ac:dyDescent="0.4">
      <c r="A192" s="183"/>
    </row>
    <row r="193" spans="1:1" x14ac:dyDescent="0.4">
      <c r="A193" s="183"/>
    </row>
    <row r="194" spans="1:1" x14ac:dyDescent="0.4">
      <c r="A194" s="183"/>
    </row>
    <row r="195" spans="1:1" x14ac:dyDescent="0.4">
      <c r="A195" s="183"/>
    </row>
    <row r="196" spans="1:1" x14ac:dyDescent="0.4">
      <c r="A196" s="183"/>
    </row>
    <row r="197" spans="1:1" x14ac:dyDescent="0.4">
      <c r="A197" s="183"/>
    </row>
    <row r="198" spans="1:1" x14ac:dyDescent="0.4">
      <c r="A198" s="183"/>
    </row>
    <row r="199" spans="1:1" x14ac:dyDescent="0.4">
      <c r="A199" s="183"/>
    </row>
    <row r="200" spans="1:1" x14ac:dyDescent="0.4">
      <c r="A200" s="183"/>
    </row>
    <row r="201" spans="1:1" x14ac:dyDescent="0.4">
      <c r="A201" s="183"/>
    </row>
    <row r="202" spans="1:1" x14ac:dyDescent="0.4">
      <c r="A202" s="183"/>
    </row>
    <row r="203" spans="1:1" x14ac:dyDescent="0.4">
      <c r="A203" s="183"/>
    </row>
  </sheetData>
  <mergeCells count="2">
    <mergeCell ref="B18:N18"/>
    <mergeCell ref="B31:N3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7C0E-C462-45D2-9A83-7F461536BFCA}">
  <sheetPr codeName="Sheet11"/>
  <dimension ref="A1:L39"/>
  <sheetViews>
    <sheetView topLeftCell="A10" workbookViewId="0">
      <selection activeCell="O18" sqref="O18"/>
    </sheetView>
  </sheetViews>
  <sheetFormatPr defaultRowHeight="14.6" x14ac:dyDescent="0.4"/>
  <cols>
    <col min="1" max="1" width="18.53515625" customWidth="1"/>
    <col min="2" max="7" width="14.15234375" customWidth="1"/>
    <col min="8" max="8" width="14.15234375" style="144" customWidth="1"/>
    <col min="9" max="9" width="1.84375" customWidth="1"/>
    <col min="10" max="10" width="14.69140625" customWidth="1"/>
    <col min="11" max="11" width="1.69140625" customWidth="1"/>
    <col min="12" max="12" width="14.69140625" customWidth="1"/>
  </cols>
  <sheetData>
    <row r="1" spans="1:12" s="194" customFormat="1" ht="28.3" x14ac:dyDescent="0.4">
      <c r="A1" s="193" t="s">
        <v>197</v>
      </c>
      <c r="H1" s="195"/>
    </row>
    <row r="3" spans="1:12" s="95" customFormat="1" ht="17.149999999999999" customHeight="1" x14ac:dyDescent="0.4">
      <c r="A3" s="196" t="s">
        <v>198</v>
      </c>
      <c r="B3" s="196"/>
      <c r="C3" s="196"/>
      <c r="D3" s="196"/>
      <c r="E3" s="196"/>
      <c r="F3" s="196"/>
      <c r="G3" s="196"/>
      <c r="H3" s="197"/>
      <c r="I3" s="198"/>
      <c r="J3" s="287" t="s">
        <v>199</v>
      </c>
      <c r="K3" s="287"/>
      <c r="L3" s="287"/>
    </row>
    <row r="4" spans="1:12" x14ac:dyDescent="0.4">
      <c r="A4" s="199" t="s">
        <v>200</v>
      </c>
      <c r="B4" s="200" t="s">
        <v>201</v>
      </c>
      <c r="C4" s="200" t="s">
        <v>202</v>
      </c>
      <c r="D4" s="200" t="s">
        <v>203</v>
      </c>
      <c r="E4" s="200" t="s">
        <v>204</v>
      </c>
      <c r="F4" s="200" t="s">
        <v>205</v>
      </c>
      <c r="G4" s="200" t="s">
        <v>206</v>
      </c>
      <c r="H4" s="200" t="s">
        <v>55</v>
      </c>
      <c r="I4" s="201"/>
      <c r="J4" s="202" t="s">
        <v>207</v>
      </c>
      <c r="K4" s="202"/>
      <c r="L4" s="202" t="s">
        <v>208</v>
      </c>
    </row>
    <row r="5" spans="1:12" x14ac:dyDescent="0.4">
      <c r="A5" s="203" t="s">
        <v>209</v>
      </c>
      <c r="B5" s="204">
        <v>502</v>
      </c>
      <c r="C5" s="204">
        <v>460</v>
      </c>
      <c r="D5" s="204">
        <v>416</v>
      </c>
      <c r="E5" s="204">
        <v>396</v>
      </c>
      <c r="F5" s="204">
        <v>416</v>
      </c>
      <c r="G5" s="204">
        <v>349</v>
      </c>
      <c r="H5" s="205">
        <f t="shared" ref="H5:H11" si="0">AVERAGE(B5:G5)</f>
        <v>423.16666666666669</v>
      </c>
    </row>
    <row r="6" spans="1:12" x14ac:dyDescent="0.4">
      <c r="A6" s="203" t="s">
        <v>210</v>
      </c>
      <c r="B6" s="204">
        <v>1327</v>
      </c>
      <c r="C6" s="204">
        <v>2194</v>
      </c>
      <c r="D6" s="204">
        <v>1989</v>
      </c>
      <c r="E6" s="204">
        <v>861</v>
      </c>
      <c r="F6" s="204">
        <v>1989</v>
      </c>
      <c r="G6" s="204">
        <v>1249</v>
      </c>
      <c r="H6" s="205">
        <f t="shared" si="0"/>
        <v>1601.5</v>
      </c>
    </row>
    <row r="7" spans="1:12" x14ac:dyDescent="0.4">
      <c r="A7" s="203" t="s">
        <v>211</v>
      </c>
      <c r="B7" s="204">
        <v>425</v>
      </c>
      <c r="C7" s="204">
        <v>370</v>
      </c>
      <c r="D7" s="204">
        <v>297</v>
      </c>
      <c r="E7" s="204">
        <v>309</v>
      </c>
      <c r="F7" s="204">
        <v>297</v>
      </c>
      <c r="G7" s="204">
        <v>128</v>
      </c>
      <c r="H7" s="205">
        <f t="shared" si="0"/>
        <v>304.33333333333331</v>
      </c>
    </row>
    <row r="8" spans="1:12" x14ac:dyDescent="0.4">
      <c r="A8" s="203" t="s">
        <v>212</v>
      </c>
      <c r="B8" s="204">
        <v>1546</v>
      </c>
      <c r="C8" s="204">
        <v>1299</v>
      </c>
      <c r="D8" s="204">
        <v>1076</v>
      </c>
      <c r="E8" s="204">
        <v>1682</v>
      </c>
      <c r="F8" s="204">
        <v>1076</v>
      </c>
      <c r="G8" s="204">
        <v>1177</v>
      </c>
      <c r="H8" s="205">
        <f t="shared" si="0"/>
        <v>1309.3333333333333</v>
      </c>
    </row>
    <row r="9" spans="1:12" x14ac:dyDescent="0.4">
      <c r="A9" s="203" t="s">
        <v>213</v>
      </c>
      <c r="B9" s="204">
        <v>173</v>
      </c>
      <c r="C9" s="204">
        <v>347</v>
      </c>
      <c r="D9" s="204">
        <v>79</v>
      </c>
      <c r="E9" s="204">
        <v>395</v>
      </c>
      <c r="F9" s="204">
        <v>79</v>
      </c>
      <c r="G9" s="204">
        <v>279</v>
      </c>
      <c r="H9" s="205">
        <f t="shared" si="0"/>
        <v>225.33333333333334</v>
      </c>
    </row>
    <row r="10" spans="1:12" x14ac:dyDescent="0.4">
      <c r="A10" s="203" t="s">
        <v>214</v>
      </c>
      <c r="B10" s="204">
        <v>1995</v>
      </c>
      <c r="C10" s="204">
        <v>2399</v>
      </c>
      <c r="D10" s="204">
        <v>1164</v>
      </c>
      <c r="E10" s="204">
        <v>2105</v>
      </c>
      <c r="F10" s="204">
        <v>1164</v>
      </c>
      <c r="G10" s="204">
        <v>1243</v>
      </c>
      <c r="H10" s="205">
        <f t="shared" si="0"/>
        <v>1678.3333333333333</v>
      </c>
    </row>
    <row r="11" spans="1:12" x14ac:dyDescent="0.4">
      <c r="A11" s="203" t="s">
        <v>215</v>
      </c>
      <c r="B11" s="204">
        <v>1647</v>
      </c>
      <c r="C11" s="204">
        <v>2240</v>
      </c>
      <c r="D11" s="204">
        <v>1331</v>
      </c>
      <c r="E11" s="204">
        <v>761</v>
      </c>
      <c r="F11" s="204">
        <v>1331</v>
      </c>
      <c r="G11" s="204">
        <v>1611</v>
      </c>
      <c r="H11" s="205">
        <f t="shared" si="0"/>
        <v>1486.8333333333333</v>
      </c>
    </row>
    <row r="12" spans="1:12" x14ac:dyDescent="0.4">
      <c r="A12" s="203"/>
      <c r="B12" s="204"/>
      <c r="C12" s="204"/>
      <c r="D12" s="204"/>
      <c r="E12" s="204"/>
      <c r="F12" s="204"/>
      <c r="G12" s="204"/>
      <c r="H12" s="204"/>
      <c r="L12" s="206"/>
    </row>
    <row r="13" spans="1:12" x14ac:dyDescent="0.4">
      <c r="A13" s="207" t="s">
        <v>216</v>
      </c>
      <c r="B13" s="208">
        <f t="shared" ref="B13:G13" si="1">AVERAGE(B5:B11)</f>
        <v>1087.8571428571429</v>
      </c>
      <c r="C13" s="208">
        <f t="shared" si="1"/>
        <v>1329.8571428571429</v>
      </c>
      <c r="D13" s="208">
        <f t="shared" si="1"/>
        <v>907.42857142857144</v>
      </c>
      <c r="E13" s="208">
        <f t="shared" si="1"/>
        <v>929.85714285714289</v>
      </c>
      <c r="F13" s="208">
        <f t="shared" si="1"/>
        <v>907.42857142857144</v>
      </c>
      <c r="G13" s="208">
        <f t="shared" si="1"/>
        <v>862.28571428571433</v>
      </c>
      <c r="H13" s="209">
        <f>AVERAGE(B13:G13)</f>
        <v>1004.1190476190477</v>
      </c>
      <c r="J13" s="202"/>
      <c r="K13" s="202"/>
      <c r="L13" s="202"/>
    </row>
    <row r="15" spans="1:12" x14ac:dyDescent="0.4">
      <c r="D15" s="235"/>
      <c r="E15" s="235"/>
      <c r="F15" s="236">
        <v>0</v>
      </c>
      <c r="G15" s="236">
        <v>3</v>
      </c>
    </row>
    <row r="16" spans="1:12" ht="17.149999999999999" customHeight="1" x14ac:dyDescent="0.4">
      <c r="A16" s="196" t="s">
        <v>217</v>
      </c>
      <c r="B16" s="211"/>
      <c r="C16" s="211"/>
      <c r="D16" s="211"/>
      <c r="E16" s="211"/>
      <c r="F16" s="211"/>
      <c r="G16" s="211"/>
      <c r="H16" s="212"/>
      <c r="J16" s="213" t="s">
        <v>218</v>
      </c>
      <c r="K16" s="214"/>
      <c r="L16" s="214" t="s">
        <v>210</v>
      </c>
    </row>
    <row r="17" spans="1:12" x14ac:dyDescent="0.4">
      <c r="A17" s="199" t="s">
        <v>200</v>
      </c>
      <c r="B17" s="200" t="s">
        <v>201</v>
      </c>
      <c r="C17" s="200" t="s">
        <v>202</v>
      </c>
      <c r="D17" s="200" t="s">
        <v>203</v>
      </c>
      <c r="E17" s="200" t="s">
        <v>204</v>
      </c>
      <c r="F17" s="200" t="s">
        <v>205</v>
      </c>
      <c r="G17" s="200" t="s">
        <v>206</v>
      </c>
      <c r="H17" s="200" t="s">
        <v>55</v>
      </c>
      <c r="J17" s="215"/>
      <c r="K17" s="216" t="s">
        <v>219</v>
      </c>
      <c r="L17" s="215"/>
    </row>
    <row r="18" spans="1:12" x14ac:dyDescent="0.4">
      <c r="A18" s="203" t="s">
        <v>209</v>
      </c>
      <c r="B18" s="217">
        <v>2.4327790973871699</v>
      </c>
      <c r="C18" s="217">
        <v>2.1994581075448099</v>
      </c>
      <c r="D18" s="217">
        <v>3.0233676975944999</v>
      </c>
      <c r="E18" s="217">
        <v>3.11827381738919</v>
      </c>
      <c r="F18" s="217">
        <v>3.0098496240601502</v>
      </c>
      <c r="G18" s="217">
        <v>2.9145790973871701</v>
      </c>
      <c r="H18" s="218">
        <f>AVERAGE(B18:G18)</f>
        <v>2.7830512402271652</v>
      </c>
      <c r="J18" s="215"/>
      <c r="K18" s="237">
        <v>7</v>
      </c>
      <c r="L18" s="215"/>
    </row>
    <row r="19" spans="1:12" x14ac:dyDescent="0.4">
      <c r="A19" s="203" t="s">
        <v>210</v>
      </c>
      <c r="B19" s="217">
        <v>3.2837834758437499</v>
      </c>
      <c r="C19" s="217">
        <v>3.1039197812215131</v>
      </c>
      <c r="D19" s="217">
        <v>3.3183719873891002</v>
      </c>
      <c r="E19" s="217">
        <v>3.0069317118802599</v>
      </c>
      <c r="F19" s="217">
        <v>3.2859080633006799</v>
      </c>
      <c r="G19" s="217">
        <v>3.1843783779999999</v>
      </c>
      <c r="H19" s="218">
        <f t="shared" ref="H19:H24" si="2">AVERAGE(B19:G19)</f>
        <v>3.1972155662725505</v>
      </c>
      <c r="J19" s="238">
        <f>J27</f>
        <v>1601.5</v>
      </c>
      <c r="K19" s="237">
        <v>6</v>
      </c>
      <c r="L19" s="239">
        <f>L27</f>
        <v>0.8276315861414002</v>
      </c>
    </row>
    <row r="20" spans="1:12" x14ac:dyDescent="0.4">
      <c r="A20" s="203" t="s">
        <v>211</v>
      </c>
      <c r="B20" s="217">
        <v>3.82222636237627</v>
      </c>
      <c r="C20" s="217">
        <v>3.94324324324324</v>
      </c>
      <c r="D20" s="217">
        <v>3.7744107744107742</v>
      </c>
      <c r="E20" s="217">
        <v>4.1113326262000003</v>
      </c>
      <c r="F20" s="217">
        <v>4.2</v>
      </c>
      <c r="G20" s="217">
        <v>4.7100817199999998</v>
      </c>
      <c r="H20" s="218">
        <f t="shared" si="2"/>
        <v>4.0935491210383796</v>
      </c>
      <c r="J20" s="215"/>
      <c r="K20" s="237">
        <v>5</v>
      </c>
      <c r="L20" s="215"/>
    </row>
    <row r="21" spans="1:12" x14ac:dyDescent="0.4">
      <c r="A21" s="203" t="s">
        <v>212</v>
      </c>
      <c r="B21" s="217">
        <v>3.28418549346017</v>
      </c>
      <c r="C21" s="217">
        <v>3.3756735950731334</v>
      </c>
      <c r="D21" s="217">
        <v>3.4851301115241635</v>
      </c>
      <c r="E21" s="217">
        <v>3.6188272719999999</v>
      </c>
      <c r="F21" s="217">
        <v>3.3</v>
      </c>
      <c r="G21" s="217">
        <v>3.1425615461419998</v>
      </c>
      <c r="H21" s="218">
        <f t="shared" si="2"/>
        <v>3.3677296696999108</v>
      </c>
      <c r="J21" s="215"/>
      <c r="K21" s="237">
        <v>4</v>
      </c>
      <c r="L21" s="215"/>
    </row>
    <row r="22" spans="1:12" x14ac:dyDescent="0.4">
      <c r="A22" s="203" t="s">
        <v>213</v>
      </c>
      <c r="B22" s="217">
        <v>3.1111521526560999</v>
      </c>
      <c r="C22" s="217">
        <v>3.3083573487031699</v>
      </c>
      <c r="D22" s="217">
        <v>3.4050632911392404</v>
      </c>
      <c r="E22" s="217">
        <v>2.9052631578947401</v>
      </c>
      <c r="F22" s="217">
        <v>3.4624277456647401</v>
      </c>
      <c r="G22" s="217">
        <v>3.6881720430107525</v>
      </c>
      <c r="H22" s="218">
        <f t="shared" si="2"/>
        <v>3.3134059565114575</v>
      </c>
      <c r="J22" s="216" t="s">
        <v>220</v>
      </c>
      <c r="K22" s="237">
        <v>3</v>
      </c>
      <c r="L22" s="216" t="s">
        <v>221</v>
      </c>
    </row>
    <row r="23" spans="1:12" x14ac:dyDescent="0.4">
      <c r="A23" s="203" t="s">
        <v>214</v>
      </c>
      <c r="B23" s="217">
        <v>4.7872878273891004</v>
      </c>
      <c r="C23" s="217">
        <v>4.6217831391799997</v>
      </c>
      <c r="D23" s="217">
        <v>4.6513676287627801</v>
      </c>
      <c r="E23" s="217">
        <v>4.9982727812787804</v>
      </c>
      <c r="F23" s="217">
        <v>4.68387483299</v>
      </c>
      <c r="G23" s="217">
        <v>4.9114215415241</v>
      </c>
      <c r="H23" s="218">
        <f t="shared" si="2"/>
        <v>4.7756679585207928</v>
      </c>
      <c r="J23" s="215"/>
      <c r="K23" s="237">
        <v>2</v>
      </c>
      <c r="L23" s="215"/>
    </row>
    <row r="24" spans="1:12" x14ac:dyDescent="0.4">
      <c r="A24" s="203" t="s">
        <v>215</v>
      </c>
      <c r="B24" s="217">
        <v>3.4191852825229962</v>
      </c>
      <c r="C24" s="217">
        <v>3.4901785714285714</v>
      </c>
      <c r="D24" s="217">
        <v>3.5432006010518409</v>
      </c>
      <c r="E24" s="217">
        <v>3.6242816091954024</v>
      </c>
      <c r="F24" s="217">
        <v>3.6654523375834853</v>
      </c>
      <c r="G24" s="217">
        <v>3.7268777157045312</v>
      </c>
      <c r="H24" s="218">
        <f t="shared" si="2"/>
        <v>3.5781960195811382</v>
      </c>
      <c r="J24" s="215"/>
      <c r="K24" s="237">
        <v>1</v>
      </c>
      <c r="L24" s="215"/>
    </row>
    <row r="25" spans="1:12" x14ac:dyDescent="0.4">
      <c r="A25" s="203"/>
      <c r="B25" s="220"/>
      <c r="C25" s="220"/>
      <c r="D25" s="220"/>
      <c r="E25" s="220"/>
      <c r="F25" s="220"/>
      <c r="G25" s="220"/>
      <c r="H25" s="217"/>
      <c r="J25" s="215"/>
      <c r="K25" s="240"/>
      <c r="L25" s="215"/>
    </row>
    <row r="26" spans="1:12" x14ac:dyDescent="0.4">
      <c r="A26" s="207" t="s">
        <v>222</v>
      </c>
      <c r="B26" s="208">
        <f>AVERAGE(B18:B24)</f>
        <v>3.4486570988050795</v>
      </c>
      <c r="C26" s="208">
        <f t="shared" ref="C26:G26" si="3">AVERAGE(C18:C24)</f>
        <v>3.4346591123420631</v>
      </c>
      <c r="D26" s="208">
        <f t="shared" si="3"/>
        <v>3.6001302988389141</v>
      </c>
      <c r="E26" s="208">
        <f t="shared" si="3"/>
        <v>3.6261689965483397</v>
      </c>
      <c r="F26" s="208">
        <f t="shared" si="3"/>
        <v>3.6582160862284363</v>
      </c>
      <c r="G26" s="208">
        <f t="shared" si="3"/>
        <v>3.7540102916812219</v>
      </c>
      <c r="H26" s="222">
        <f>AVERAGE(B26:G26)</f>
        <v>3.5869736474073424</v>
      </c>
      <c r="J26" s="215"/>
      <c r="K26" s="240"/>
      <c r="L26" s="215"/>
    </row>
    <row r="27" spans="1:12" x14ac:dyDescent="0.4">
      <c r="J27" s="241">
        <f>VLOOKUP(L16,A5:H11,8,0)</f>
        <v>1601.5</v>
      </c>
      <c r="K27" s="242">
        <f>RANK(VLOOKUP(L16,A18:H24,8,0),H18:H24,1)</f>
        <v>2</v>
      </c>
      <c r="L27" s="243">
        <f>VLOOKUP(L16,A31:H37,8,0)</f>
        <v>0.8276315861414002</v>
      </c>
    </row>
    <row r="29" spans="1:12" ht="17.149999999999999" customHeight="1" x14ac:dyDescent="0.4">
      <c r="A29" s="196" t="s">
        <v>221</v>
      </c>
      <c r="B29" s="211"/>
      <c r="C29" s="211"/>
      <c r="D29" s="211"/>
      <c r="E29" s="211"/>
      <c r="F29" s="211"/>
      <c r="G29" s="211"/>
      <c r="H29" s="226"/>
      <c r="J29" s="287" t="s">
        <v>223</v>
      </c>
      <c r="K29" s="287"/>
      <c r="L29" s="287"/>
    </row>
    <row r="30" spans="1:12" x14ac:dyDescent="0.4">
      <c r="A30" s="199" t="s">
        <v>200</v>
      </c>
      <c r="B30" s="200" t="s">
        <v>201</v>
      </c>
      <c r="C30" s="200" t="s">
        <v>202</v>
      </c>
      <c r="D30" s="200" t="s">
        <v>203</v>
      </c>
      <c r="E30" s="200" t="s">
        <v>204</v>
      </c>
      <c r="F30" s="200" t="s">
        <v>205</v>
      </c>
      <c r="G30" s="200" t="s">
        <v>206</v>
      </c>
      <c r="H30" s="200" t="s">
        <v>55</v>
      </c>
      <c r="J30" s="202" t="s">
        <v>224</v>
      </c>
      <c r="K30" s="202"/>
      <c r="L30" s="202" t="s">
        <v>225</v>
      </c>
    </row>
    <row r="31" spans="1:12" x14ac:dyDescent="0.4">
      <c r="A31" s="203" t="s">
        <v>209</v>
      </c>
      <c r="B31" s="227">
        <v>0.75296912114014247</v>
      </c>
      <c r="C31" s="227">
        <v>0.75531471446436016</v>
      </c>
      <c r="D31" s="227">
        <v>0.75085910652920962</v>
      </c>
      <c r="E31" s="227">
        <v>0.75791139240506333</v>
      </c>
      <c r="F31" s="227">
        <v>0.75238095238095237</v>
      </c>
      <c r="G31" s="227">
        <f>85.7142857142857%-14%</f>
        <v>0.71714285714285697</v>
      </c>
      <c r="H31" s="228">
        <f>AVERAGE(B31:G31)</f>
        <v>0.74776302401043082</v>
      </c>
      <c r="J31" s="229">
        <f>(G31/B31)^(1/10)-1</f>
        <v>-4.8630524388828533E-3</v>
      </c>
      <c r="K31" s="230"/>
      <c r="L31" s="244">
        <f>J31</f>
        <v>-4.8630524388828533E-3</v>
      </c>
    </row>
    <row r="32" spans="1:12" x14ac:dyDescent="0.4">
      <c r="A32" s="203" t="s">
        <v>210</v>
      </c>
      <c r="B32" s="227">
        <v>0.80139372822299648</v>
      </c>
      <c r="C32" s="227">
        <v>0.83363719234275291</v>
      </c>
      <c r="D32" s="227">
        <v>0.82805429864253388</v>
      </c>
      <c r="E32" s="227">
        <v>0.84284377923292797</v>
      </c>
      <c r="F32" s="227">
        <v>0.81838733986435563</v>
      </c>
      <c r="G32" s="227">
        <v>0.84147317854283432</v>
      </c>
      <c r="H32" s="228">
        <f t="shared" ref="H32:H37" si="4">AVERAGE(B32:G32)</f>
        <v>0.8276315861414002</v>
      </c>
      <c r="J32" s="229">
        <f t="shared" ref="J32:J37" si="5">(G32/B32)^(1/10)-1</f>
        <v>4.8921042161853556E-3</v>
      </c>
      <c r="K32" s="230"/>
      <c r="L32" s="244">
        <f t="shared" ref="L32:L37" si="6">J32</f>
        <v>4.8921042161853556E-3</v>
      </c>
    </row>
    <row r="33" spans="1:12" x14ac:dyDescent="0.4">
      <c r="A33" s="203" t="s">
        <v>211</v>
      </c>
      <c r="B33" s="227">
        <v>0.91585760517799353</v>
      </c>
      <c r="C33" s="227">
        <v>0.93243243243243246</v>
      </c>
      <c r="D33" s="227">
        <v>0.91919191919191923</v>
      </c>
      <c r="E33" s="227">
        <v>0.95876288659793818</v>
      </c>
      <c r="F33" s="227">
        <v>0.96235294117647063</v>
      </c>
      <c r="G33" s="227">
        <v>0.984375</v>
      </c>
      <c r="H33" s="228">
        <f t="shared" si="4"/>
        <v>0.94549546409612562</v>
      </c>
      <c r="J33" s="229">
        <f t="shared" si="5"/>
        <v>7.2406901716020045E-3</v>
      </c>
      <c r="K33" s="230"/>
      <c r="L33" s="244">
        <f t="shared" si="6"/>
        <v>7.2406901716020045E-3</v>
      </c>
    </row>
    <row r="34" spans="1:12" x14ac:dyDescent="0.4">
      <c r="A34" s="203" t="s">
        <v>212</v>
      </c>
      <c r="B34" s="227">
        <v>0.87574316290130794</v>
      </c>
      <c r="C34" s="227">
        <v>0.89222478829869134</v>
      </c>
      <c r="D34" s="227">
        <v>0.89498141263940523</v>
      </c>
      <c r="E34" s="227">
        <v>0.91634689178818107</v>
      </c>
      <c r="F34" s="227">
        <v>0.91397153945666232</v>
      </c>
      <c r="G34" s="227">
        <v>0.93033135089209851</v>
      </c>
      <c r="H34" s="228">
        <f t="shared" si="4"/>
        <v>0.90393319099605762</v>
      </c>
      <c r="J34" s="229">
        <f t="shared" si="5"/>
        <v>6.0651146811083745E-3</v>
      </c>
      <c r="K34" s="230"/>
      <c r="L34" s="244">
        <f t="shared" si="6"/>
        <v>6.0651146811083745E-3</v>
      </c>
    </row>
    <row r="35" spans="1:12" x14ac:dyDescent="0.4">
      <c r="A35" s="203" t="s">
        <v>213</v>
      </c>
      <c r="B35" s="227">
        <v>0.84303797468354436</v>
      </c>
      <c r="C35" s="227">
        <v>0.84149855907780979</v>
      </c>
      <c r="D35" s="227">
        <v>0.89873417721518989</v>
      </c>
      <c r="E35" s="227">
        <v>0.84736842105263155</v>
      </c>
      <c r="F35" s="227">
        <v>0.87283236994219648</v>
      </c>
      <c r="G35" s="227">
        <v>0.83813620071684602</v>
      </c>
      <c r="H35" s="228">
        <f t="shared" si="4"/>
        <v>0.85693461711470309</v>
      </c>
      <c r="J35" s="229">
        <f t="shared" si="5"/>
        <v>-5.8296861749518314E-4</v>
      </c>
      <c r="K35" s="230"/>
      <c r="L35" s="244">
        <f t="shared" si="6"/>
        <v>-5.8296861749518314E-4</v>
      </c>
    </row>
    <row r="36" spans="1:12" x14ac:dyDescent="0.4">
      <c r="A36" s="203" t="s">
        <v>214</v>
      </c>
      <c r="B36" s="227">
        <v>0.94696969696969702</v>
      </c>
      <c r="C36" s="227">
        <v>0.95</v>
      </c>
      <c r="D36" s="227">
        <v>0.96634615384615385</v>
      </c>
      <c r="E36" s="227">
        <v>0.95316804407713496</v>
      </c>
      <c r="F36" s="227">
        <v>0.96812749003984067</v>
      </c>
      <c r="G36" s="227">
        <v>0.94696969696969702</v>
      </c>
      <c r="H36" s="228">
        <f t="shared" si="4"/>
        <v>0.95526351365042073</v>
      </c>
      <c r="J36" s="229">
        <f t="shared" si="5"/>
        <v>0</v>
      </c>
      <c r="K36" s="230"/>
      <c r="L36" s="244">
        <f t="shared" si="6"/>
        <v>0</v>
      </c>
    </row>
    <row r="37" spans="1:12" x14ac:dyDescent="0.4">
      <c r="A37" s="203" t="s">
        <v>215</v>
      </c>
      <c r="B37" s="227">
        <v>0.88567674113009198</v>
      </c>
      <c r="C37" s="227">
        <v>0.90357142857142858</v>
      </c>
      <c r="D37" s="227">
        <v>0.90909090909090906</v>
      </c>
      <c r="E37" s="227">
        <v>0.90804597701149425</v>
      </c>
      <c r="F37" s="227">
        <v>0.92531876138433511</v>
      </c>
      <c r="G37" s="227">
        <v>0.91744258224705155</v>
      </c>
      <c r="H37" s="228">
        <f t="shared" si="4"/>
        <v>0.90819106657255189</v>
      </c>
      <c r="J37" s="229">
        <f t="shared" si="5"/>
        <v>3.5300123980499531E-3</v>
      </c>
      <c r="K37" s="230"/>
      <c r="L37" s="244">
        <f t="shared" si="6"/>
        <v>3.5300123980499531E-3</v>
      </c>
    </row>
    <row r="38" spans="1:12" x14ac:dyDescent="0.4">
      <c r="H38" s="233"/>
    </row>
    <row r="39" spans="1:12" x14ac:dyDescent="0.4">
      <c r="L39" s="234"/>
    </row>
  </sheetData>
  <mergeCells count="2">
    <mergeCell ref="J3:L3"/>
    <mergeCell ref="J29:L29"/>
  </mergeCells>
  <conditionalFormatting sqref="B13:G13">
    <cfRule type="colorScale" priority="10">
      <colorScale>
        <cfvo type="min"/>
        <cfvo type="percentile" val="50"/>
        <cfvo type="max"/>
        <color rgb="FFF8696B"/>
        <color rgb="FFFFEB84"/>
        <color rgb="FF63BE7B"/>
      </colorScale>
    </cfRule>
  </conditionalFormatting>
  <conditionalFormatting sqref="B26:G26">
    <cfRule type="colorScale" priority="9">
      <colorScale>
        <cfvo type="min"/>
        <cfvo type="percentile" val="50"/>
        <cfvo type="max"/>
        <color rgb="FFF8696B"/>
        <color rgb="FFFFEB84"/>
        <color rgb="FF63BE7B"/>
      </colorScale>
    </cfRule>
  </conditionalFormatting>
  <conditionalFormatting sqref="B5:G11">
    <cfRule type="dataBar" priority="7">
      <dataBar>
        <cfvo type="min"/>
        <cfvo type="max"/>
        <color theme="2"/>
      </dataBar>
      <extLst>
        <ext xmlns:x14="http://schemas.microsoft.com/office/spreadsheetml/2009/9/main" uri="{B025F937-C7B1-47D3-B67F-A62EFF666E3E}">
          <x14:id>{253C7BB9-60E4-46A6-B12D-A6A7ECCD8CC5}</x14:id>
        </ext>
      </extLst>
    </cfRule>
    <cfRule type="dataBar" priority="8">
      <dataBar>
        <cfvo type="min"/>
        <cfvo type="max"/>
        <color rgb="FF638EC6"/>
      </dataBar>
      <extLst>
        <ext xmlns:x14="http://schemas.microsoft.com/office/spreadsheetml/2009/9/main" uri="{B025F937-C7B1-47D3-B67F-A62EFF666E3E}">
          <x14:id>{E2FCEA62-367C-4B79-92A2-2C7CC7350223}</x14:id>
        </ext>
      </extLst>
    </cfRule>
  </conditionalFormatting>
  <conditionalFormatting sqref="B31:G37">
    <cfRule type="iconSet" priority="6">
      <iconSet>
        <cfvo type="percent" val="0"/>
        <cfvo type="percent" val="80"/>
        <cfvo type="percent" val="90"/>
      </iconSet>
    </cfRule>
  </conditionalFormatting>
  <conditionalFormatting sqref="H5:H11">
    <cfRule type="top10" dxfId="3" priority="5" rank="2"/>
  </conditionalFormatting>
  <conditionalFormatting sqref="A18:G24">
    <cfRule type="expression" dxfId="2" priority="4" stopIfTrue="1">
      <formula>$A18=$L$16</formula>
    </cfRule>
  </conditionalFormatting>
  <conditionalFormatting sqref="B18:G24">
    <cfRule type="cellIs" dxfId="1" priority="3" operator="between">
      <formula>$F$15</formula>
      <formula>$G$15</formula>
    </cfRule>
  </conditionalFormatting>
  <conditionalFormatting sqref="K18:K24">
    <cfRule type="expression" dxfId="0" priority="2">
      <formula>K18&lt;=$K$27</formula>
    </cfRule>
  </conditionalFormatting>
  <dataValidations count="1">
    <dataValidation type="list" allowBlank="1" showInputMessage="1" showErrorMessage="1" sqref="L16" xr:uid="{490EA481-8933-45D3-BD3A-C03118032E76}">
      <formula1>Agents</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253C7BB9-60E4-46A6-B12D-A6A7ECCD8CC5}">
            <x14:dataBar minLength="0" maxLength="100" gradient="0">
              <x14:cfvo type="autoMin"/>
              <x14:cfvo type="autoMax"/>
              <x14:negativeFillColor rgb="FFFF0000"/>
              <x14:axisColor rgb="FF000000"/>
            </x14:dataBar>
          </x14:cfRule>
          <x14:cfRule type="dataBar" id="{E2FCEA62-367C-4B79-92A2-2C7CC7350223}">
            <x14:dataBar minLength="0" maxLength="100" border="1" negativeBarBorderColorSameAsPositive="0">
              <x14:cfvo type="autoMin"/>
              <x14:cfvo type="autoMax"/>
              <x14:borderColor rgb="FF638EC6"/>
              <x14:negativeFillColor rgb="FFFF0000"/>
              <x14:negativeBorderColor rgb="FFFF0000"/>
              <x14:axisColor rgb="FF000000"/>
            </x14:dataBar>
          </x14:cfRule>
          <xm:sqref>B5:G11</xm:sqref>
        </x14:conditionalFormatting>
        <x14:conditionalFormatting xmlns:xm="http://schemas.microsoft.com/office/excel/2006/main">
          <x14:cfRule type="iconSet" priority="1" id="{E4BD89C6-34AC-48CD-BF47-B63AC3C602A2}">
            <x14:iconSet iconSet="3Triangles" showValue="0" custom="1">
              <x14:cfvo type="percent">
                <xm:f>0</xm:f>
              </x14:cfvo>
              <x14:cfvo type="num">
                <xm:f>0</xm:f>
              </x14:cfvo>
              <x14:cfvo type="num">
                <xm:f>0</xm:f>
              </x14:cfvo>
              <x14:cfIcon iconSet="3Triangles" iconId="0"/>
              <x14:cfIcon iconSet="5Quarters" iconId="0"/>
              <x14:cfIcon iconSet="3Triangles" iconId="2"/>
            </x14:iconSet>
          </x14:cfRule>
          <xm:sqref>L31:L37</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low="1" first="1" last="1" negative="1" xr2:uid="{98CFAA9B-94C0-4D46-B993-7FFFE683A681}">
          <x14:colorSeries rgb="FF376092"/>
          <x14:colorNegative rgb="FFD00000"/>
          <x14:colorAxis rgb="FF000000"/>
          <x14:colorMarkers rgb="FFD00000"/>
          <x14:colorFirst rgb="FFD00000"/>
          <x14:colorLast rgb="FFD00000"/>
          <x14:colorHigh rgb="FFD00000"/>
          <x14:colorLow rgb="FFD00000"/>
          <x14:sparklines>
            <x14:sparkline>
              <xm:f>'Cont format after '!B18:G18</xm:f>
              <xm:sqref>L5</xm:sqref>
            </x14:sparkline>
            <x14:sparkline>
              <xm:f>'Cont format after '!B19:G19</xm:f>
              <xm:sqref>L6</xm:sqref>
            </x14:sparkline>
            <x14:sparkline>
              <xm:f>'Cont format after '!B20:G20</xm:f>
              <xm:sqref>L7</xm:sqref>
            </x14:sparkline>
            <x14:sparkline>
              <xm:f>'Cont format after '!B21:G21</xm:f>
              <xm:sqref>L8</xm:sqref>
            </x14:sparkline>
            <x14:sparkline>
              <xm:f>'Cont format after '!B22:G22</xm:f>
              <xm:sqref>L9</xm:sqref>
            </x14:sparkline>
            <x14:sparkline>
              <xm:f>'Cont format after '!B23:G23</xm:f>
              <xm:sqref>L10</xm:sqref>
            </x14:sparkline>
            <x14:sparkline>
              <xm:f>'Cont format after '!B24:G24</xm:f>
              <xm:sqref>L11</xm:sqref>
            </x14:sparkline>
          </x14:sparklines>
        </x14:sparklineGroup>
        <x14:sparklineGroup type="column" displayEmptyCellsAs="gap" low="1" xr2:uid="{0428666D-E650-418C-9F3B-AC854AD982C2}">
          <x14:colorSeries rgb="FF376092"/>
          <x14:colorNegative rgb="FFD00000"/>
          <x14:colorAxis rgb="FF000000"/>
          <x14:colorMarkers rgb="FFD00000"/>
          <x14:colorFirst rgb="FFD00000"/>
          <x14:colorLast rgb="FFD00000"/>
          <x14:colorHigh rgb="FFD00000"/>
          <x14:colorLow rgb="FFD00000"/>
          <x14:sparklines>
            <x14:sparkline>
              <xm:f>'Cont format after '!B5:G5</xm:f>
              <xm:sqref>J5</xm:sqref>
            </x14:sparkline>
            <x14:sparkline>
              <xm:f>'Cont format after '!B6:G6</xm:f>
              <xm:sqref>J6</xm:sqref>
            </x14:sparkline>
            <x14:sparkline>
              <xm:f>'Cont format after '!B7:G7</xm:f>
              <xm:sqref>J7</xm:sqref>
            </x14:sparkline>
            <x14:sparkline>
              <xm:f>'Cont format after '!B8:G8</xm:f>
              <xm:sqref>J8</xm:sqref>
            </x14:sparkline>
            <x14:sparkline>
              <xm:f>'Cont format after '!B9:G9</xm:f>
              <xm:sqref>J9</xm:sqref>
            </x14:sparkline>
            <x14:sparkline>
              <xm:f>'Cont format after '!B10:G10</xm:f>
              <xm:sqref>J10</xm:sqref>
            </x14:sparkline>
            <x14:sparkline>
              <xm:f>'Cont format after '!B11:G11</xm:f>
              <xm:sqref>J11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40EE0-3A55-4D65-8693-50146921DE7B}">
  <sheetPr codeName="Sheet12"/>
  <dimension ref="A1:L39"/>
  <sheetViews>
    <sheetView topLeftCell="A15" workbookViewId="0">
      <selection activeCell="J30" sqref="J30:L30"/>
    </sheetView>
  </sheetViews>
  <sheetFormatPr defaultRowHeight="14.6" x14ac:dyDescent="0.4"/>
  <cols>
    <col min="1" max="1" width="18.53515625" customWidth="1"/>
    <col min="2" max="7" width="14.15234375" customWidth="1"/>
    <col min="8" max="8" width="14.15234375" style="144" customWidth="1"/>
    <col min="9" max="9" width="1.84375" customWidth="1"/>
    <col min="10" max="10" width="14.69140625" customWidth="1"/>
    <col min="11" max="11" width="1.69140625" customWidth="1"/>
    <col min="12" max="12" width="14.69140625" customWidth="1"/>
  </cols>
  <sheetData>
    <row r="1" spans="1:12" s="262" customFormat="1" ht="28.3" x14ac:dyDescent="0.4">
      <c r="A1" s="261" t="s">
        <v>197</v>
      </c>
      <c r="H1" s="263"/>
    </row>
    <row r="3" spans="1:12" s="95" customFormat="1" x14ac:dyDescent="0.4">
      <c r="A3" s="196" t="s">
        <v>198</v>
      </c>
      <c r="B3" s="196"/>
      <c r="C3" s="196"/>
      <c r="D3" s="196"/>
      <c r="E3" s="196"/>
      <c r="F3" s="196"/>
      <c r="G3" s="196"/>
      <c r="H3" s="197"/>
      <c r="I3" s="198"/>
      <c r="J3" s="287" t="s">
        <v>199</v>
      </c>
      <c r="K3" s="287"/>
      <c r="L3" s="287"/>
    </row>
    <row r="4" spans="1:12" x14ac:dyDescent="0.4">
      <c r="A4" s="264" t="s">
        <v>200</v>
      </c>
      <c r="B4" s="265" t="s">
        <v>201</v>
      </c>
      <c r="C4" s="265" t="s">
        <v>202</v>
      </c>
      <c r="D4" s="265" t="s">
        <v>203</v>
      </c>
      <c r="E4" s="265" t="s">
        <v>204</v>
      </c>
      <c r="F4" s="265" t="s">
        <v>205</v>
      </c>
      <c r="G4" s="265" t="s">
        <v>206</v>
      </c>
      <c r="H4" s="265" t="s">
        <v>55</v>
      </c>
      <c r="I4" s="201"/>
      <c r="J4" s="266" t="s">
        <v>207</v>
      </c>
      <c r="K4" s="266"/>
      <c r="L4" s="266" t="s">
        <v>208</v>
      </c>
    </row>
    <row r="5" spans="1:12" x14ac:dyDescent="0.4">
      <c r="A5" s="203" t="s">
        <v>209</v>
      </c>
      <c r="B5" s="204">
        <v>502</v>
      </c>
      <c r="C5" s="204">
        <v>460</v>
      </c>
      <c r="D5" s="204">
        <v>416</v>
      </c>
      <c r="E5" s="204">
        <v>396</v>
      </c>
      <c r="F5" s="204">
        <v>416</v>
      </c>
      <c r="G5" s="204">
        <v>349</v>
      </c>
      <c r="H5" s="205">
        <f t="shared" ref="H5:H11" si="0">AVERAGE(B5:G5)</f>
        <v>423.16666666666669</v>
      </c>
    </row>
    <row r="6" spans="1:12" x14ac:dyDescent="0.4">
      <c r="A6" s="203" t="s">
        <v>210</v>
      </c>
      <c r="B6" s="204">
        <v>1327</v>
      </c>
      <c r="C6" s="204">
        <v>2194</v>
      </c>
      <c r="D6" s="204">
        <v>1989</v>
      </c>
      <c r="E6" s="204">
        <v>861</v>
      </c>
      <c r="F6" s="204">
        <v>1989</v>
      </c>
      <c r="G6" s="204">
        <v>1249</v>
      </c>
      <c r="H6" s="205">
        <f t="shared" si="0"/>
        <v>1601.5</v>
      </c>
    </row>
    <row r="7" spans="1:12" x14ac:dyDescent="0.4">
      <c r="A7" s="203" t="s">
        <v>211</v>
      </c>
      <c r="B7" s="204">
        <v>425</v>
      </c>
      <c r="C7" s="204">
        <v>370</v>
      </c>
      <c r="D7" s="204">
        <v>297</v>
      </c>
      <c r="E7" s="204">
        <v>309</v>
      </c>
      <c r="F7" s="204">
        <v>297</v>
      </c>
      <c r="G7" s="204">
        <v>128</v>
      </c>
      <c r="H7" s="205">
        <f t="shared" si="0"/>
        <v>304.33333333333331</v>
      </c>
    </row>
    <row r="8" spans="1:12" x14ac:dyDescent="0.4">
      <c r="A8" s="203" t="s">
        <v>212</v>
      </c>
      <c r="B8" s="204">
        <v>1546</v>
      </c>
      <c r="C8" s="204">
        <v>1299</v>
      </c>
      <c r="D8" s="204">
        <v>1076</v>
      </c>
      <c r="E8" s="204">
        <v>1682</v>
      </c>
      <c r="F8" s="204">
        <v>1076</v>
      </c>
      <c r="G8" s="204">
        <v>1177</v>
      </c>
      <c r="H8" s="205">
        <f t="shared" si="0"/>
        <v>1309.3333333333333</v>
      </c>
    </row>
    <row r="9" spans="1:12" x14ac:dyDescent="0.4">
      <c r="A9" s="203" t="s">
        <v>213</v>
      </c>
      <c r="B9" s="204">
        <v>173</v>
      </c>
      <c r="C9" s="204">
        <v>347</v>
      </c>
      <c r="D9" s="204">
        <v>79</v>
      </c>
      <c r="E9" s="204">
        <v>395</v>
      </c>
      <c r="F9" s="204">
        <v>79</v>
      </c>
      <c r="G9" s="204">
        <v>279</v>
      </c>
      <c r="H9" s="205">
        <f t="shared" si="0"/>
        <v>225.33333333333334</v>
      </c>
    </row>
    <row r="10" spans="1:12" x14ac:dyDescent="0.4">
      <c r="A10" s="203" t="s">
        <v>214</v>
      </c>
      <c r="B10" s="204">
        <v>1995</v>
      </c>
      <c r="C10" s="204">
        <v>2399</v>
      </c>
      <c r="D10" s="204">
        <v>1164</v>
      </c>
      <c r="E10" s="204">
        <v>2105</v>
      </c>
      <c r="F10" s="204">
        <v>1164</v>
      </c>
      <c r="G10" s="204">
        <v>1243</v>
      </c>
      <c r="H10" s="205">
        <f t="shared" si="0"/>
        <v>1678.3333333333333</v>
      </c>
    </row>
    <row r="11" spans="1:12" x14ac:dyDescent="0.4">
      <c r="A11" s="203" t="s">
        <v>215</v>
      </c>
      <c r="B11" s="204">
        <v>1647</v>
      </c>
      <c r="C11" s="204">
        <v>2240</v>
      </c>
      <c r="D11" s="204">
        <v>1331</v>
      </c>
      <c r="E11" s="204">
        <v>761</v>
      </c>
      <c r="F11" s="204">
        <v>1331</v>
      </c>
      <c r="G11" s="204">
        <v>1611</v>
      </c>
      <c r="H11" s="205">
        <f t="shared" si="0"/>
        <v>1486.8333333333333</v>
      </c>
    </row>
    <row r="12" spans="1:12" x14ac:dyDescent="0.4">
      <c r="A12" s="203"/>
      <c r="B12" s="204"/>
      <c r="C12" s="204"/>
      <c r="D12" s="204"/>
      <c r="E12" s="204"/>
      <c r="F12" s="204"/>
      <c r="G12" s="204"/>
      <c r="H12" s="204"/>
      <c r="L12" s="206"/>
    </row>
    <row r="13" spans="1:12" x14ac:dyDescent="0.4">
      <c r="A13" s="207" t="s">
        <v>216</v>
      </c>
      <c r="B13" s="208">
        <f t="shared" ref="B13:G13" si="1">AVERAGE(B5:B11)</f>
        <v>1087.8571428571429</v>
      </c>
      <c r="C13" s="208">
        <f t="shared" si="1"/>
        <v>1329.8571428571429</v>
      </c>
      <c r="D13" s="208">
        <f t="shared" si="1"/>
        <v>907.42857142857144</v>
      </c>
      <c r="E13" s="208">
        <f t="shared" si="1"/>
        <v>929.85714285714289</v>
      </c>
      <c r="F13" s="208">
        <f t="shared" si="1"/>
        <v>907.42857142857144</v>
      </c>
      <c r="G13" s="208">
        <f t="shared" si="1"/>
        <v>862.28571428571433</v>
      </c>
      <c r="H13" s="267">
        <f>AVERAGE(B13:G13)</f>
        <v>1004.1190476190477</v>
      </c>
      <c r="J13" s="266"/>
      <c r="K13" s="266"/>
      <c r="L13" s="266"/>
    </row>
    <row r="15" spans="1:12" x14ac:dyDescent="0.4">
      <c r="F15" s="210">
        <v>4.7</v>
      </c>
      <c r="G15" s="210">
        <v>5</v>
      </c>
    </row>
    <row r="16" spans="1:12" x14ac:dyDescent="0.4">
      <c r="A16" s="196" t="s">
        <v>217</v>
      </c>
      <c r="B16" s="211"/>
      <c r="C16" s="211"/>
      <c r="D16" s="211"/>
      <c r="E16" s="211"/>
      <c r="F16" s="211"/>
      <c r="G16" s="211"/>
      <c r="H16" s="212"/>
      <c r="J16" s="213" t="s">
        <v>218</v>
      </c>
      <c r="K16" s="214"/>
      <c r="L16" s="214" t="s">
        <v>210</v>
      </c>
    </row>
    <row r="17" spans="1:12" x14ac:dyDescent="0.4">
      <c r="A17" s="264" t="s">
        <v>200</v>
      </c>
      <c r="B17" s="265" t="s">
        <v>201</v>
      </c>
      <c r="C17" s="265" t="s">
        <v>202</v>
      </c>
      <c r="D17" s="265" t="s">
        <v>203</v>
      </c>
      <c r="E17" s="265" t="s">
        <v>204</v>
      </c>
      <c r="F17" s="265" t="s">
        <v>205</v>
      </c>
      <c r="G17" s="265" t="s">
        <v>206</v>
      </c>
      <c r="H17" s="265" t="s">
        <v>55</v>
      </c>
      <c r="J17" s="215"/>
      <c r="K17" s="216" t="s">
        <v>219</v>
      </c>
      <c r="L17" s="215"/>
    </row>
    <row r="18" spans="1:12" x14ac:dyDescent="0.4">
      <c r="A18" s="203" t="s">
        <v>209</v>
      </c>
      <c r="B18" s="217">
        <v>2.4327790973871699</v>
      </c>
      <c r="C18" s="217">
        <v>2.1994581075448099</v>
      </c>
      <c r="D18" s="217">
        <v>3.0233676975944999</v>
      </c>
      <c r="E18" s="217">
        <v>3.11827381738919</v>
      </c>
      <c r="F18" s="217">
        <v>3.0098496240601502</v>
      </c>
      <c r="G18" s="217">
        <v>2.9145790973871701</v>
      </c>
      <c r="H18" s="218">
        <f>AVERAGE(B18:G18)</f>
        <v>2.7830512402271652</v>
      </c>
      <c r="J18" s="215"/>
      <c r="K18" s="219">
        <v>7</v>
      </c>
      <c r="L18" s="215"/>
    </row>
    <row r="19" spans="1:12" x14ac:dyDescent="0.4">
      <c r="A19" s="203" t="s">
        <v>210</v>
      </c>
      <c r="B19" s="217">
        <v>3.2837834758437499</v>
      </c>
      <c r="C19" s="217">
        <v>3.1039197812215131</v>
      </c>
      <c r="D19" s="217">
        <v>3.3183719873891002</v>
      </c>
      <c r="E19" s="217">
        <v>3.0069317118802599</v>
      </c>
      <c r="F19" s="217">
        <v>3.2859080633006799</v>
      </c>
      <c r="G19" s="217">
        <v>3.1843783779999999</v>
      </c>
      <c r="H19" s="218">
        <f t="shared" ref="H19:H24" si="2">AVERAGE(B19:G19)</f>
        <v>3.1972155662725505</v>
      </c>
      <c r="J19" s="216"/>
      <c r="K19" s="219">
        <v>6</v>
      </c>
      <c r="L19" s="216"/>
    </row>
    <row r="20" spans="1:12" x14ac:dyDescent="0.4">
      <c r="A20" s="203" t="s">
        <v>211</v>
      </c>
      <c r="B20" s="217">
        <v>3.82222636237627</v>
      </c>
      <c r="C20" s="217">
        <v>3.94324324324324</v>
      </c>
      <c r="D20" s="217">
        <v>3.7744107744107742</v>
      </c>
      <c r="E20" s="217">
        <v>4.1113326262000003</v>
      </c>
      <c r="F20" s="217">
        <v>4.2</v>
      </c>
      <c r="G20" s="217">
        <v>4.7100817199999998</v>
      </c>
      <c r="H20" s="218">
        <f t="shared" si="2"/>
        <v>4.0935491210383796</v>
      </c>
      <c r="J20" s="215"/>
      <c r="K20" s="219">
        <v>5</v>
      </c>
      <c r="L20" s="215"/>
    </row>
    <row r="21" spans="1:12" x14ac:dyDescent="0.4">
      <c r="A21" s="203" t="s">
        <v>212</v>
      </c>
      <c r="B21" s="217">
        <v>3.28418549346017</v>
      </c>
      <c r="C21" s="217">
        <v>3.3756735950731334</v>
      </c>
      <c r="D21" s="217">
        <v>3.4851301115241635</v>
      </c>
      <c r="E21" s="217">
        <v>3.6188272719999999</v>
      </c>
      <c r="F21" s="217">
        <v>3.3</v>
      </c>
      <c r="G21" s="217">
        <v>3.1425615461419998</v>
      </c>
      <c r="H21" s="218">
        <f t="shared" si="2"/>
        <v>3.3677296696999108</v>
      </c>
      <c r="J21" s="215"/>
      <c r="K21" s="219">
        <v>4</v>
      </c>
      <c r="L21" s="215"/>
    </row>
    <row r="22" spans="1:12" x14ac:dyDescent="0.4">
      <c r="A22" s="203" t="s">
        <v>213</v>
      </c>
      <c r="B22" s="217">
        <v>3.1111521526560999</v>
      </c>
      <c r="C22" s="217">
        <v>3.3083573487031699</v>
      </c>
      <c r="D22" s="217">
        <v>3.4050632911392404</v>
      </c>
      <c r="E22" s="217">
        <v>2.9052631578947401</v>
      </c>
      <c r="F22" s="217">
        <v>3.4624277456647401</v>
      </c>
      <c r="G22" s="217">
        <v>3.6881720430107525</v>
      </c>
      <c r="H22" s="218">
        <f t="shared" si="2"/>
        <v>3.3134059565114575</v>
      </c>
      <c r="J22" s="216" t="s">
        <v>220</v>
      </c>
      <c r="K22" s="219">
        <v>3</v>
      </c>
      <c r="L22" s="216" t="s">
        <v>221</v>
      </c>
    </row>
    <row r="23" spans="1:12" x14ac:dyDescent="0.4">
      <c r="A23" s="203" t="s">
        <v>214</v>
      </c>
      <c r="B23" s="217">
        <v>4.7872878273891004</v>
      </c>
      <c r="C23" s="217">
        <v>4.6217831391799997</v>
      </c>
      <c r="D23" s="217">
        <v>4.6513676287627801</v>
      </c>
      <c r="E23" s="217">
        <v>4.9982727812787804</v>
      </c>
      <c r="F23" s="217">
        <v>4.68387483299</v>
      </c>
      <c r="G23" s="217">
        <v>4.9114215415241</v>
      </c>
      <c r="H23" s="218">
        <f t="shared" si="2"/>
        <v>4.7756679585207928</v>
      </c>
      <c r="J23" s="215"/>
      <c r="K23" s="219">
        <v>2</v>
      </c>
      <c r="L23" s="215"/>
    </row>
    <row r="24" spans="1:12" x14ac:dyDescent="0.4">
      <c r="A24" s="203" t="s">
        <v>215</v>
      </c>
      <c r="B24" s="217">
        <v>3.4191852825229962</v>
      </c>
      <c r="C24" s="217">
        <v>3.4901785714285714</v>
      </c>
      <c r="D24" s="217">
        <v>3.5432006010518409</v>
      </c>
      <c r="E24" s="217">
        <v>3.6242816091954024</v>
      </c>
      <c r="F24" s="217">
        <v>3.6654523375834853</v>
      </c>
      <c r="G24" s="217">
        <v>3.7268777157045312</v>
      </c>
      <c r="H24" s="218">
        <f t="shared" si="2"/>
        <v>3.5781960195811382</v>
      </c>
      <c r="J24" s="215"/>
      <c r="K24" s="219">
        <v>1</v>
      </c>
      <c r="L24" s="215"/>
    </row>
    <row r="25" spans="1:12" x14ac:dyDescent="0.4">
      <c r="A25" s="203"/>
      <c r="B25" s="220"/>
      <c r="C25" s="220"/>
      <c r="D25" s="220"/>
      <c r="E25" s="220"/>
      <c r="F25" s="220"/>
      <c r="G25" s="220"/>
      <c r="H25" s="217"/>
      <c r="J25" s="215"/>
      <c r="K25" s="215"/>
      <c r="L25" s="215"/>
    </row>
    <row r="26" spans="1:12" x14ac:dyDescent="0.4">
      <c r="A26" s="207" t="s">
        <v>222</v>
      </c>
      <c r="B26" s="221">
        <f>AVERAGE(B18:B24)</f>
        <v>3.4486570988050795</v>
      </c>
      <c r="C26" s="221">
        <f t="shared" ref="C26:G26" si="3">AVERAGE(C18:C24)</f>
        <v>3.4346591123420631</v>
      </c>
      <c r="D26" s="221">
        <f t="shared" si="3"/>
        <v>3.6001302988389141</v>
      </c>
      <c r="E26" s="221">
        <f t="shared" si="3"/>
        <v>3.6261689965483397</v>
      </c>
      <c r="F26" s="221">
        <f t="shared" si="3"/>
        <v>3.6582160862284363</v>
      </c>
      <c r="G26" s="221">
        <f t="shared" si="3"/>
        <v>3.7540102916812219</v>
      </c>
      <c r="H26" s="268">
        <f>AVERAGE(B26:G26)</f>
        <v>3.5869736474073424</v>
      </c>
      <c r="J26" s="215"/>
      <c r="K26" s="215"/>
      <c r="L26" s="215"/>
    </row>
    <row r="27" spans="1:12" x14ac:dyDescent="0.4">
      <c r="J27" s="223"/>
      <c r="K27" s="224">
        <f>RANK(VLOOKUP(L16,A18:H24,8,0),H18:H24,1)</f>
        <v>2</v>
      </c>
      <c r="L27" s="225"/>
    </row>
    <row r="29" spans="1:12" x14ac:dyDescent="0.4">
      <c r="A29" s="196" t="s">
        <v>221</v>
      </c>
      <c r="B29" s="211"/>
      <c r="C29" s="211"/>
      <c r="D29" s="211"/>
      <c r="E29" s="211"/>
      <c r="F29" s="211"/>
      <c r="G29" s="211"/>
      <c r="H29" s="226"/>
      <c r="J29" s="287" t="s">
        <v>223</v>
      </c>
      <c r="K29" s="287"/>
      <c r="L29" s="287"/>
    </row>
    <row r="30" spans="1:12" x14ac:dyDescent="0.4">
      <c r="A30" s="264" t="s">
        <v>200</v>
      </c>
      <c r="B30" s="265" t="s">
        <v>201</v>
      </c>
      <c r="C30" s="265" t="s">
        <v>202</v>
      </c>
      <c r="D30" s="265" t="s">
        <v>203</v>
      </c>
      <c r="E30" s="265" t="s">
        <v>204</v>
      </c>
      <c r="F30" s="265" t="s">
        <v>205</v>
      </c>
      <c r="G30" s="265" t="s">
        <v>206</v>
      </c>
      <c r="H30" s="265" t="s">
        <v>55</v>
      </c>
      <c r="J30" s="266" t="s">
        <v>224</v>
      </c>
      <c r="K30" s="266"/>
      <c r="L30" s="266" t="s">
        <v>225</v>
      </c>
    </row>
    <row r="31" spans="1:12" x14ac:dyDescent="0.4">
      <c r="A31" s="203" t="s">
        <v>209</v>
      </c>
      <c r="B31" s="227">
        <v>0.75296912114014247</v>
      </c>
      <c r="C31" s="227">
        <v>0.75531471446436016</v>
      </c>
      <c r="D31" s="227">
        <v>0.75085910652920962</v>
      </c>
      <c r="E31" s="227">
        <v>0.75791139240506333</v>
      </c>
      <c r="F31" s="227">
        <v>0.75238095238095237</v>
      </c>
      <c r="G31" s="227">
        <f>85.7142857142857%-14%</f>
        <v>0.71714285714285697</v>
      </c>
      <c r="H31" s="228">
        <f>AVERAGE(B31:G31)</f>
        <v>0.74776302401043082</v>
      </c>
      <c r="J31" s="229">
        <f>(G31/B31)^(1/10)-1</f>
        <v>-4.8630524388828533E-3</v>
      </c>
      <c r="K31" s="230"/>
      <c r="L31" s="231"/>
    </row>
    <row r="32" spans="1:12" x14ac:dyDescent="0.4">
      <c r="A32" s="203" t="s">
        <v>210</v>
      </c>
      <c r="B32" s="227">
        <v>0.80139372822299648</v>
      </c>
      <c r="C32" s="227">
        <v>0.83363719234275291</v>
      </c>
      <c r="D32" s="227">
        <v>0.82805429864253388</v>
      </c>
      <c r="E32" s="227">
        <v>0.84284377923292797</v>
      </c>
      <c r="F32" s="227">
        <v>0.81838733986435563</v>
      </c>
      <c r="G32" s="227">
        <v>0.84147317854283432</v>
      </c>
      <c r="H32" s="228">
        <f t="shared" ref="H32:H37" si="4">AVERAGE(B32:G32)</f>
        <v>0.8276315861414002</v>
      </c>
      <c r="J32" s="229">
        <f t="shared" ref="J32:J37" si="5">(G32/B32)^(1/10)-1</f>
        <v>4.8921042161853556E-3</v>
      </c>
      <c r="K32" s="230"/>
      <c r="L32" s="232"/>
    </row>
    <row r="33" spans="1:12" x14ac:dyDescent="0.4">
      <c r="A33" s="203" t="s">
        <v>211</v>
      </c>
      <c r="B33" s="227">
        <v>0.91585760517799353</v>
      </c>
      <c r="C33" s="227">
        <v>0.93243243243243246</v>
      </c>
      <c r="D33" s="227">
        <v>0.91919191919191923</v>
      </c>
      <c r="E33" s="227">
        <v>0.95876288659793818</v>
      </c>
      <c r="F33" s="227">
        <v>0.96235294117647063</v>
      </c>
      <c r="G33" s="227">
        <v>0.984375</v>
      </c>
      <c r="H33" s="228">
        <f t="shared" si="4"/>
        <v>0.94549546409612562</v>
      </c>
      <c r="J33" s="229">
        <f t="shared" si="5"/>
        <v>7.2406901716020045E-3</v>
      </c>
      <c r="K33" s="230"/>
      <c r="L33" s="232"/>
    </row>
    <row r="34" spans="1:12" x14ac:dyDescent="0.4">
      <c r="A34" s="203" t="s">
        <v>212</v>
      </c>
      <c r="B34" s="227">
        <v>0.87574316290130794</v>
      </c>
      <c r="C34" s="227">
        <v>0.89222478829869134</v>
      </c>
      <c r="D34" s="227">
        <v>0.89498141263940523</v>
      </c>
      <c r="E34" s="227">
        <v>0.91634689178818107</v>
      </c>
      <c r="F34" s="227">
        <v>0.91397153945666232</v>
      </c>
      <c r="G34" s="227">
        <v>0.93033135089209851</v>
      </c>
      <c r="H34" s="228">
        <f t="shared" si="4"/>
        <v>0.90393319099605762</v>
      </c>
      <c r="J34" s="229">
        <f t="shared" si="5"/>
        <v>6.0651146811083745E-3</v>
      </c>
      <c r="K34" s="230"/>
      <c r="L34" s="232"/>
    </row>
    <row r="35" spans="1:12" x14ac:dyDescent="0.4">
      <c r="A35" s="203" t="s">
        <v>213</v>
      </c>
      <c r="B35" s="227">
        <v>0.84303797468354436</v>
      </c>
      <c r="C35" s="227">
        <v>0.84149855907780979</v>
      </c>
      <c r="D35" s="227">
        <v>0.89873417721518989</v>
      </c>
      <c r="E35" s="227">
        <v>0.84736842105263155</v>
      </c>
      <c r="F35" s="227">
        <v>0.87283236994219648</v>
      </c>
      <c r="G35" s="227">
        <v>0.83813620071684602</v>
      </c>
      <c r="H35" s="228">
        <f t="shared" si="4"/>
        <v>0.85693461711470309</v>
      </c>
      <c r="J35" s="229">
        <f t="shared" si="5"/>
        <v>-5.8296861749518314E-4</v>
      </c>
      <c r="K35" s="230"/>
      <c r="L35" s="232"/>
    </row>
    <row r="36" spans="1:12" x14ac:dyDescent="0.4">
      <c r="A36" s="203" t="s">
        <v>214</v>
      </c>
      <c r="B36" s="227">
        <v>0.94696969696969702</v>
      </c>
      <c r="C36" s="227">
        <v>0.95</v>
      </c>
      <c r="D36" s="227">
        <v>0.96634615384615385</v>
      </c>
      <c r="E36" s="227">
        <v>0.95316804407713496</v>
      </c>
      <c r="F36" s="227">
        <v>0.96812749003984067</v>
      </c>
      <c r="G36" s="227">
        <v>0.94696969696969702</v>
      </c>
      <c r="H36" s="228">
        <f t="shared" si="4"/>
        <v>0.95526351365042073</v>
      </c>
      <c r="J36" s="229">
        <f t="shared" si="5"/>
        <v>0</v>
      </c>
      <c r="K36" s="230"/>
      <c r="L36" s="232"/>
    </row>
    <row r="37" spans="1:12" x14ac:dyDescent="0.4">
      <c r="A37" s="203" t="s">
        <v>215</v>
      </c>
      <c r="B37" s="227">
        <v>0.88567674113009198</v>
      </c>
      <c r="C37" s="227">
        <v>0.90357142857142858</v>
      </c>
      <c r="D37" s="227">
        <v>0.90909090909090906</v>
      </c>
      <c r="E37" s="227">
        <v>0.90804597701149425</v>
      </c>
      <c r="F37" s="227">
        <v>0.92531876138433511</v>
      </c>
      <c r="G37" s="227">
        <v>0.91744258224705155</v>
      </c>
      <c r="H37" s="228">
        <f t="shared" si="4"/>
        <v>0.90819106657255189</v>
      </c>
      <c r="J37" s="229">
        <f t="shared" si="5"/>
        <v>3.5300123980499531E-3</v>
      </c>
      <c r="K37" s="230"/>
      <c r="L37" s="232"/>
    </row>
    <row r="38" spans="1:12" x14ac:dyDescent="0.4">
      <c r="H38" s="233"/>
    </row>
    <row r="39" spans="1:12" x14ac:dyDescent="0.4">
      <c r="L39" s="234"/>
    </row>
  </sheetData>
  <mergeCells count="2">
    <mergeCell ref="J3:L3"/>
    <mergeCell ref="J29:L29"/>
  </mergeCells>
  <dataValidations count="1">
    <dataValidation type="list" allowBlank="1" showInputMessage="1" showErrorMessage="1" sqref="L16" xr:uid="{64747C43-8710-4312-BBD4-B60070B1C548}">
      <formula1>Agents</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70D3-2796-4FE5-8AA3-EA02C4EAF5CB}">
  <sheetPr codeName="Sheet13"/>
  <dimension ref="A1:F16"/>
  <sheetViews>
    <sheetView workbookViewId="0">
      <selection activeCell="H4" sqref="H4"/>
    </sheetView>
  </sheetViews>
  <sheetFormatPr defaultColWidth="31" defaultRowHeight="14.6" x14ac:dyDescent="0.4"/>
  <cols>
    <col min="1" max="6" width="26.69140625" customWidth="1"/>
  </cols>
  <sheetData>
    <row r="1" spans="1:6" x14ac:dyDescent="0.4">
      <c r="A1" t="s">
        <v>249</v>
      </c>
      <c r="B1" t="s">
        <v>250</v>
      </c>
      <c r="C1" t="s">
        <v>251</v>
      </c>
      <c r="D1" t="s">
        <v>252</v>
      </c>
      <c r="E1" s="247" t="s">
        <v>13</v>
      </c>
      <c r="F1" t="s">
        <v>248</v>
      </c>
    </row>
    <row r="2" spans="1:6" x14ac:dyDescent="0.4">
      <c r="A2" t="s">
        <v>253</v>
      </c>
      <c r="B2" t="s">
        <v>254</v>
      </c>
      <c r="C2" t="s">
        <v>255</v>
      </c>
      <c r="D2" t="s">
        <v>256</v>
      </c>
      <c r="E2" s="247">
        <v>45114</v>
      </c>
      <c r="F2">
        <v>70000</v>
      </c>
    </row>
    <row r="3" spans="1:6" x14ac:dyDescent="0.4">
      <c r="A3" t="s">
        <v>257</v>
      </c>
      <c r="B3" t="s">
        <v>258</v>
      </c>
      <c r="C3" t="s">
        <v>255</v>
      </c>
      <c r="D3" t="s">
        <v>256</v>
      </c>
      <c r="E3" s="247">
        <v>45073</v>
      </c>
      <c r="F3">
        <v>65000</v>
      </c>
    </row>
    <row r="4" spans="1:6" x14ac:dyDescent="0.4">
      <c r="A4" t="s">
        <v>259</v>
      </c>
      <c r="B4" t="s">
        <v>143</v>
      </c>
      <c r="C4" t="s">
        <v>260</v>
      </c>
      <c r="D4" t="s">
        <v>256</v>
      </c>
      <c r="E4" s="247">
        <v>45085</v>
      </c>
      <c r="F4">
        <v>70000</v>
      </c>
    </row>
    <row r="5" spans="1:6" x14ac:dyDescent="0.4">
      <c r="A5" t="s">
        <v>261</v>
      </c>
      <c r="B5" t="s">
        <v>262</v>
      </c>
      <c r="C5" t="s">
        <v>263</v>
      </c>
      <c r="D5" t="s">
        <v>256</v>
      </c>
      <c r="E5" s="247">
        <v>45137</v>
      </c>
      <c r="F5">
        <v>35000</v>
      </c>
    </row>
    <row r="6" spans="1:6" x14ac:dyDescent="0.4">
      <c r="A6" t="s">
        <v>264</v>
      </c>
      <c r="B6" t="s">
        <v>254</v>
      </c>
      <c r="C6" t="s">
        <v>265</v>
      </c>
      <c r="D6" t="s">
        <v>266</v>
      </c>
      <c r="E6" s="247">
        <v>45081</v>
      </c>
      <c r="F6">
        <v>40000</v>
      </c>
    </row>
    <row r="7" spans="1:6" x14ac:dyDescent="0.4">
      <c r="A7" t="s">
        <v>257</v>
      </c>
      <c r="B7" t="s">
        <v>258</v>
      </c>
      <c r="C7" t="s">
        <v>265</v>
      </c>
      <c r="D7" t="s">
        <v>256</v>
      </c>
      <c r="E7" s="247">
        <v>45036</v>
      </c>
      <c r="F7">
        <v>40000</v>
      </c>
    </row>
    <row r="8" spans="1:6" x14ac:dyDescent="0.4">
      <c r="A8" t="s">
        <v>264</v>
      </c>
      <c r="B8" t="s">
        <v>254</v>
      </c>
      <c r="C8" t="s">
        <v>267</v>
      </c>
      <c r="D8" t="s">
        <v>268</v>
      </c>
      <c r="E8" s="247">
        <v>45163</v>
      </c>
      <c r="F8">
        <v>70000</v>
      </c>
    </row>
    <row r="9" spans="1:6" x14ac:dyDescent="0.4">
      <c r="A9" t="s">
        <v>259</v>
      </c>
      <c r="B9" t="s">
        <v>143</v>
      </c>
      <c r="C9" t="s">
        <v>263</v>
      </c>
      <c r="D9" t="s">
        <v>268</v>
      </c>
      <c r="E9" s="247">
        <v>45122</v>
      </c>
      <c r="F9">
        <v>40000</v>
      </c>
    </row>
    <row r="10" spans="1:6" x14ac:dyDescent="0.4">
      <c r="A10" t="s">
        <v>259</v>
      </c>
      <c r="B10" t="s">
        <v>143</v>
      </c>
      <c r="C10" t="s">
        <v>263</v>
      </c>
      <c r="D10" t="s">
        <v>269</v>
      </c>
      <c r="E10" s="247">
        <v>45175</v>
      </c>
      <c r="F10">
        <v>45000</v>
      </c>
    </row>
    <row r="11" spans="1:6" x14ac:dyDescent="0.4">
      <c r="A11" t="s">
        <v>261</v>
      </c>
      <c r="B11" t="s">
        <v>262</v>
      </c>
      <c r="C11" t="s">
        <v>255</v>
      </c>
      <c r="D11" t="s">
        <v>269</v>
      </c>
      <c r="E11" s="247">
        <v>45066</v>
      </c>
      <c r="F11">
        <v>30000</v>
      </c>
    </row>
    <row r="12" spans="1:6" x14ac:dyDescent="0.4">
      <c r="A12" t="s">
        <v>259</v>
      </c>
      <c r="B12" t="s">
        <v>143</v>
      </c>
      <c r="C12" t="s">
        <v>260</v>
      </c>
      <c r="D12" t="s">
        <v>256</v>
      </c>
      <c r="E12" s="247">
        <v>45129</v>
      </c>
      <c r="F12">
        <v>80000</v>
      </c>
    </row>
    <row r="13" spans="1:6" x14ac:dyDescent="0.4">
      <c r="A13" t="s">
        <v>257</v>
      </c>
      <c r="B13" t="s">
        <v>258</v>
      </c>
      <c r="C13" t="s">
        <v>265</v>
      </c>
      <c r="D13" t="s">
        <v>269</v>
      </c>
      <c r="E13" s="247">
        <v>45099</v>
      </c>
      <c r="F13">
        <v>20000</v>
      </c>
    </row>
    <row r="14" spans="1:6" x14ac:dyDescent="0.4">
      <c r="A14" t="s">
        <v>257</v>
      </c>
      <c r="B14" t="s">
        <v>258</v>
      </c>
      <c r="C14" t="s">
        <v>270</v>
      </c>
      <c r="D14" t="s">
        <v>266</v>
      </c>
      <c r="E14" s="247">
        <v>45193</v>
      </c>
      <c r="F14">
        <v>45000</v>
      </c>
    </row>
    <row r="15" spans="1:6" x14ac:dyDescent="0.4">
      <c r="A15" t="s">
        <v>264</v>
      </c>
      <c r="B15" t="s">
        <v>254</v>
      </c>
      <c r="C15" t="s">
        <v>270</v>
      </c>
      <c r="D15" t="s">
        <v>269</v>
      </c>
      <c r="E15" s="247">
        <v>45146</v>
      </c>
      <c r="F15">
        <v>75000</v>
      </c>
    </row>
    <row r="16" spans="1:6" x14ac:dyDescent="0.4">
      <c r="A16" t="s">
        <v>261</v>
      </c>
      <c r="B16" t="s">
        <v>262</v>
      </c>
      <c r="C16" t="s">
        <v>263</v>
      </c>
      <c r="D16" t="s">
        <v>268</v>
      </c>
      <c r="E16" s="247">
        <v>45145</v>
      </c>
      <c r="F16">
        <v>45000</v>
      </c>
    </row>
  </sheetData>
  <dataConsolid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EB570-1377-4801-9AC0-D368CADD421E}">
  <sheetPr codeName="Sheet14"/>
  <dimension ref="A1:J62"/>
  <sheetViews>
    <sheetView workbookViewId="0">
      <selection activeCell="H5" sqref="H5"/>
    </sheetView>
  </sheetViews>
  <sheetFormatPr defaultRowHeight="14.6" x14ac:dyDescent="0.4"/>
  <cols>
    <col min="2" max="2" width="20.15234375" customWidth="1"/>
    <col min="3" max="3" width="26.15234375" customWidth="1"/>
    <col min="4" max="4" width="21.69140625" customWidth="1"/>
    <col min="7" max="7" width="32.69140625" customWidth="1"/>
    <col min="8" max="8" width="24.3046875" customWidth="1"/>
    <col min="9" max="9" width="10.53515625" customWidth="1"/>
    <col min="10" max="10" width="13.3046875" customWidth="1"/>
  </cols>
  <sheetData>
    <row r="1" spans="1:6" x14ac:dyDescent="0.4">
      <c r="A1" s="248" t="s">
        <v>271</v>
      </c>
      <c r="B1" s="248" t="s">
        <v>272</v>
      </c>
      <c r="C1" s="248" t="s">
        <v>273</v>
      </c>
      <c r="D1" s="248" t="s">
        <v>274</v>
      </c>
      <c r="E1" s="248" t="s">
        <v>275</v>
      </c>
      <c r="F1" s="248" t="s">
        <v>276</v>
      </c>
    </row>
    <row r="2" spans="1:6" x14ac:dyDescent="0.4">
      <c r="A2">
        <v>11025</v>
      </c>
      <c r="B2" t="s">
        <v>277</v>
      </c>
      <c r="C2" t="s">
        <v>278</v>
      </c>
      <c r="D2" t="s">
        <v>279</v>
      </c>
      <c r="E2">
        <v>1200</v>
      </c>
      <c r="F2">
        <f>ROUND(E2*10/100,2)</f>
        <v>120</v>
      </c>
    </row>
    <row r="3" spans="1:6" x14ac:dyDescent="0.4">
      <c r="A3">
        <v>11026</v>
      </c>
      <c r="B3" t="s">
        <v>280</v>
      </c>
      <c r="C3" t="s">
        <v>281</v>
      </c>
      <c r="D3" t="s">
        <v>282</v>
      </c>
      <c r="E3">
        <v>1200</v>
      </c>
      <c r="F3">
        <f t="shared" ref="F3:F49" si="0">ROUND(E3*10/100,2)</f>
        <v>120</v>
      </c>
    </row>
    <row r="4" spans="1:6" x14ac:dyDescent="0.4">
      <c r="A4">
        <v>11027</v>
      </c>
      <c r="B4" t="s">
        <v>283</v>
      </c>
      <c r="C4" t="s">
        <v>284</v>
      </c>
      <c r="D4" t="s">
        <v>285</v>
      </c>
      <c r="E4">
        <v>1800</v>
      </c>
      <c r="F4">
        <f t="shared" si="0"/>
        <v>180</v>
      </c>
    </row>
    <row r="5" spans="1:6" x14ac:dyDescent="0.4">
      <c r="A5">
        <v>11028</v>
      </c>
      <c r="B5" t="s">
        <v>286</v>
      </c>
      <c r="C5" t="s">
        <v>287</v>
      </c>
      <c r="D5" t="s">
        <v>288</v>
      </c>
      <c r="E5">
        <v>900</v>
      </c>
      <c r="F5">
        <f t="shared" si="0"/>
        <v>90</v>
      </c>
    </row>
    <row r="6" spans="1:6" x14ac:dyDescent="0.4">
      <c r="A6">
        <v>11029</v>
      </c>
      <c r="B6" t="s">
        <v>289</v>
      </c>
      <c r="C6" t="s">
        <v>290</v>
      </c>
      <c r="D6" t="s">
        <v>291</v>
      </c>
      <c r="E6">
        <v>750</v>
      </c>
      <c r="F6">
        <f t="shared" si="0"/>
        <v>75</v>
      </c>
    </row>
    <row r="7" spans="1:6" x14ac:dyDescent="0.4">
      <c r="A7">
        <v>11030</v>
      </c>
      <c r="B7" t="s">
        <v>292</v>
      </c>
      <c r="C7" t="s">
        <v>278</v>
      </c>
      <c r="D7" t="s">
        <v>279</v>
      </c>
      <c r="E7">
        <v>1150</v>
      </c>
      <c r="F7">
        <f t="shared" si="0"/>
        <v>115</v>
      </c>
    </row>
    <row r="8" spans="1:6" x14ac:dyDescent="0.4">
      <c r="A8">
        <v>11031</v>
      </c>
      <c r="B8" t="s">
        <v>293</v>
      </c>
      <c r="C8" t="s">
        <v>281</v>
      </c>
      <c r="D8" t="s">
        <v>282</v>
      </c>
      <c r="E8">
        <v>1300</v>
      </c>
      <c r="F8">
        <f t="shared" si="0"/>
        <v>130</v>
      </c>
    </row>
    <row r="9" spans="1:6" x14ac:dyDescent="0.4">
      <c r="A9">
        <v>11032</v>
      </c>
      <c r="B9" t="s">
        <v>294</v>
      </c>
      <c r="C9" t="s">
        <v>284</v>
      </c>
      <c r="D9" t="s">
        <v>285</v>
      </c>
      <c r="E9">
        <v>1000</v>
      </c>
      <c r="F9">
        <f t="shared" si="0"/>
        <v>100</v>
      </c>
    </row>
    <row r="10" spans="1:6" x14ac:dyDescent="0.4">
      <c r="A10">
        <v>11033</v>
      </c>
      <c r="B10" t="s">
        <v>295</v>
      </c>
      <c r="C10" t="s">
        <v>287</v>
      </c>
      <c r="D10" t="s">
        <v>288</v>
      </c>
      <c r="E10">
        <v>950</v>
      </c>
      <c r="F10">
        <f t="shared" si="0"/>
        <v>95</v>
      </c>
    </row>
    <row r="11" spans="1:6" x14ac:dyDescent="0.4">
      <c r="A11">
        <v>11034</v>
      </c>
      <c r="B11" t="s">
        <v>296</v>
      </c>
      <c r="C11" t="s">
        <v>290</v>
      </c>
      <c r="D11" t="s">
        <v>291</v>
      </c>
      <c r="E11">
        <v>650</v>
      </c>
      <c r="F11">
        <f t="shared" si="0"/>
        <v>65</v>
      </c>
    </row>
    <row r="12" spans="1:6" x14ac:dyDescent="0.4">
      <c r="A12">
        <v>11035</v>
      </c>
      <c r="B12" t="s">
        <v>297</v>
      </c>
      <c r="C12" t="s">
        <v>278</v>
      </c>
      <c r="D12" t="s">
        <v>279</v>
      </c>
      <c r="E12">
        <v>1000</v>
      </c>
      <c r="F12">
        <f t="shared" si="0"/>
        <v>100</v>
      </c>
    </row>
    <row r="13" spans="1:6" x14ac:dyDescent="0.4">
      <c r="A13">
        <v>11036</v>
      </c>
      <c r="B13" t="s">
        <v>298</v>
      </c>
      <c r="C13" t="s">
        <v>281</v>
      </c>
      <c r="D13" t="s">
        <v>282</v>
      </c>
      <c r="E13">
        <v>1500</v>
      </c>
      <c r="F13">
        <f t="shared" si="0"/>
        <v>150</v>
      </c>
    </row>
    <row r="14" spans="1:6" x14ac:dyDescent="0.4">
      <c r="A14">
        <v>11037</v>
      </c>
      <c r="B14" t="s">
        <v>299</v>
      </c>
      <c r="C14" t="s">
        <v>284</v>
      </c>
      <c r="D14" t="s">
        <v>285</v>
      </c>
      <c r="E14">
        <v>1100</v>
      </c>
      <c r="F14">
        <f t="shared" si="0"/>
        <v>110</v>
      </c>
    </row>
    <row r="15" spans="1:6" x14ac:dyDescent="0.4">
      <c r="A15">
        <v>11038</v>
      </c>
      <c r="B15" t="s">
        <v>300</v>
      </c>
      <c r="C15" t="s">
        <v>287</v>
      </c>
      <c r="D15" t="s">
        <v>288</v>
      </c>
      <c r="E15">
        <v>1000</v>
      </c>
      <c r="F15">
        <f t="shared" si="0"/>
        <v>100</v>
      </c>
    </row>
    <row r="16" spans="1:6" x14ac:dyDescent="0.4">
      <c r="A16">
        <v>11039</v>
      </c>
      <c r="B16" t="s">
        <v>301</v>
      </c>
      <c r="C16" t="s">
        <v>290</v>
      </c>
      <c r="D16" t="s">
        <v>291</v>
      </c>
      <c r="E16">
        <v>850</v>
      </c>
      <c r="F16">
        <f t="shared" si="0"/>
        <v>85</v>
      </c>
    </row>
    <row r="17" spans="1:6" x14ac:dyDescent="0.4">
      <c r="A17">
        <v>11040</v>
      </c>
      <c r="B17" t="s">
        <v>302</v>
      </c>
      <c r="C17" t="s">
        <v>278</v>
      </c>
      <c r="D17" t="s">
        <v>303</v>
      </c>
      <c r="E17">
        <v>850</v>
      </c>
      <c r="F17">
        <f t="shared" si="0"/>
        <v>85</v>
      </c>
    </row>
    <row r="18" spans="1:6" x14ac:dyDescent="0.4">
      <c r="A18">
        <v>11041</v>
      </c>
      <c r="B18" t="s">
        <v>304</v>
      </c>
      <c r="C18" t="s">
        <v>281</v>
      </c>
      <c r="D18" t="s">
        <v>282</v>
      </c>
      <c r="E18">
        <v>1800</v>
      </c>
      <c r="F18">
        <f t="shared" si="0"/>
        <v>180</v>
      </c>
    </row>
    <row r="19" spans="1:6" x14ac:dyDescent="0.4">
      <c r="A19">
        <v>11042</v>
      </c>
      <c r="B19" t="s">
        <v>305</v>
      </c>
      <c r="C19" t="s">
        <v>284</v>
      </c>
      <c r="D19" t="s">
        <v>303</v>
      </c>
      <c r="E19">
        <v>900</v>
      </c>
      <c r="F19">
        <f t="shared" si="0"/>
        <v>90</v>
      </c>
    </row>
    <row r="20" spans="1:6" x14ac:dyDescent="0.4">
      <c r="A20">
        <v>11043</v>
      </c>
      <c r="B20" t="s">
        <v>306</v>
      </c>
      <c r="C20" t="s">
        <v>287</v>
      </c>
      <c r="D20" t="s">
        <v>288</v>
      </c>
      <c r="E20">
        <v>1050</v>
      </c>
      <c r="F20">
        <f t="shared" si="0"/>
        <v>105</v>
      </c>
    </row>
    <row r="21" spans="1:6" x14ac:dyDescent="0.4">
      <c r="A21">
        <v>11044</v>
      </c>
      <c r="B21" t="s">
        <v>307</v>
      </c>
      <c r="C21" t="s">
        <v>290</v>
      </c>
      <c r="D21" t="s">
        <v>291</v>
      </c>
      <c r="E21">
        <v>800</v>
      </c>
      <c r="F21">
        <f t="shared" si="0"/>
        <v>80</v>
      </c>
    </row>
    <row r="22" spans="1:6" x14ac:dyDescent="0.4">
      <c r="A22">
        <v>11045</v>
      </c>
      <c r="B22" t="s">
        <v>308</v>
      </c>
      <c r="C22" t="s">
        <v>278</v>
      </c>
      <c r="D22" t="s">
        <v>279</v>
      </c>
      <c r="E22">
        <v>1200</v>
      </c>
      <c r="F22">
        <f t="shared" si="0"/>
        <v>120</v>
      </c>
    </row>
    <row r="23" spans="1:6" x14ac:dyDescent="0.4">
      <c r="A23">
        <v>11046</v>
      </c>
      <c r="B23" t="s">
        <v>309</v>
      </c>
      <c r="C23" t="s">
        <v>281</v>
      </c>
      <c r="D23" t="s">
        <v>282</v>
      </c>
      <c r="E23">
        <v>850</v>
      </c>
      <c r="F23">
        <f t="shared" si="0"/>
        <v>85</v>
      </c>
    </row>
    <row r="24" spans="1:6" x14ac:dyDescent="0.4">
      <c r="A24">
        <v>11048</v>
      </c>
      <c r="B24" t="s">
        <v>310</v>
      </c>
      <c r="C24" t="s">
        <v>287</v>
      </c>
      <c r="D24" t="s">
        <v>288</v>
      </c>
      <c r="E24">
        <v>1100</v>
      </c>
      <c r="F24">
        <f t="shared" si="0"/>
        <v>110</v>
      </c>
    </row>
    <row r="25" spans="1:6" x14ac:dyDescent="0.4">
      <c r="A25">
        <v>11049</v>
      </c>
      <c r="B25" t="s">
        <v>311</v>
      </c>
      <c r="C25" t="s">
        <v>290</v>
      </c>
      <c r="D25" t="s">
        <v>291</v>
      </c>
      <c r="E25">
        <v>700</v>
      </c>
      <c r="F25">
        <f t="shared" si="0"/>
        <v>70</v>
      </c>
    </row>
    <row r="26" spans="1:6" x14ac:dyDescent="0.4">
      <c r="A26">
        <v>11050</v>
      </c>
      <c r="B26" t="s">
        <v>312</v>
      </c>
      <c r="C26" t="s">
        <v>278</v>
      </c>
      <c r="D26" t="s">
        <v>279</v>
      </c>
      <c r="E26">
        <v>1150</v>
      </c>
      <c r="F26">
        <f t="shared" si="0"/>
        <v>115</v>
      </c>
    </row>
    <row r="27" spans="1:6" x14ac:dyDescent="0.4">
      <c r="A27">
        <v>11051</v>
      </c>
      <c r="B27" t="s">
        <v>313</v>
      </c>
      <c r="C27" t="s">
        <v>281</v>
      </c>
      <c r="D27" t="s">
        <v>282</v>
      </c>
      <c r="E27">
        <v>900</v>
      </c>
      <c r="F27">
        <f t="shared" si="0"/>
        <v>90</v>
      </c>
    </row>
    <row r="28" spans="1:6" x14ac:dyDescent="0.4">
      <c r="A28">
        <v>11053</v>
      </c>
      <c r="B28" t="s">
        <v>314</v>
      </c>
      <c r="C28" t="s">
        <v>287</v>
      </c>
      <c r="D28" t="s">
        <v>288</v>
      </c>
      <c r="E28">
        <v>950</v>
      </c>
      <c r="F28">
        <f t="shared" si="0"/>
        <v>95</v>
      </c>
    </row>
    <row r="29" spans="1:6" x14ac:dyDescent="0.4">
      <c r="A29">
        <v>11054</v>
      </c>
      <c r="B29" t="s">
        <v>315</v>
      </c>
      <c r="C29" t="s">
        <v>290</v>
      </c>
      <c r="D29" t="s">
        <v>291</v>
      </c>
      <c r="E29">
        <v>650</v>
      </c>
      <c r="F29">
        <f t="shared" si="0"/>
        <v>65</v>
      </c>
    </row>
    <row r="30" spans="1:6" x14ac:dyDescent="0.4">
      <c r="A30">
        <v>11055</v>
      </c>
      <c r="B30" t="s">
        <v>316</v>
      </c>
      <c r="C30" t="s">
        <v>278</v>
      </c>
      <c r="D30" t="s">
        <v>279</v>
      </c>
      <c r="E30">
        <v>850</v>
      </c>
      <c r="F30">
        <f t="shared" si="0"/>
        <v>85</v>
      </c>
    </row>
    <row r="31" spans="1:6" x14ac:dyDescent="0.4">
      <c r="A31">
        <v>11056</v>
      </c>
      <c r="B31" t="s">
        <v>317</v>
      </c>
      <c r="C31" t="s">
        <v>281</v>
      </c>
      <c r="D31" t="s">
        <v>282</v>
      </c>
      <c r="E31">
        <v>1050</v>
      </c>
      <c r="F31">
        <f t="shared" si="0"/>
        <v>105</v>
      </c>
    </row>
    <row r="32" spans="1:6" x14ac:dyDescent="0.4">
      <c r="A32">
        <v>11058</v>
      </c>
      <c r="B32" t="s">
        <v>318</v>
      </c>
      <c r="C32" t="s">
        <v>287</v>
      </c>
      <c r="D32" t="s">
        <v>288</v>
      </c>
      <c r="E32">
        <v>900</v>
      </c>
      <c r="F32">
        <f t="shared" si="0"/>
        <v>90</v>
      </c>
    </row>
    <row r="33" spans="1:6" x14ac:dyDescent="0.4">
      <c r="A33">
        <v>11059</v>
      </c>
      <c r="B33" t="s">
        <v>319</v>
      </c>
      <c r="C33" t="s">
        <v>290</v>
      </c>
      <c r="D33" t="s">
        <v>291</v>
      </c>
      <c r="E33">
        <v>700</v>
      </c>
      <c r="F33">
        <f t="shared" si="0"/>
        <v>70</v>
      </c>
    </row>
    <row r="34" spans="1:6" x14ac:dyDescent="0.4">
      <c r="A34">
        <v>11060</v>
      </c>
      <c r="B34" t="s">
        <v>320</v>
      </c>
      <c r="C34" t="s">
        <v>278</v>
      </c>
      <c r="D34" t="s">
        <v>279</v>
      </c>
      <c r="E34">
        <v>1200</v>
      </c>
      <c r="F34">
        <f t="shared" si="0"/>
        <v>120</v>
      </c>
    </row>
    <row r="35" spans="1:6" x14ac:dyDescent="0.4">
      <c r="A35">
        <v>11061</v>
      </c>
      <c r="B35" t="s">
        <v>321</v>
      </c>
      <c r="C35" t="s">
        <v>281</v>
      </c>
      <c r="D35" t="s">
        <v>282</v>
      </c>
      <c r="E35">
        <v>900</v>
      </c>
      <c r="F35">
        <f t="shared" si="0"/>
        <v>90</v>
      </c>
    </row>
    <row r="36" spans="1:6" x14ac:dyDescent="0.4">
      <c r="A36">
        <v>11063</v>
      </c>
      <c r="B36" t="s">
        <v>322</v>
      </c>
      <c r="C36" t="s">
        <v>287</v>
      </c>
      <c r="D36" t="s">
        <v>288</v>
      </c>
      <c r="E36">
        <v>1000</v>
      </c>
      <c r="F36">
        <f t="shared" si="0"/>
        <v>100</v>
      </c>
    </row>
    <row r="37" spans="1:6" x14ac:dyDescent="0.4">
      <c r="A37">
        <v>11064</v>
      </c>
      <c r="B37" t="s">
        <v>323</v>
      </c>
      <c r="C37" t="s">
        <v>290</v>
      </c>
      <c r="D37" t="s">
        <v>291</v>
      </c>
      <c r="E37">
        <v>720</v>
      </c>
      <c r="F37">
        <f t="shared" si="0"/>
        <v>72</v>
      </c>
    </row>
    <row r="38" spans="1:6" x14ac:dyDescent="0.4">
      <c r="A38">
        <v>11065</v>
      </c>
      <c r="B38" t="s">
        <v>324</v>
      </c>
      <c r="C38" t="s">
        <v>278</v>
      </c>
      <c r="D38" t="s">
        <v>279</v>
      </c>
      <c r="E38">
        <v>1150</v>
      </c>
      <c r="F38">
        <f t="shared" si="0"/>
        <v>115</v>
      </c>
    </row>
    <row r="39" spans="1:6" x14ac:dyDescent="0.4">
      <c r="A39">
        <v>11066</v>
      </c>
      <c r="B39" t="s">
        <v>325</v>
      </c>
      <c r="C39" t="s">
        <v>281</v>
      </c>
      <c r="D39" t="s">
        <v>282</v>
      </c>
      <c r="E39">
        <v>800</v>
      </c>
      <c r="F39">
        <f t="shared" si="0"/>
        <v>80</v>
      </c>
    </row>
    <row r="40" spans="1:6" x14ac:dyDescent="0.4">
      <c r="A40">
        <v>11068</v>
      </c>
      <c r="B40" t="s">
        <v>326</v>
      </c>
      <c r="C40" t="s">
        <v>287</v>
      </c>
      <c r="D40" t="s">
        <v>288</v>
      </c>
      <c r="E40">
        <v>1200</v>
      </c>
      <c r="F40">
        <f t="shared" si="0"/>
        <v>120</v>
      </c>
    </row>
    <row r="41" spans="1:6" x14ac:dyDescent="0.4">
      <c r="A41">
        <v>11069</v>
      </c>
      <c r="B41" t="s">
        <v>327</v>
      </c>
      <c r="C41" t="s">
        <v>290</v>
      </c>
      <c r="D41" t="s">
        <v>303</v>
      </c>
      <c r="E41">
        <v>800</v>
      </c>
      <c r="F41">
        <f t="shared" si="0"/>
        <v>80</v>
      </c>
    </row>
    <row r="42" spans="1:6" x14ac:dyDescent="0.4">
      <c r="A42">
        <v>11070</v>
      </c>
      <c r="B42" t="s">
        <v>328</v>
      </c>
      <c r="C42" t="s">
        <v>278</v>
      </c>
      <c r="D42" t="s">
        <v>279</v>
      </c>
      <c r="E42">
        <v>850</v>
      </c>
      <c r="F42">
        <f t="shared" si="0"/>
        <v>85</v>
      </c>
    </row>
    <row r="43" spans="1:6" x14ac:dyDescent="0.4">
      <c r="A43">
        <v>11071</v>
      </c>
      <c r="B43" t="s">
        <v>329</v>
      </c>
      <c r="C43" t="s">
        <v>281</v>
      </c>
      <c r="D43" t="s">
        <v>282</v>
      </c>
      <c r="E43">
        <v>1200</v>
      </c>
      <c r="F43">
        <f t="shared" si="0"/>
        <v>120</v>
      </c>
    </row>
    <row r="44" spans="1:6" x14ac:dyDescent="0.4">
      <c r="A44">
        <v>11073</v>
      </c>
      <c r="B44" t="s">
        <v>330</v>
      </c>
      <c r="C44" t="s">
        <v>287</v>
      </c>
      <c r="D44" t="s">
        <v>288</v>
      </c>
      <c r="E44">
        <v>1050</v>
      </c>
      <c r="F44">
        <f t="shared" si="0"/>
        <v>105</v>
      </c>
    </row>
    <row r="45" spans="1:6" x14ac:dyDescent="0.4">
      <c r="A45">
        <v>11074</v>
      </c>
      <c r="B45" t="s">
        <v>331</v>
      </c>
      <c r="C45" t="s">
        <v>290</v>
      </c>
      <c r="D45" t="s">
        <v>291</v>
      </c>
      <c r="E45">
        <v>900</v>
      </c>
      <c r="F45">
        <f t="shared" si="0"/>
        <v>90</v>
      </c>
    </row>
    <row r="46" spans="1:6" x14ac:dyDescent="0.4">
      <c r="A46">
        <v>11075</v>
      </c>
      <c r="B46" t="s">
        <v>332</v>
      </c>
      <c r="C46" t="s">
        <v>278</v>
      </c>
      <c r="D46" t="s">
        <v>279</v>
      </c>
      <c r="E46">
        <v>850</v>
      </c>
      <c r="F46">
        <f t="shared" si="0"/>
        <v>85</v>
      </c>
    </row>
    <row r="47" spans="1:6" x14ac:dyDescent="0.4">
      <c r="A47">
        <v>11076</v>
      </c>
      <c r="B47" t="s">
        <v>333</v>
      </c>
      <c r="C47" t="s">
        <v>281</v>
      </c>
      <c r="D47" t="s">
        <v>303</v>
      </c>
      <c r="E47">
        <v>850</v>
      </c>
      <c r="F47">
        <f t="shared" si="0"/>
        <v>85</v>
      </c>
    </row>
    <row r="48" spans="1:6" x14ac:dyDescent="0.4">
      <c r="A48">
        <v>11078</v>
      </c>
      <c r="B48" t="s">
        <v>334</v>
      </c>
      <c r="C48" t="s">
        <v>287</v>
      </c>
      <c r="D48" t="s">
        <v>288</v>
      </c>
      <c r="E48">
        <v>1050</v>
      </c>
      <c r="F48">
        <f t="shared" si="0"/>
        <v>105</v>
      </c>
    </row>
    <row r="49" spans="1:10" x14ac:dyDescent="0.4">
      <c r="A49">
        <v>11079</v>
      </c>
      <c r="B49" t="s">
        <v>335</v>
      </c>
      <c r="C49" t="s">
        <v>290</v>
      </c>
      <c r="D49" t="s">
        <v>291</v>
      </c>
      <c r="E49">
        <v>750</v>
      </c>
      <c r="F49">
        <f t="shared" si="0"/>
        <v>75</v>
      </c>
    </row>
    <row r="51" spans="1:10" ht="29.15" x14ac:dyDescent="0.4">
      <c r="G51" s="249" t="s">
        <v>336</v>
      </c>
      <c r="H51" s="249" t="s">
        <v>337</v>
      </c>
      <c r="I51" s="249" t="s">
        <v>338</v>
      </c>
      <c r="J51" s="250" t="s">
        <v>339</v>
      </c>
    </row>
    <row r="52" spans="1:10" x14ac:dyDescent="0.4">
      <c r="G52" s="8" t="s">
        <v>340</v>
      </c>
      <c r="H52" s="8">
        <f>SUBTOTAL(1,E:E)</f>
        <v>1000.4166666666666</v>
      </c>
      <c r="I52" s="8" t="s">
        <v>75</v>
      </c>
      <c r="J52" s="8">
        <v>1</v>
      </c>
    </row>
    <row r="53" spans="1:10" x14ac:dyDescent="0.4">
      <c r="G53" s="8" t="s">
        <v>341</v>
      </c>
      <c r="H53" s="8">
        <f>SUBTOTAL(2,E:E)</f>
        <v>48</v>
      </c>
      <c r="I53" s="8" t="s">
        <v>150</v>
      </c>
      <c r="J53" s="8">
        <v>2</v>
      </c>
    </row>
    <row r="54" spans="1:10" x14ac:dyDescent="0.4">
      <c r="G54" s="8" t="s">
        <v>342</v>
      </c>
      <c r="H54" s="8">
        <f>SUBTOTAL(3,E:E)</f>
        <v>49</v>
      </c>
      <c r="I54" s="8" t="s">
        <v>152</v>
      </c>
      <c r="J54" s="8">
        <v>3</v>
      </c>
    </row>
    <row r="55" spans="1:10" x14ac:dyDescent="0.4">
      <c r="G55" s="8" t="s">
        <v>343</v>
      </c>
      <c r="H55" s="8">
        <f>SUBTOTAL(4,E:E)</f>
        <v>1800</v>
      </c>
      <c r="I55" s="8" t="s">
        <v>74</v>
      </c>
      <c r="J55" s="8">
        <v>4</v>
      </c>
    </row>
    <row r="56" spans="1:10" x14ac:dyDescent="0.4">
      <c r="G56" s="8" t="s">
        <v>344</v>
      </c>
      <c r="H56" s="8">
        <f>SUBTOTAL(5,E:E)</f>
        <v>650</v>
      </c>
      <c r="I56" s="8" t="s">
        <v>73</v>
      </c>
      <c r="J56" s="8">
        <v>5</v>
      </c>
    </row>
    <row r="57" spans="1:10" x14ac:dyDescent="0.4">
      <c r="G57" s="251" t="s">
        <v>345</v>
      </c>
      <c r="H57" s="8">
        <f>SUBTOTAL(6,E:E)</f>
        <v>2.7853880641007516E+143</v>
      </c>
      <c r="I57" s="8" t="s">
        <v>346</v>
      </c>
      <c r="J57" s="8">
        <v>6</v>
      </c>
    </row>
    <row r="58" spans="1:10" x14ac:dyDescent="0.4">
      <c r="G58" s="8" t="s">
        <v>347</v>
      </c>
      <c r="H58" s="8">
        <f>SUBTOTAL(7,E:E)</f>
        <v>249.61211043088196</v>
      </c>
      <c r="I58" s="8" t="s">
        <v>348</v>
      </c>
      <c r="J58" s="8">
        <v>7</v>
      </c>
    </row>
    <row r="59" spans="1:10" x14ac:dyDescent="0.4">
      <c r="G59" s="8" t="s">
        <v>347</v>
      </c>
      <c r="H59" s="8">
        <f>SUBTOTAL(8,E:E)</f>
        <v>246.99829902698161</v>
      </c>
      <c r="I59" s="8" t="s">
        <v>349</v>
      </c>
      <c r="J59" s="8">
        <v>8</v>
      </c>
    </row>
    <row r="60" spans="1:10" x14ac:dyDescent="0.4">
      <c r="G60" s="8" t="s">
        <v>350</v>
      </c>
      <c r="H60" s="8">
        <f>SUBTOTAL(9,E:E)</f>
        <v>48020</v>
      </c>
      <c r="I60" s="8" t="s">
        <v>42</v>
      </c>
      <c r="J60" s="8">
        <v>9</v>
      </c>
    </row>
    <row r="61" spans="1:10" x14ac:dyDescent="0.4">
      <c r="G61" s="8" t="s">
        <v>351</v>
      </c>
      <c r="H61" s="8">
        <f>SUBTOTAL(10,E:E)</f>
        <v>62306.205673758814</v>
      </c>
      <c r="I61" s="8" t="s">
        <v>352</v>
      </c>
      <c r="J61" s="8">
        <v>10</v>
      </c>
    </row>
    <row r="62" spans="1:10" x14ac:dyDescent="0.4">
      <c r="G62" s="8" t="s">
        <v>351</v>
      </c>
      <c r="H62" s="8">
        <f>SUBTOTAL(11,E:E)</f>
        <v>61008.159722222219</v>
      </c>
      <c r="I62" s="8" t="s">
        <v>353</v>
      </c>
      <c r="J62" s="8">
        <v>11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833EF-65EE-40D1-9B5D-7075057DD0D0}">
  <sheetPr codeName="Sheet15"/>
  <dimension ref="A1:H19"/>
  <sheetViews>
    <sheetView workbookViewId="0">
      <selection activeCell="J6" sqref="J6"/>
    </sheetView>
  </sheetViews>
  <sheetFormatPr defaultRowHeight="14.6" x14ac:dyDescent="0.4"/>
  <cols>
    <col min="1" max="1" width="9.53515625" customWidth="1"/>
    <col min="2" max="2" width="15" customWidth="1"/>
    <col min="3" max="3" width="11.84375" customWidth="1"/>
    <col min="4" max="4" width="10.69140625" customWidth="1"/>
    <col min="5" max="5" width="12.3828125" customWidth="1"/>
    <col min="6" max="6" width="11" customWidth="1"/>
    <col min="7" max="7" width="13.84375" customWidth="1"/>
    <col min="8" max="8" width="10.15234375" customWidth="1"/>
  </cols>
  <sheetData>
    <row r="1" spans="1:8" s="256" customFormat="1" ht="23.6" x14ac:dyDescent="0.65">
      <c r="A1" s="254" t="s">
        <v>354</v>
      </c>
      <c r="B1" s="255"/>
      <c r="C1" s="255"/>
    </row>
    <row r="3" spans="1:8" s="260" customFormat="1" ht="29.15" x14ac:dyDescent="0.4">
      <c r="A3" s="257" t="s">
        <v>355</v>
      </c>
      <c r="B3" s="258" t="s">
        <v>356</v>
      </c>
      <c r="C3" s="258" t="s">
        <v>357</v>
      </c>
      <c r="D3" s="258" t="s">
        <v>358</v>
      </c>
      <c r="E3" s="258" t="s">
        <v>359</v>
      </c>
      <c r="F3" s="259" t="s">
        <v>360</v>
      </c>
      <c r="G3" s="259" t="s">
        <v>361</v>
      </c>
      <c r="H3" s="259" t="s">
        <v>362</v>
      </c>
    </row>
    <row r="4" spans="1:8" x14ac:dyDescent="0.4">
      <c r="A4" s="156">
        <v>2014</v>
      </c>
      <c r="B4" s="252">
        <v>647521</v>
      </c>
      <c r="C4" s="252">
        <v>3292929</v>
      </c>
      <c r="D4" s="253">
        <v>9340</v>
      </c>
      <c r="E4" s="253">
        <v>24822</v>
      </c>
      <c r="F4" s="253">
        <f t="shared" ref="F4:F12" si="0">SUM(A4:E4)</f>
        <v>3976626</v>
      </c>
      <c r="G4" s="253"/>
      <c r="H4" s="96">
        <v>0</v>
      </c>
    </row>
    <row r="5" spans="1:8" x14ac:dyDescent="0.4">
      <c r="A5" s="156">
        <v>2015</v>
      </c>
      <c r="B5" s="252">
        <v>1024913</v>
      </c>
      <c r="C5" s="252">
        <v>3479793</v>
      </c>
      <c r="D5" s="253">
        <v>13004</v>
      </c>
      <c r="E5" s="253">
        <v>28486</v>
      </c>
      <c r="F5" s="253">
        <f t="shared" si="0"/>
        <v>4548211</v>
      </c>
      <c r="G5" s="253">
        <f>F4</f>
        <v>3976626</v>
      </c>
      <c r="H5" s="96">
        <f t="shared" ref="H5:H12" si="1">(F5-G5)/G5</f>
        <v>0.14373617232296926</v>
      </c>
    </row>
    <row r="6" spans="1:8" x14ac:dyDescent="0.4">
      <c r="A6" s="156">
        <v>2016</v>
      </c>
      <c r="B6" s="252">
        <v>2461201</v>
      </c>
      <c r="C6" s="252">
        <v>4641281</v>
      </c>
      <c r="D6" s="253">
        <v>221852</v>
      </c>
      <c r="E6" s="253">
        <v>237334</v>
      </c>
      <c r="F6" s="253">
        <f t="shared" si="0"/>
        <v>7563684</v>
      </c>
      <c r="G6" s="253">
        <f t="shared" ref="G6:G12" si="2">F5</f>
        <v>4548211</v>
      </c>
      <c r="H6" s="96">
        <f t="shared" si="1"/>
        <v>0.66300200232574957</v>
      </c>
    </row>
    <row r="7" spans="1:8" x14ac:dyDescent="0.4">
      <c r="A7" s="156">
        <v>2017</v>
      </c>
      <c r="B7" s="252">
        <v>4968977</v>
      </c>
      <c r="C7" s="252">
        <v>5150577</v>
      </c>
      <c r="D7" s="253">
        <v>449020</v>
      </c>
      <c r="E7" s="253">
        <v>464502</v>
      </c>
      <c r="F7" s="253">
        <f t="shared" si="0"/>
        <v>11035093</v>
      </c>
      <c r="G7" s="253">
        <f t="shared" si="2"/>
        <v>7563684</v>
      </c>
      <c r="H7" s="96">
        <f t="shared" si="1"/>
        <v>0.45895743397000721</v>
      </c>
    </row>
    <row r="8" spans="1:8" x14ac:dyDescent="0.4">
      <c r="A8" s="156">
        <v>2018</v>
      </c>
      <c r="B8" s="252">
        <v>8631377</v>
      </c>
      <c r="C8" s="252">
        <v>6279089</v>
      </c>
      <c r="D8" s="253">
        <v>745804</v>
      </c>
      <c r="E8" s="253">
        <v>761286</v>
      </c>
      <c r="F8" s="253">
        <f t="shared" si="0"/>
        <v>16419574</v>
      </c>
      <c r="G8" s="253">
        <f t="shared" si="2"/>
        <v>11035093</v>
      </c>
      <c r="H8" s="96">
        <f t="shared" si="1"/>
        <v>0.48794160592937458</v>
      </c>
    </row>
    <row r="9" spans="1:8" x14ac:dyDescent="0.4">
      <c r="A9" s="156">
        <v>2019</v>
      </c>
      <c r="B9" s="252">
        <v>8294289</v>
      </c>
      <c r="C9" s="252">
        <v>8415201</v>
      </c>
      <c r="D9" s="253">
        <v>654204</v>
      </c>
      <c r="E9" s="253">
        <v>669686</v>
      </c>
      <c r="F9" s="253">
        <f t="shared" si="0"/>
        <v>18035399</v>
      </c>
      <c r="G9" s="253">
        <f t="shared" si="2"/>
        <v>16419574</v>
      </c>
      <c r="H9" s="96">
        <f t="shared" si="1"/>
        <v>9.8408460536186876E-2</v>
      </c>
    </row>
    <row r="10" spans="1:8" x14ac:dyDescent="0.4">
      <c r="A10" s="156">
        <v>2020</v>
      </c>
      <c r="B10" s="252">
        <v>9741569</v>
      </c>
      <c r="C10" s="252">
        <v>8671681</v>
      </c>
      <c r="D10" s="253">
        <v>881372</v>
      </c>
      <c r="E10" s="253">
        <v>896854</v>
      </c>
      <c r="F10" s="253">
        <f t="shared" si="0"/>
        <v>20193496</v>
      </c>
      <c r="G10" s="253">
        <f t="shared" si="2"/>
        <v>18035399</v>
      </c>
      <c r="H10" s="96">
        <f t="shared" si="1"/>
        <v>0.11965895514704165</v>
      </c>
    </row>
    <row r="11" spans="1:8" x14ac:dyDescent="0.4">
      <c r="A11" s="156">
        <v>2021</v>
      </c>
      <c r="B11" s="252">
        <v>11097249</v>
      </c>
      <c r="C11" s="252">
        <v>12383313</v>
      </c>
      <c r="D11" s="253">
        <v>1610508</v>
      </c>
      <c r="E11" s="253">
        <v>1625990</v>
      </c>
      <c r="F11" s="253">
        <f t="shared" si="0"/>
        <v>26719081</v>
      </c>
      <c r="G11" s="253">
        <f t="shared" si="2"/>
        <v>20193496</v>
      </c>
      <c r="H11" s="96">
        <f t="shared" si="1"/>
        <v>0.32315281118237277</v>
      </c>
    </row>
    <row r="12" spans="1:8" x14ac:dyDescent="0.4">
      <c r="A12" s="156">
        <v>2022</v>
      </c>
      <c r="B12" s="252">
        <v>12484332</v>
      </c>
      <c r="C12" s="252">
        <v>14419422</v>
      </c>
      <c r="D12" s="253">
        <v>1695282</v>
      </c>
      <c r="E12" s="253">
        <v>1710764</v>
      </c>
      <c r="F12" s="253">
        <f t="shared" si="0"/>
        <v>30311822</v>
      </c>
      <c r="G12" s="253">
        <f t="shared" si="2"/>
        <v>26719081</v>
      </c>
      <c r="H12" s="96">
        <f t="shared" si="1"/>
        <v>0.13446349445925929</v>
      </c>
    </row>
    <row r="13" spans="1:8" x14ac:dyDescent="0.4">
      <c r="B13" s="253"/>
      <c r="C13" s="253"/>
      <c r="D13" s="253"/>
      <c r="E13" s="253"/>
      <c r="F13" s="253"/>
      <c r="G13" s="253"/>
    </row>
    <row r="19" spans="5:5" x14ac:dyDescent="0.4">
      <c r="E19" s="15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05051-0E98-47A6-923F-DA0B41191407}">
  <sheetPr codeName="Sheet2"/>
  <dimension ref="A1:J48"/>
  <sheetViews>
    <sheetView workbookViewId="0">
      <selection activeCell="E23" sqref="E23"/>
    </sheetView>
  </sheetViews>
  <sheetFormatPr defaultRowHeight="14.6" x14ac:dyDescent="0.4"/>
  <cols>
    <col min="1" max="1" width="19.69140625" customWidth="1"/>
    <col min="2" max="2" width="15.3046875" customWidth="1"/>
    <col min="3" max="6" width="8.3828125" customWidth="1"/>
    <col min="7" max="7" width="9.3828125" customWidth="1"/>
    <col min="8" max="8" width="22" customWidth="1"/>
    <col min="9" max="9" width="22.3828125" customWidth="1"/>
    <col min="10" max="10" width="12.69140625" customWidth="1"/>
  </cols>
  <sheetData>
    <row r="1" spans="1:10" x14ac:dyDescent="0.4">
      <c r="A1" s="65" t="s">
        <v>41</v>
      </c>
      <c r="B1" s="65"/>
      <c r="C1" s="77">
        <v>2023</v>
      </c>
      <c r="D1" s="78"/>
      <c r="E1" s="78"/>
      <c r="F1" s="79"/>
      <c r="G1" s="66" t="s">
        <v>42</v>
      </c>
      <c r="H1" s="67" t="s">
        <v>43</v>
      </c>
      <c r="I1" s="67" t="s">
        <v>44</v>
      </c>
      <c r="J1" s="68" t="s">
        <v>45</v>
      </c>
    </row>
    <row r="2" spans="1:10" ht="15" thickBot="1" x14ac:dyDescent="0.45">
      <c r="A2" s="69" t="s">
        <v>46</v>
      </c>
      <c r="B2" s="70" t="s">
        <v>47</v>
      </c>
      <c r="C2" s="71" t="s">
        <v>48</v>
      </c>
      <c r="D2" s="72" t="s">
        <v>49</v>
      </c>
      <c r="E2" s="72" t="s">
        <v>50</v>
      </c>
      <c r="F2" s="73" t="s">
        <v>51</v>
      </c>
      <c r="G2" s="74" t="s">
        <v>52</v>
      </c>
      <c r="H2" s="75" t="s">
        <v>53</v>
      </c>
      <c r="I2" s="75" t="s">
        <v>54</v>
      </c>
      <c r="J2" s="76" t="s">
        <v>55</v>
      </c>
    </row>
    <row r="3" spans="1:10" x14ac:dyDescent="0.4">
      <c r="A3" s="8" t="s">
        <v>56</v>
      </c>
      <c r="B3" s="8" t="s">
        <v>57</v>
      </c>
      <c r="C3" s="80">
        <v>200</v>
      </c>
      <c r="D3" s="80">
        <v>250</v>
      </c>
      <c r="E3" s="80">
        <v>260</v>
      </c>
      <c r="F3" s="81">
        <v>300</v>
      </c>
      <c r="G3" s="82"/>
      <c r="H3" s="83"/>
      <c r="I3" s="83"/>
      <c r="J3" s="84"/>
    </row>
    <row r="4" spans="1:10" x14ac:dyDescent="0.4">
      <c r="A4" s="8" t="s">
        <v>58</v>
      </c>
      <c r="B4" s="8" t="s">
        <v>59</v>
      </c>
      <c r="C4" s="85">
        <v>150</v>
      </c>
      <c r="D4" s="85">
        <v>230</v>
      </c>
      <c r="E4" s="85">
        <v>190</v>
      </c>
      <c r="F4" s="86">
        <v>270</v>
      </c>
      <c r="G4" s="87"/>
      <c r="H4" s="88"/>
      <c r="I4" s="88"/>
      <c r="J4" s="89"/>
    </row>
    <row r="5" spans="1:10" x14ac:dyDescent="0.4">
      <c r="A5" s="8" t="s">
        <v>60</v>
      </c>
      <c r="B5" s="8" t="s">
        <v>61</v>
      </c>
      <c r="C5" s="85">
        <v>436</v>
      </c>
      <c r="D5" s="85">
        <v>411</v>
      </c>
      <c r="E5" s="85">
        <v>386</v>
      </c>
      <c r="F5" s="86">
        <v>263</v>
      </c>
      <c r="G5" s="87"/>
      <c r="H5" s="88"/>
      <c r="I5" s="88"/>
      <c r="J5" s="89"/>
    </row>
    <row r="6" spans="1:10" x14ac:dyDescent="0.4">
      <c r="A6" s="8" t="s">
        <v>62</v>
      </c>
      <c r="B6" s="8" t="s">
        <v>63</v>
      </c>
      <c r="C6" s="85">
        <v>489</v>
      </c>
      <c r="D6" s="85">
        <v>430</v>
      </c>
      <c r="E6" s="85">
        <v>458</v>
      </c>
      <c r="F6" s="86">
        <v>395</v>
      </c>
      <c r="G6" s="87"/>
      <c r="H6" s="88"/>
      <c r="I6" s="88"/>
      <c r="J6" s="89"/>
    </row>
    <row r="7" spans="1:10" x14ac:dyDescent="0.4">
      <c r="A7" s="8" t="s">
        <v>56</v>
      </c>
      <c r="B7" s="8" t="s">
        <v>64</v>
      </c>
      <c r="C7" s="85">
        <v>404</v>
      </c>
      <c r="D7" s="85">
        <v>487</v>
      </c>
      <c r="E7" s="85">
        <v>324</v>
      </c>
      <c r="F7" s="86">
        <v>543</v>
      </c>
      <c r="G7" s="87"/>
      <c r="H7" s="88"/>
      <c r="I7" s="88"/>
      <c r="J7" s="89"/>
    </row>
    <row r="8" spans="1:10" x14ac:dyDescent="0.4">
      <c r="A8" s="8" t="s">
        <v>58</v>
      </c>
      <c r="B8" s="8" t="s">
        <v>65</v>
      </c>
      <c r="C8" s="85">
        <v>541</v>
      </c>
      <c r="D8" s="85">
        <v>245</v>
      </c>
      <c r="E8" s="85">
        <v>165</v>
      </c>
      <c r="F8" s="86">
        <v>174</v>
      </c>
      <c r="G8" s="87"/>
      <c r="H8" s="88"/>
      <c r="I8" s="88"/>
      <c r="J8" s="89"/>
    </row>
    <row r="9" spans="1:10" x14ac:dyDescent="0.4">
      <c r="A9" s="8" t="s">
        <v>60</v>
      </c>
      <c r="B9" s="8" t="s">
        <v>66</v>
      </c>
      <c r="C9" s="85">
        <v>327</v>
      </c>
      <c r="D9" s="85">
        <v>278</v>
      </c>
      <c r="E9" s="85">
        <v>546</v>
      </c>
      <c r="F9" s="86">
        <v>173</v>
      </c>
      <c r="G9" s="87"/>
      <c r="H9" s="88"/>
      <c r="I9" s="88"/>
      <c r="J9" s="89"/>
    </row>
    <row r="10" spans="1:10" x14ac:dyDescent="0.4">
      <c r="A10" s="8" t="s">
        <v>62</v>
      </c>
      <c r="B10" s="8" t="s">
        <v>67</v>
      </c>
      <c r="C10" s="85">
        <v>579</v>
      </c>
      <c r="D10" s="85">
        <v>532</v>
      </c>
      <c r="E10" s="85">
        <v>504</v>
      </c>
      <c r="F10" s="86">
        <v>300</v>
      </c>
      <c r="G10" s="87"/>
      <c r="H10" s="88"/>
      <c r="I10" s="88"/>
      <c r="J10" s="89"/>
    </row>
    <row r="11" spans="1:10" x14ac:dyDescent="0.4">
      <c r="A11" s="8" t="s">
        <v>56</v>
      </c>
      <c r="B11" s="8" t="s">
        <v>68</v>
      </c>
      <c r="C11" s="85">
        <v>473</v>
      </c>
      <c r="D11" s="85">
        <v>130</v>
      </c>
      <c r="E11" s="85">
        <v>260</v>
      </c>
      <c r="F11" s="86">
        <v>100</v>
      </c>
      <c r="G11" s="87"/>
      <c r="H11" s="88"/>
      <c r="I11" s="88"/>
      <c r="J11" s="89"/>
    </row>
    <row r="12" spans="1:10" x14ac:dyDescent="0.4">
      <c r="A12" s="8" t="s">
        <v>58</v>
      </c>
      <c r="B12" s="8" t="s">
        <v>69</v>
      </c>
      <c r="C12" s="85">
        <v>400</v>
      </c>
      <c r="D12" s="85">
        <v>420</v>
      </c>
      <c r="E12" s="85">
        <v>500</v>
      </c>
      <c r="F12" s="86">
        <v>440</v>
      </c>
      <c r="G12" s="87"/>
      <c r="H12" s="88"/>
      <c r="I12" s="88"/>
      <c r="J12" s="89"/>
    </row>
    <row r="13" spans="1:10" x14ac:dyDescent="0.4">
      <c r="A13" s="8" t="s">
        <v>60</v>
      </c>
      <c r="B13" s="8" t="s">
        <v>70</v>
      </c>
      <c r="C13" s="85">
        <v>330</v>
      </c>
      <c r="D13" s="85">
        <v>443</v>
      </c>
      <c r="E13" s="85">
        <v>349</v>
      </c>
      <c r="F13" s="86">
        <v>530</v>
      </c>
      <c r="G13" s="87"/>
      <c r="H13" s="88"/>
      <c r="I13" s="88"/>
      <c r="J13" s="89"/>
    </row>
    <row r="14" spans="1:10" ht="15" thickBot="1" x14ac:dyDescent="0.45">
      <c r="A14" s="8" t="s">
        <v>62</v>
      </c>
      <c r="B14" s="8" t="s">
        <v>71</v>
      </c>
      <c r="C14" s="90">
        <v>120</v>
      </c>
      <c r="D14" s="90">
        <v>130</v>
      </c>
      <c r="E14" s="90">
        <v>110</v>
      </c>
      <c r="F14" s="91">
        <v>90</v>
      </c>
      <c r="G14" s="92"/>
      <c r="H14" s="93"/>
      <c r="I14" s="93"/>
      <c r="J14" s="94"/>
    </row>
    <row r="15" spans="1:10" ht="15" thickBot="1" x14ac:dyDescent="0.45"/>
    <row r="16" spans="1:10" x14ac:dyDescent="0.4">
      <c r="A16" s="49" t="s">
        <v>42</v>
      </c>
      <c r="B16" s="60"/>
      <c r="C16" s="41"/>
      <c r="D16" s="29"/>
      <c r="E16" s="29"/>
      <c r="F16" s="29"/>
      <c r="G16" s="41"/>
      <c r="H16" s="29"/>
      <c r="I16" s="29"/>
      <c r="J16" s="30"/>
    </row>
    <row r="17" spans="1:10" x14ac:dyDescent="0.4">
      <c r="A17" s="61" t="s">
        <v>72</v>
      </c>
      <c r="B17" s="62"/>
      <c r="C17" s="43"/>
      <c r="G17" s="44"/>
      <c r="J17" s="45"/>
    </row>
    <row r="18" spans="1:10" x14ac:dyDescent="0.4">
      <c r="A18" s="61" t="s">
        <v>73</v>
      </c>
      <c r="B18" s="62"/>
      <c r="C18" s="44"/>
      <c r="D18" s="34"/>
      <c r="E18" s="34"/>
      <c r="F18" s="34"/>
      <c r="G18" s="44"/>
      <c r="H18" s="34"/>
      <c r="J18" s="45"/>
    </row>
    <row r="19" spans="1:10" x14ac:dyDescent="0.4">
      <c r="A19" s="61" t="s">
        <v>74</v>
      </c>
      <c r="B19" s="62"/>
      <c r="C19" s="44"/>
      <c r="D19" s="34"/>
      <c r="E19" s="34"/>
      <c r="F19" s="34"/>
      <c r="G19" s="44"/>
      <c r="I19" s="34"/>
      <c r="J19" s="45"/>
    </row>
    <row r="20" spans="1:10" ht="15" thickBot="1" x14ac:dyDescent="0.45">
      <c r="A20" s="63" t="s">
        <v>75</v>
      </c>
      <c r="B20" s="64"/>
      <c r="C20" s="46"/>
      <c r="D20" s="39"/>
      <c r="E20" s="39"/>
      <c r="F20" s="39"/>
      <c r="G20" s="46"/>
      <c r="H20" s="47"/>
      <c r="I20" s="47"/>
      <c r="J20" s="40"/>
    </row>
    <row r="29" spans="1:10" ht="15" thickBot="1" x14ac:dyDescent="0.45"/>
    <row r="30" spans="1:10" x14ac:dyDescent="0.4">
      <c r="A30" s="48" t="s">
        <v>41</v>
      </c>
      <c r="B30" s="48"/>
      <c r="C30" s="271">
        <v>2023</v>
      </c>
      <c r="D30" s="272"/>
      <c r="E30" s="272"/>
      <c r="F30" s="273"/>
      <c r="G30" s="49" t="s">
        <v>42</v>
      </c>
      <c r="H30" s="50" t="s">
        <v>43</v>
      </c>
      <c r="I30" s="50" t="s">
        <v>44</v>
      </c>
      <c r="J30" s="51" t="s">
        <v>45</v>
      </c>
    </row>
    <row r="31" spans="1:10" ht="15" thickBot="1" x14ac:dyDescent="0.45">
      <c r="A31" s="52" t="s">
        <v>46</v>
      </c>
      <c r="B31" s="53" t="s">
        <v>47</v>
      </c>
      <c r="C31" s="54" t="s">
        <v>48</v>
      </c>
      <c r="D31" s="55" t="s">
        <v>49</v>
      </c>
      <c r="E31" s="55" t="s">
        <v>50</v>
      </c>
      <c r="F31" s="56" t="s">
        <v>51</v>
      </c>
      <c r="G31" s="57" t="s">
        <v>52</v>
      </c>
      <c r="H31" s="58" t="s">
        <v>53</v>
      </c>
      <c r="I31" s="58" t="s">
        <v>54</v>
      </c>
      <c r="J31" s="59" t="s">
        <v>55</v>
      </c>
    </row>
    <row r="32" spans="1:10" x14ac:dyDescent="0.4">
      <c r="A32" s="8" t="s">
        <v>56</v>
      </c>
      <c r="B32" s="8" t="s">
        <v>57</v>
      </c>
      <c r="C32" s="26">
        <v>200</v>
      </c>
      <c r="D32" s="26">
        <v>250</v>
      </c>
      <c r="E32" s="26">
        <v>260</v>
      </c>
      <c r="F32" s="27">
        <v>300</v>
      </c>
      <c r="G32" s="28">
        <f>SUM(C32,D32,E32,F32)</f>
        <v>1010</v>
      </c>
      <c r="H32" s="29">
        <f>MIN(C32,D32,E32,F32)</f>
        <v>200</v>
      </c>
      <c r="I32" s="29">
        <f>MAX(C32,D32,E32,F32)</f>
        <v>300</v>
      </c>
      <c r="J32" s="30">
        <f>AVERAGE(C32,D32,E32,F32)</f>
        <v>252.5</v>
      </c>
    </row>
    <row r="33" spans="1:10" x14ac:dyDescent="0.4">
      <c r="A33" s="8" t="s">
        <v>58</v>
      </c>
      <c r="B33" s="8" t="s">
        <v>59</v>
      </c>
      <c r="C33" s="31">
        <v>150</v>
      </c>
      <c r="D33" s="31">
        <v>230</v>
      </c>
      <c r="E33" s="31">
        <v>190</v>
      </c>
      <c r="F33" s="32">
        <v>270</v>
      </c>
      <c r="G33" s="33">
        <f t="shared" ref="G33" si="0">SUM(C33:F33)</f>
        <v>840</v>
      </c>
      <c r="H33" s="34">
        <f>MIN(C33:F33)</f>
        <v>150</v>
      </c>
      <c r="I33" s="34">
        <f>MAX(C33:F33)</f>
        <v>270</v>
      </c>
      <c r="J33" s="35">
        <f>AVERAGE(C33:F33)</f>
        <v>210</v>
      </c>
    </row>
    <row r="34" spans="1:10" x14ac:dyDescent="0.4">
      <c r="A34" s="8" t="s">
        <v>60</v>
      </c>
      <c r="B34" s="8" t="s">
        <v>61</v>
      </c>
      <c r="C34" s="31">
        <v>436</v>
      </c>
      <c r="D34" s="31">
        <v>411</v>
      </c>
      <c r="E34" s="31">
        <v>386</v>
      </c>
      <c r="F34" s="32">
        <v>263</v>
      </c>
      <c r="G34" s="33">
        <f>SUM(South_Tom_Qx)</f>
        <v>1496</v>
      </c>
      <c r="H34" s="34">
        <f>MIN(South_Tom_Qx)</f>
        <v>263</v>
      </c>
      <c r="I34" s="34">
        <f>MAX(South_Tom_Qx)</f>
        <v>436</v>
      </c>
      <c r="J34" s="35">
        <f>AVERAGE(South_Tom_Qx)</f>
        <v>374</v>
      </c>
    </row>
    <row r="35" spans="1:10" x14ac:dyDescent="0.4">
      <c r="A35" s="8" t="s">
        <v>62</v>
      </c>
      <c r="B35" s="8" t="s">
        <v>63</v>
      </c>
      <c r="C35" s="31">
        <v>489</v>
      </c>
      <c r="D35" s="31">
        <v>430</v>
      </c>
      <c r="E35" s="31">
        <v>458</v>
      </c>
      <c r="F35" s="32">
        <v>395</v>
      </c>
      <c r="G35" s="33">
        <f t="shared" ref="G35:G43" si="1">SUM(C35:F35)</f>
        <v>1772</v>
      </c>
      <c r="H35" s="34">
        <f>MIN(North_Alice_Qx)</f>
        <v>395</v>
      </c>
      <c r="I35" s="34">
        <f>MAX(C35:F35)</f>
        <v>489</v>
      </c>
      <c r="J35" s="35">
        <f>AVERAGE(C35:F35)</f>
        <v>443</v>
      </c>
    </row>
    <row r="36" spans="1:10" x14ac:dyDescent="0.4">
      <c r="A36" s="8" t="s">
        <v>56</v>
      </c>
      <c r="B36" s="8" t="s">
        <v>64</v>
      </c>
      <c r="C36" s="31">
        <v>404</v>
      </c>
      <c r="D36" s="31">
        <v>487</v>
      </c>
      <c r="E36" s="31">
        <v>324</v>
      </c>
      <c r="F36" s="32">
        <v>543</v>
      </c>
      <c r="G36" s="33">
        <f t="shared" si="1"/>
        <v>1758</v>
      </c>
      <c r="H36" s="34">
        <f>MIN(C36:F36)</f>
        <v>324</v>
      </c>
      <c r="I36" s="34">
        <f>MAX(C36:F36)</f>
        <v>543</v>
      </c>
      <c r="J36" s="35">
        <f>AVERAGE(C36:F36)</f>
        <v>439.5</v>
      </c>
    </row>
    <row r="37" spans="1:10" x14ac:dyDescent="0.4">
      <c r="A37" s="8" t="s">
        <v>58</v>
      </c>
      <c r="B37" s="8" t="s">
        <v>65</v>
      </c>
      <c r="C37" s="31">
        <v>541</v>
      </c>
      <c r="D37" s="31">
        <v>245</v>
      </c>
      <c r="E37" s="31">
        <v>165</v>
      </c>
      <c r="F37" s="32">
        <v>174</v>
      </c>
      <c r="G37" s="33">
        <f t="shared" si="1"/>
        <v>1125</v>
      </c>
      <c r="H37" s="34">
        <f t="shared" ref="H37:H43" si="2">MIN(C37:F37)</f>
        <v>165</v>
      </c>
      <c r="I37" s="34">
        <f t="shared" ref="I37:I43" si="3">MAX(C37:F37)</f>
        <v>541</v>
      </c>
      <c r="J37" s="35">
        <f t="shared" ref="J37:J43" si="4">AVERAGE(C37:F37)</f>
        <v>281.25</v>
      </c>
    </row>
    <row r="38" spans="1:10" x14ac:dyDescent="0.4">
      <c r="A38" s="8" t="s">
        <v>60</v>
      </c>
      <c r="B38" s="8" t="s">
        <v>66</v>
      </c>
      <c r="C38" s="31">
        <v>327</v>
      </c>
      <c r="D38" s="31">
        <v>278</v>
      </c>
      <c r="E38" s="31">
        <v>546</v>
      </c>
      <c r="F38" s="32">
        <v>173</v>
      </c>
      <c r="G38" s="33">
        <f t="shared" si="1"/>
        <v>1324</v>
      </c>
      <c r="H38" s="34">
        <f t="shared" si="2"/>
        <v>173</v>
      </c>
      <c r="I38" s="34">
        <f t="shared" si="3"/>
        <v>546</v>
      </c>
      <c r="J38" s="35">
        <f t="shared" si="4"/>
        <v>331</v>
      </c>
    </row>
    <row r="39" spans="1:10" x14ac:dyDescent="0.4">
      <c r="A39" s="8" t="s">
        <v>62</v>
      </c>
      <c r="B39" s="8" t="s">
        <v>67</v>
      </c>
      <c r="C39" s="31">
        <v>579</v>
      </c>
      <c r="D39" s="31">
        <v>532</v>
      </c>
      <c r="E39" s="31">
        <v>504</v>
      </c>
      <c r="F39" s="32">
        <v>300</v>
      </c>
      <c r="G39" s="33">
        <f t="shared" si="1"/>
        <v>1915</v>
      </c>
      <c r="H39" s="34">
        <f t="shared" si="2"/>
        <v>300</v>
      </c>
      <c r="I39" s="34">
        <f t="shared" si="3"/>
        <v>579</v>
      </c>
      <c r="J39" s="35">
        <f t="shared" si="4"/>
        <v>478.75</v>
      </c>
    </row>
    <row r="40" spans="1:10" x14ac:dyDescent="0.4">
      <c r="A40" s="8" t="s">
        <v>56</v>
      </c>
      <c r="B40" s="8" t="s">
        <v>68</v>
      </c>
      <c r="C40" s="31">
        <v>473</v>
      </c>
      <c r="D40" s="31">
        <v>130</v>
      </c>
      <c r="E40" s="31">
        <v>260</v>
      </c>
      <c r="F40" s="32">
        <v>100</v>
      </c>
      <c r="G40" s="33">
        <f t="shared" si="1"/>
        <v>963</v>
      </c>
      <c r="H40" s="34">
        <f t="shared" si="2"/>
        <v>100</v>
      </c>
      <c r="I40" s="34">
        <f t="shared" si="3"/>
        <v>473</v>
      </c>
      <c r="J40" s="35">
        <f t="shared" si="4"/>
        <v>240.75</v>
      </c>
    </row>
    <row r="41" spans="1:10" x14ac:dyDescent="0.4">
      <c r="A41" s="8" t="s">
        <v>58</v>
      </c>
      <c r="B41" s="8" t="s">
        <v>69</v>
      </c>
      <c r="C41" s="31">
        <v>400</v>
      </c>
      <c r="D41" s="31">
        <v>420</v>
      </c>
      <c r="E41" s="31">
        <v>500</v>
      </c>
      <c r="F41" s="32">
        <v>440</v>
      </c>
      <c r="G41" s="33">
        <f t="shared" si="1"/>
        <v>1760</v>
      </c>
      <c r="H41" s="34">
        <f t="shared" si="2"/>
        <v>400</v>
      </c>
      <c r="I41" s="34">
        <f t="shared" si="3"/>
        <v>500</v>
      </c>
      <c r="J41" s="35">
        <f t="shared" si="4"/>
        <v>440</v>
      </c>
    </row>
    <row r="42" spans="1:10" x14ac:dyDescent="0.4">
      <c r="A42" s="8" t="s">
        <v>60</v>
      </c>
      <c r="B42" s="8" t="s">
        <v>70</v>
      </c>
      <c r="C42" s="31">
        <v>330</v>
      </c>
      <c r="D42" s="31">
        <v>443</v>
      </c>
      <c r="E42" s="31">
        <v>349</v>
      </c>
      <c r="F42" s="32">
        <v>530</v>
      </c>
      <c r="G42" s="33">
        <f t="shared" si="1"/>
        <v>1652</v>
      </c>
      <c r="H42" s="34">
        <f t="shared" si="2"/>
        <v>330</v>
      </c>
      <c r="I42" s="34">
        <f t="shared" si="3"/>
        <v>530</v>
      </c>
      <c r="J42" s="35">
        <f t="shared" si="4"/>
        <v>413</v>
      </c>
    </row>
    <row r="43" spans="1:10" ht="15" thickBot="1" x14ac:dyDescent="0.45">
      <c r="A43" s="8" t="s">
        <v>62</v>
      </c>
      <c r="B43" s="8" t="s">
        <v>71</v>
      </c>
      <c r="C43" s="36">
        <v>120</v>
      </c>
      <c r="D43" s="36">
        <v>130</v>
      </c>
      <c r="E43" s="36">
        <v>110</v>
      </c>
      <c r="F43" s="37">
        <v>90</v>
      </c>
      <c r="G43" s="38">
        <f t="shared" si="1"/>
        <v>450</v>
      </c>
      <c r="H43" s="39">
        <f t="shared" si="2"/>
        <v>90</v>
      </c>
      <c r="I43" s="39">
        <f t="shared" si="3"/>
        <v>130</v>
      </c>
      <c r="J43" s="40">
        <f t="shared" si="4"/>
        <v>112.5</v>
      </c>
    </row>
    <row r="44" spans="1:10" ht="15" thickBot="1" x14ac:dyDescent="0.45"/>
    <row r="45" spans="1:10" x14ac:dyDescent="0.4">
      <c r="A45" s="49" t="s">
        <v>42</v>
      </c>
      <c r="B45" s="60"/>
      <c r="C45" s="41">
        <f>SUM(C32:C43)</f>
        <v>4449</v>
      </c>
      <c r="D45" s="29">
        <f>SUM(D32:D43)</f>
        <v>3986</v>
      </c>
      <c r="E45" s="29">
        <f>SUM(E32:E43)</f>
        <v>4052</v>
      </c>
      <c r="F45" s="29">
        <f>SUM(F32:F43)</f>
        <v>3578</v>
      </c>
      <c r="G45" s="41">
        <f>SUM(G32:G43)</f>
        <v>16065</v>
      </c>
      <c r="H45" s="29"/>
      <c r="I45" s="29"/>
      <c r="J45" s="30"/>
    </row>
    <row r="46" spans="1:10" x14ac:dyDescent="0.4">
      <c r="A46" s="61" t="s">
        <v>73</v>
      </c>
      <c r="B46" s="62"/>
      <c r="C46" s="44">
        <f t="shared" ref="C46:H46" si="5">MIN(C32:C43)</f>
        <v>120</v>
      </c>
      <c r="D46" s="34">
        <f t="shared" si="5"/>
        <v>130</v>
      </c>
      <c r="E46" s="34">
        <f t="shared" si="5"/>
        <v>110</v>
      </c>
      <c r="F46" s="34">
        <f t="shared" si="5"/>
        <v>90</v>
      </c>
      <c r="G46" s="44">
        <f t="shared" si="5"/>
        <v>450</v>
      </c>
      <c r="H46" s="34">
        <f t="shared" si="5"/>
        <v>90</v>
      </c>
      <c r="J46" s="45"/>
    </row>
    <row r="47" spans="1:10" x14ac:dyDescent="0.4">
      <c r="A47" s="61" t="s">
        <v>74</v>
      </c>
      <c r="B47" s="62"/>
      <c r="C47" s="44">
        <f>MAX(C32:C43)</f>
        <v>579</v>
      </c>
      <c r="D47" s="34">
        <f>MAX(D32:D43)</f>
        <v>532</v>
      </c>
      <c r="E47" s="34">
        <f>MAX(E32:E43)</f>
        <v>546</v>
      </c>
      <c r="F47" s="34">
        <f>MAX(F32:F43)</f>
        <v>543</v>
      </c>
      <c r="G47" s="44">
        <f>MAX(G32:G43)</f>
        <v>1915</v>
      </c>
      <c r="I47" s="34">
        <f>MAX(I32:I43)</f>
        <v>579</v>
      </c>
      <c r="J47" s="45"/>
    </row>
    <row r="48" spans="1:10" ht="15" thickBot="1" x14ac:dyDescent="0.45">
      <c r="A48" s="63" t="s">
        <v>75</v>
      </c>
      <c r="B48" s="64"/>
      <c r="C48" s="46">
        <f>AVERAGE(C32:C43)</f>
        <v>370.75</v>
      </c>
      <c r="D48" s="39">
        <f>AVERAGE(D32:D43)</f>
        <v>332.16666666666669</v>
      </c>
      <c r="E48" s="39">
        <f>AVERAGE(E32:E43)</f>
        <v>337.66666666666669</v>
      </c>
      <c r="F48" s="39">
        <f>AVERAGE(F32:F43)</f>
        <v>298.16666666666669</v>
      </c>
      <c r="G48" s="46">
        <f>AVERAGE(G32:G43)</f>
        <v>1338.75</v>
      </c>
      <c r="H48" s="47"/>
      <c r="I48" s="47"/>
      <c r="J48" s="40">
        <f>AVERAGE(J32:J43)</f>
        <v>334.6875</v>
      </c>
    </row>
  </sheetData>
  <mergeCells count="1">
    <mergeCell ref="C30:F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59049-2D2C-4592-8B58-55C1AD8F0B87}">
  <sheetPr codeName="Sheet3"/>
  <dimension ref="A1:I46"/>
  <sheetViews>
    <sheetView workbookViewId="0">
      <selection activeCell="P16" sqref="P16"/>
    </sheetView>
  </sheetViews>
  <sheetFormatPr defaultRowHeight="14.6" x14ac:dyDescent="0.4"/>
  <cols>
    <col min="1" max="1" width="15" customWidth="1"/>
    <col min="2" max="2" width="17.3828125" customWidth="1"/>
    <col min="3" max="3" width="5.3046875" customWidth="1"/>
    <col min="4" max="5" width="6" customWidth="1"/>
    <col min="6" max="6" width="5.3828125" customWidth="1"/>
    <col min="7" max="7" width="12.53515625" customWidth="1"/>
    <col min="8" max="8" width="20.84375" customWidth="1"/>
    <col min="9" max="9" width="22.53515625" customWidth="1"/>
  </cols>
  <sheetData>
    <row r="1" spans="1:8" x14ac:dyDescent="0.4">
      <c r="A1" s="14" t="s">
        <v>133</v>
      </c>
      <c r="B1" s="14"/>
      <c r="C1" s="274" t="s">
        <v>134</v>
      </c>
      <c r="D1" s="275"/>
      <c r="E1" s="275"/>
      <c r="F1" s="276" t="s">
        <v>42</v>
      </c>
      <c r="G1" s="15" t="s">
        <v>135</v>
      </c>
      <c r="H1" s="16"/>
    </row>
    <row r="2" spans="1:8" ht="15" thickBot="1" x14ac:dyDescent="0.45">
      <c r="A2" s="18" t="s">
        <v>136</v>
      </c>
      <c r="B2" s="19" t="s">
        <v>137</v>
      </c>
      <c r="C2" s="20" t="s">
        <v>138</v>
      </c>
      <c r="D2" s="21" t="s">
        <v>139</v>
      </c>
      <c r="E2" s="21" t="s">
        <v>140</v>
      </c>
      <c r="F2" s="22" t="s">
        <v>52</v>
      </c>
      <c r="G2" s="23" t="s">
        <v>141</v>
      </c>
      <c r="H2" s="24" t="s">
        <v>142</v>
      </c>
    </row>
    <row r="3" spans="1:8" x14ac:dyDescent="0.4">
      <c r="A3" s="98" t="s">
        <v>143</v>
      </c>
      <c r="B3" s="99" t="s">
        <v>100</v>
      </c>
      <c r="C3" s="139">
        <v>2</v>
      </c>
      <c r="D3" s="140">
        <v>1</v>
      </c>
      <c r="E3" s="140"/>
      <c r="F3" s="139">
        <f t="shared" ref="F3:F14" si="0">SUM(C3:E3)</f>
        <v>3</v>
      </c>
      <c r="G3" s="141">
        <f>C3*3+D3*2+E3*1</f>
        <v>8</v>
      </c>
      <c r="H3" s="142" t="s">
        <v>144</v>
      </c>
    </row>
    <row r="4" spans="1:8" x14ac:dyDescent="0.4">
      <c r="A4" s="43" t="s">
        <v>145</v>
      </c>
      <c r="B4" s="103" t="s">
        <v>102</v>
      </c>
      <c r="C4" s="143">
        <v>2</v>
      </c>
      <c r="D4" s="144">
        <v>1</v>
      </c>
      <c r="E4" s="144">
        <v>1</v>
      </c>
      <c r="F4" s="143">
        <f t="shared" si="0"/>
        <v>4</v>
      </c>
      <c r="G4" s="45">
        <f t="shared" ref="G4:G13" si="1">C4*3+D4*2+E4*1</f>
        <v>9</v>
      </c>
      <c r="H4" s="145">
        <v>3</v>
      </c>
    </row>
    <row r="5" spans="1:8" x14ac:dyDescent="0.4">
      <c r="A5" s="43" t="s">
        <v>146</v>
      </c>
      <c r="B5" s="103" t="s">
        <v>104</v>
      </c>
      <c r="C5" s="143"/>
      <c r="D5" s="144">
        <v>1</v>
      </c>
      <c r="E5" s="144">
        <v>1</v>
      </c>
      <c r="F5" s="143">
        <f t="shared" si="0"/>
        <v>2</v>
      </c>
      <c r="G5" s="45">
        <f t="shared" si="1"/>
        <v>3</v>
      </c>
      <c r="H5" s="146"/>
    </row>
    <row r="6" spans="1:8" x14ac:dyDescent="0.4">
      <c r="A6" s="43" t="s">
        <v>146</v>
      </c>
      <c r="B6" s="103" t="s">
        <v>106</v>
      </c>
      <c r="C6" s="143">
        <v>2</v>
      </c>
      <c r="D6" s="144"/>
      <c r="E6" s="144">
        <v>1</v>
      </c>
      <c r="F6" s="143">
        <f t="shared" si="0"/>
        <v>3</v>
      </c>
      <c r="G6" s="45">
        <f t="shared" si="1"/>
        <v>7</v>
      </c>
      <c r="H6" s="145">
        <v>1</v>
      </c>
    </row>
    <row r="7" spans="1:8" x14ac:dyDescent="0.4">
      <c r="A7" s="43" t="s">
        <v>143</v>
      </c>
      <c r="B7" s="103" t="s">
        <v>107</v>
      </c>
      <c r="C7" s="143">
        <v>2</v>
      </c>
      <c r="D7" s="144">
        <v>1</v>
      </c>
      <c r="E7" s="144">
        <v>2</v>
      </c>
      <c r="F7" s="143">
        <f t="shared" si="0"/>
        <v>5</v>
      </c>
      <c r="G7" s="45">
        <f t="shared" si="1"/>
        <v>10</v>
      </c>
      <c r="H7" s="145"/>
    </row>
    <row r="8" spans="1:8" x14ac:dyDescent="0.4">
      <c r="A8" s="43" t="s">
        <v>145</v>
      </c>
      <c r="B8" s="103" t="s">
        <v>108</v>
      </c>
      <c r="C8" s="143">
        <v>1</v>
      </c>
      <c r="D8" s="144">
        <v>2</v>
      </c>
      <c r="E8" s="144">
        <v>2</v>
      </c>
      <c r="F8" s="143">
        <f t="shared" si="0"/>
        <v>5</v>
      </c>
      <c r="G8" s="45">
        <f t="shared" si="1"/>
        <v>9</v>
      </c>
      <c r="H8" s="145">
        <v>8</v>
      </c>
    </row>
    <row r="9" spans="1:8" x14ac:dyDescent="0.4">
      <c r="A9" s="43" t="s">
        <v>143</v>
      </c>
      <c r="B9" s="103" t="s">
        <v>109</v>
      </c>
      <c r="C9" s="143"/>
      <c r="D9" s="144">
        <v>2</v>
      </c>
      <c r="E9" s="144">
        <v>1</v>
      </c>
      <c r="F9" s="143">
        <f t="shared" si="0"/>
        <v>3</v>
      </c>
      <c r="G9" s="45">
        <f t="shared" si="1"/>
        <v>5</v>
      </c>
      <c r="H9" s="145"/>
    </row>
    <row r="10" spans="1:8" x14ac:dyDescent="0.4">
      <c r="A10" s="43" t="s">
        <v>145</v>
      </c>
      <c r="B10" s="103" t="s">
        <v>110</v>
      </c>
      <c r="C10" s="143">
        <v>1</v>
      </c>
      <c r="D10" s="144">
        <v>2</v>
      </c>
      <c r="E10" s="144"/>
      <c r="F10" s="143">
        <f t="shared" si="0"/>
        <v>3</v>
      </c>
      <c r="G10" s="45">
        <f t="shared" si="1"/>
        <v>7</v>
      </c>
      <c r="H10" s="145" t="s">
        <v>111</v>
      </c>
    </row>
    <row r="11" spans="1:8" x14ac:dyDescent="0.4">
      <c r="A11" s="43" t="s">
        <v>147</v>
      </c>
      <c r="B11" s="103" t="s">
        <v>111</v>
      </c>
      <c r="C11" s="143">
        <v>2</v>
      </c>
      <c r="D11" s="144"/>
      <c r="E11" s="144">
        <v>1</v>
      </c>
      <c r="F11" s="143">
        <f t="shared" si="0"/>
        <v>3</v>
      </c>
      <c r="G11" s="45">
        <f t="shared" si="1"/>
        <v>7</v>
      </c>
      <c r="H11" s="146">
        <v>37499</v>
      </c>
    </row>
    <row r="12" spans="1:8" x14ac:dyDescent="0.4">
      <c r="A12" s="43" t="s">
        <v>147</v>
      </c>
      <c r="B12" s="103" t="s">
        <v>112</v>
      </c>
      <c r="C12" s="143"/>
      <c r="D12" s="144">
        <v>2</v>
      </c>
      <c r="E12" s="144">
        <v>1</v>
      </c>
      <c r="F12" s="143">
        <f t="shared" si="0"/>
        <v>3</v>
      </c>
      <c r="G12" s="45">
        <f t="shared" si="1"/>
        <v>5</v>
      </c>
      <c r="H12" s="145">
        <v>3</v>
      </c>
    </row>
    <row r="13" spans="1:8" x14ac:dyDescent="0.4">
      <c r="A13" s="43" t="s">
        <v>146</v>
      </c>
      <c r="B13" s="103" t="s">
        <v>113</v>
      </c>
      <c r="C13" s="143"/>
      <c r="D13" s="147" t="s">
        <v>148</v>
      </c>
      <c r="E13" s="144">
        <v>2</v>
      </c>
      <c r="F13" s="143">
        <f t="shared" si="0"/>
        <v>2</v>
      </c>
      <c r="G13" s="45">
        <f t="shared" si="1"/>
        <v>4</v>
      </c>
      <c r="H13" s="145"/>
    </row>
    <row r="14" spans="1:8" ht="15" thickBot="1" x14ac:dyDescent="0.45">
      <c r="A14" s="148" t="s">
        <v>145</v>
      </c>
      <c r="B14" s="149" t="s">
        <v>114</v>
      </c>
      <c r="C14" s="150"/>
      <c r="D14" s="158" t="s">
        <v>157</v>
      </c>
      <c r="E14" s="151"/>
      <c r="F14" s="150">
        <f t="shared" si="0"/>
        <v>0</v>
      </c>
      <c r="G14" s="152">
        <f>C14*3+E14*1</f>
        <v>0</v>
      </c>
      <c r="H14" s="153">
        <v>777</v>
      </c>
    </row>
    <row r="16" spans="1:8" x14ac:dyDescent="0.4">
      <c r="A16" s="8" t="s">
        <v>42</v>
      </c>
      <c r="B16" s="8" t="s">
        <v>149</v>
      </c>
      <c r="C16" s="154"/>
      <c r="D16" s="154"/>
      <c r="E16" s="154"/>
      <c r="F16" s="155"/>
      <c r="G16" s="8"/>
      <c r="H16" s="154"/>
    </row>
    <row r="17" spans="1:9" x14ac:dyDescent="0.4">
      <c r="A17" s="8" t="s">
        <v>150</v>
      </c>
      <c r="B17" s="8" t="s">
        <v>151</v>
      </c>
      <c r="C17" s="154"/>
      <c r="D17" s="154"/>
      <c r="E17" s="154"/>
      <c r="F17" s="8"/>
      <c r="G17" s="8"/>
      <c r="H17" s="154"/>
      <c r="I17" s="156"/>
    </row>
    <row r="18" spans="1:9" x14ac:dyDescent="0.4">
      <c r="A18" s="8" t="s">
        <v>152</v>
      </c>
      <c r="B18" s="8"/>
      <c r="C18" s="154"/>
      <c r="D18" s="154"/>
      <c r="E18" s="154"/>
      <c r="F18" s="154"/>
      <c r="G18" s="154"/>
      <c r="H18" s="154"/>
      <c r="I18" s="157" t="s">
        <v>153</v>
      </c>
    </row>
    <row r="19" spans="1:9" x14ac:dyDescent="0.4">
      <c r="A19" s="8" t="s">
        <v>154</v>
      </c>
      <c r="B19" s="8"/>
      <c r="C19" s="154"/>
      <c r="D19" s="154"/>
      <c r="E19" s="154"/>
      <c r="F19" s="154"/>
      <c r="G19" s="154"/>
      <c r="H19" s="154"/>
      <c r="I19" s="157" t="s">
        <v>155</v>
      </c>
    </row>
    <row r="27" spans="1:9" ht="15" thickBot="1" x14ac:dyDescent="0.45"/>
    <row r="28" spans="1:9" x14ac:dyDescent="0.4">
      <c r="A28" s="14" t="s">
        <v>133</v>
      </c>
      <c r="B28" s="14"/>
      <c r="C28" s="274" t="s">
        <v>134</v>
      </c>
      <c r="D28" s="275"/>
      <c r="E28" s="275"/>
      <c r="F28" s="276" t="s">
        <v>42</v>
      </c>
      <c r="G28" s="15" t="s">
        <v>135</v>
      </c>
      <c r="H28" s="16"/>
    </row>
    <row r="29" spans="1:9" ht="15" thickBot="1" x14ac:dyDescent="0.45">
      <c r="A29" s="18" t="s">
        <v>136</v>
      </c>
      <c r="B29" s="19" t="s">
        <v>137</v>
      </c>
      <c r="C29" s="20" t="s">
        <v>138</v>
      </c>
      <c r="D29" s="21" t="s">
        <v>139</v>
      </c>
      <c r="E29" s="21" t="s">
        <v>140</v>
      </c>
      <c r="F29" s="22" t="s">
        <v>52</v>
      </c>
      <c r="G29" s="23" t="s">
        <v>141</v>
      </c>
      <c r="H29" s="24" t="s">
        <v>142</v>
      </c>
    </row>
    <row r="30" spans="1:9" x14ac:dyDescent="0.4">
      <c r="A30" s="98" t="s">
        <v>143</v>
      </c>
      <c r="B30" s="99" t="s">
        <v>100</v>
      </c>
      <c r="C30" s="139">
        <v>2</v>
      </c>
      <c r="D30" s="140">
        <v>1</v>
      </c>
      <c r="E30" s="140"/>
      <c r="F30" s="139">
        <f t="shared" ref="F30:F41" si="2">SUM(C30:E30)</f>
        <v>3</v>
      </c>
      <c r="G30" s="141">
        <f>C30*3+D30*2+E30*1</f>
        <v>8</v>
      </c>
      <c r="H30" s="142" t="s">
        <v>144</v>
      </c>
    </row>
    <row r="31" spans="1:9" x14ac:dyDescent="0.4">
      <c r="A31" s="43" t="s">
        <v>145</v>
      </c>
      <c r="B31" s="103" t="s">
        <v>102</v>
      </c>
      <c r="C31" s="143">
        <v>2</v>
      </c>
      <c r="D31" s="144">
        <v>1</v>
      </c>
      <c r="E31" s="144">
        <v>1</v>
      </c>
      <c r="F31" s="143">
        <f t="shared" si="2"/>
        <v>4</v>
      </c>
      <c r="G31" s="45">
        <f t="shared" ref="G31:G40" si="3">C31*3+D31*2+E31*1</f>
        <v>9</v>
      </c>
      <c r="H31" s="145">
        <v>3</v>
      </c>
    </row>
    <row r="32" spans="1:9" x14ac:dyDescent="0.4">
      <c r="A32" s="43" t="s">
        <v>146</v>
      </c>
      <c r="B32" s="103" t="s">
        <v>104</v>
      </c>
      <c r="C32" s="143"/>
      <c r="D32" s="144">
        <v>1</v>
      </c>
      <c r="E32" s="144">
        <v>1</v>
      </c>
      <c r="F32" s="143">
        <f t="shared" si="2"/>
        <v>2</v>
      </c>
      <c r="G32" s="45">
        <f t="shared" si="3"/>
        <v>3</v>
      </c>
      <c r="H32" s="146"/>
    </row>
    <row r="33" spans="1:9" x14ac:dyDescent="0.4">
      <c r="A33" s="43" t="s">
        <v>146</v>
      </c>
      <c r="B33" s="103" t="s">
        <v>106</v>
      </c>
      <c r="C33" s="143">
        <v>2</v>
      </c>
      <c r="D33" s="144"/>
      <c r="E33" s="144">
        <v>1</v>
      </c>
      <c r="F33" s="143">
        <f t="shared" si="2"/>
        <v>3</v>
      </c>
      <c r="G33" s="45">
        <f t="shared" si="3"/>
        <v>7</v>
      </c>
      <c r="H33" s="145">
        <v>1</v>
      </c>
    </row>
    <row r="34" spans="1:9" x14ac:dyDescent="0.4">
      <c r="A34" s="43" t="s">
        <v>143</v>
      </c>
      <c r="B34" s="103" t="s">
        <v>107</v>
      </c>
      <c r="C34" s="143">
        <v>2</v>
      </c>
      <c r="D34" s="144">
        <v>1</v>
      </c>
      <c r="E34" s="144">
        <v>2</v>
      </c>
      <c r="F34" s="143">
        <f t="shared" si="2"/>
        <v>5</v>
      </c>
      <c r="G34" s="45">
        <f t="shared" si="3"/>
        <v>10</v>
      </c>
      <c r="H34" s="145"/>
    </row>
    <row r="35" spans="1:9" x14ac:dyDescent="0.4">
      <c r="A35" s="43" t="s">
        <v>145</v>
      </c>
      <c r="B35" s="103" t="s">
        <v>108</v>
      </c>
      <c r="C35" s="143">
        <v>1</v>
      </c>
      <c r="D35" s="144">
        <v>2</v>
      </c>
      <c r="E35" s="144">
        <v>2</v>
      </c>
      <c r="F35" s="143">
        <f t="shared" si="2"/>
        <v>5</v>
      </c>
      <c r="G35" s="45">
        <f t="shared" si="3"/>
        <v>9</v>
      </c>
      <c r="H35" s="145">
        <v>8</v>
      </c>
    </row>
    <row r="36" spans="1:9" x14ac:dyDescent="0.4">
      <c r="A36" s="43" t="s">
        <v>143</v>
      </c>
      <c r="B36" s="103" t="s">
        <v>109</v>
      </c>
      <c r="C36" s="143"/>
      <c r="D36" s="144">
        <v>2</v>
      </c>
      <c r="E36" s="144">
        <v>1</v>
      </c>
      <c r="F36" s="143">
        <f t="shared" si="2"/>
        <v>3</v>
      </c>
      <c r="G36" s="45">
        <f t="shared" si="3"/>
        <v>5</v>
      </c>
      <c r="H36" s="145"/>
    </row>
    <row r="37" spans="1:9" x14ac:dyDescent="0.4">
      <c r="A37" s="43" t="s">
        <v>145</v>
      </c>
      <c r="B37" s="103" t="s">
        <v>110</v>
      </c>
      <c r="C37" s="143">
        <v>1</v>
      </c>
      <c r="D37" s="144">
        <v>2</v>
      </c>
      <c r="E37" s="144"/>
      <c r="F37" s="143">
        <f t="shared" si="2"/>
        <v>3</v>
      </c>
      <c r="G37" s="45">
        <f t="shared" si="3"/>
        <v>7</v>
      </c>
      <c r="H37" s="145" t="s">
        <v>111</v>
      </c>
    </row>
    <row r="38" spans="1:9" x14ac:dyDescent="0.4">
      <c r="A38" s="43" t="s">
        <v>147</v>
      </c>
      <c r="B38" s="103" t="s">
        <v>111</v>
      </c>
      <c r="C38" s="143">
        <v>2</v>
      </c>
      <c r="D38" s="144"/>
      <c r="E38" s="144">
        <v>1</v>
      </c>
      <c r="F38" s="143">
        <f t="shared" si="2"/>
        <v>3</v>
      </c>
      <c r="G38" s="45">
        <f t="shared" si="3"/>
        <v>7</v>
      </c>
      <c r="H38" s="146">
        <v>37499</v>
      </c>
    </row>
    <row r="39" spans="1:9" x14ac:dyDescent="0.4">
      <c r="A39" s="43" t="s">
        <v>147</v>
      </c>
      <c r="B39" s="103" t="s">
        <v>112</v>
      </c>
      <c r="C39" s="143"/>
      <c r="D39" s="144">
        <v>2</v>
      </c>
      <c r="E39" s="144">
        <v>1</v>
      </c>
      <c r="F39" s="143">
        <f t="shared" si="2"/>
        <v>3</v>
      </c>
      <c r="G39" s="45">
        <f t="shared" si="3"/>
        <v>5</v>
      </c>
      <c r="H39" s="145">
        <v>3</v>
      </c>
    </row>
    <row r="40" spans="1:9" x14ac:dyDescent="0.4">
      <c r="A40" s="43" t="s">
        <v>146</v>
      </c>
      <c r="B40" s="103" t="s">
        <v>113</v>
      </c>
      <c r="C40" s="143"/>
      <c r="D40" s="147" t="s">
        <v>148</v>
      </c>
      <c r="E40" s="144">
        <v>2</v>
      </c>
      <c r="F40" s="143">
        <f t="shared" si="2"/>
        <v>2</v>
      </c>
      <c r="G40" s="45">
        <f t="shared" si="3"/>
        <v>4</v>
      </c>
      <c r="H40" s="145"/>
    </row>
    <row r="41" spans="1:9" ht="15" thickBot="1" x14ac:dyDescent="0.45">
      <c r="A41" s="148" t="s">
        <v>145</v>
      </c>
      <c r="B41" s="149" t="s">
        <v>114</v>
      </c>
      <c r="C41" s="150"/>
      <c r="D41" s="158" t="s">
        <v>156</v>
      </c>
      <c r="E41" s="151"/>
      <c r="F41" s="150">
        <f t="shared" si="2"/>
        <v>0</v>
      </c>
      <c r="G41" s="152">
        <v>0</v>
      </c>
      <c r="H41" s="153">
        <v>777</v>
      </c>
    </row>
    <row r="43" spans="1:9" x14ac:dyDescent="0.4">
      <c r="A43" s="8" t="s">
        <v>42</v>
      </c>
      <c r="B43" s="8" t="s">
        <v>149</v>
      </c>
      <c r="C43" s="154">
        <f>SUM(C30:C41)</f>
        <v>12</v>
      </c>
      <c r="D43" s="154">
        <f t="shared" ref="D43:E43" si="4">SUM(D30:D41)</f>
        <v>12</v>
      </c>
      <c r="E43" s="154">
        <f t="shared" si="4"/>
        <v>12</v>
      </c>
      <c r="F43" s="155"/>
      <c r="G43" s="8"/>
      <c r="H43" s="154"/>
    </row>
    <row r="44" spans="1:9" x14ac:dyDescent="0.4">
      <c r="A44" s="8" t="s">
        <v>150</v>
      </c>
      <c r="B44" s="8" t="s">
        <v>151</v>
      </c>
      <c r="C44" s="154">
        <f>COUNT(C30:C41)</f>
        <v>7</v>
      </c>
      <c r="D44" s="154">
        <f>COUNT(D30:D41)</f>
        <v>8</v>
      </c>
      <c r="E44" s="154">
        <f>COUNT(E30:E41)</f>
        <v>9</v>
      </c>
      <c r="F44" s="8">
        <f>COUNT(total_medals)</f>
        <v>12</v>
      </c>
      <c r="G44" s="8"/>
      <c r="H44" s="154">
        <f>COUNT(H30:H41)</f>
        <v>6</v>
      </c>
      <c r="I44" s="156"/>
    </row>
    <row r="45" spans="1:9" x14ac:dyDescent="0.4">
      <c r="A45" s="8" t="s">
        <v>152</v>
      </c>
      <c r="B45" s="8"/>
      <c r="C45" s="154">
        <f>COUNTA(C30:C41)</f>
        <v>7</v>
      </c>
      <c r="D45" s="154">
        <f t="shared" ref="D45:E45" si="5">COUNTA(D30:D41)</f>
        <v>10</v>
      </c>
      <c r="E45" s="154">
        <f t="shared" si="5"/>
        <v>9</v>
      </c>
      <c r="F45" s="154"/>
      <c r="G45" s="154"/>
      <c r="H45" s="154">
        <f t="shared" ref="H45" si="6">COUNTA(H30:H41)</f>
        <v>8</v>
      </c>
      <c r="I45" s="157" t="s">
        <v>153</v>
      </c>
    </row>
    <row r="46" spans="1:9" x14ac:dyDescent="0.4">
      <c r="A46" s="8" t="s">
        <v>154</v>
      </c>
      <c r="B46" s="8"/>
      <c r="C46" s="154">
        <f>COUNTBLANK(C30:C41)</f>
        <v>5</v>
      </c>
      <c r="D46" s="154">
        <f t="shared" ref="D46:E46" si="7">COUNTBLANK(D30:D41)</f>
        <v>2</v>
      </c>
      <c r="E46" s="154">
        <f t="shared" si="7"/>
        <v>3</v>
      </c>
      <c r="F46" s="154"/>
      <c r="G46" s="154"/>
      <c r="H46" s="154">
        <f t="shared" ref="H46" si="8">COUNTBLANK(H30:H41)</f>
        <v>4</v>
      </c>
      <c r="I46" s="157" t="s">
        <v>155</v>
      </c>
    </row>
  </sheetData>
  <mergeCells count="2">
    <mergeCell ref="C28:F28"/>
    <mergeCell ref="C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4B7FC-0CCD-48F8-A192-201B964D61B3}">
  <sheetPr codeName="Sheet4"/>
  <dimension ref="A1:J62"/>
  <sheetViews>
    <sheetView workbookViewId="0">
      <selection activeCell="G24" sqref="G24"/>
    </sheetView>
  </sheetViews>
  <sheetFormatPr defaultColWidth="9.15234375" defaultRowHeight="14.6" x14ac:dyDescent="0.4"/>
  <cols>
    <col min="1" max="1" width="16.3828125" customWidth="1"/>
    <col min="2" max="2" width="18.3828125" customWidth="1"/>
    <col min="3" max="4" width="17.3828125" customWidth="1"/>
    <col min="7" max="7" width="19.15234375" customWidth="1"/>
    <col min="8" max="10" width="20.3828125" customWidth="1"/>
    <col min="11" max="12" width="4" customWidth="1"/>
  </cols>
  <sheetData>
    <row r="1" spans="1:10" ht="15" thickBot="1" x14ac:dyDescent="0.45">
      <c r="A1" s="14" t="s">
        <v>41</v>
      </c>
      <c r="B1" s="14"/>
      <c r="C1" s="274">
        <v>2023</v>
      </c>
      <c r="D1" s="275"/>
      <c r="E1" s="275"/>
      <c r="F1" s="276"/>
      <c r="G1" s="15" t="s">
        <v>42</v>
      </c>
      <c r="H1" s="16" t="s">
        <v>93</v>
      </c>
      <c r="I1" s="16">
        <v>1</v>
      </c>
      <c r="J1" s="17">
        <v>1</v>
      </c>
    </row>
    <row r="2" spans="1:10" ht="15" thickBot="1" x14ac:dyDescent="0.45">
      <c r="A2" s="18" t="s">
        <v>94</v>
      </c>
      <c r="B2" s="19" t="s">
        <v>95</v>
      </c>
      <c r="C2" s="20" t="s">
        <v>48</v>
      </c>
      <c r="D2" s="21" t="s">
        <v>49</v>
      </c>
      <c r="E2" s="21" t="s">
        <v>50</v>
      </c>
      <c r="F2" s="22" t="s">
        <v>51</v>
      </c>
      <c r="G2" s="23" t="s">
        <v>52</v>
      </c>
      <c r="H2" s="24" t="s">
        <v>96</v>
      </c>
      <c r="I2" s="136" t="s">
        <v>97</v>
      </c>
      <c r="J2" s="137" t="s">
        <v>98</v>
      </c>
    </row>
    <row r="3" spans="1:10" ht="15" thickBot="1" x14ac:dyDescent="0.45">
      <c r="A3" s="98" t="s">
        <v>99</v>
      </c>
      <c r="B3" s="99" t="s">
        <v>100</v>
      </c>
      <c r="C3" s="100">
        <v>200</v>
      </c>
      <c r="D3" s="100">
        <v>250</v>
      </c>
      <c r="E3" s="100">
        <v>260</v>
      </c>
      <c r="F3" s="100">
        <v>300</v>
      </c>
      <c r="G3" s="100"/>
      <c r="H3" s="100"/>
      <c r="I3" s="130"/>
      <c r="J3" s="131"/>
    </row>
    <row r="4" spans="1:10" ht="15" thickBot="1" x14ac:dyDescent="0.45">
      <c r="A4" s="43" t="s">
        <v>101</v>
      </c>
      <c r="B4" s="103" t="s">
        <v>102</v>
      </c>
      <c r="C4" s="100">
        <v>150</v>
      </c>
      <c r="D4" s="100">
        <v>230</v>
      </c>
      <c r="E4" s="100">
        <v>190</v>
      </c>
      <c r="F4" s="100">
        <v>270</v>
      </c>
      <c r="G4" s="100"/>
      <c r="H4" s="100"/>
      <c r="I4" s="132"/>
      <c r="J4" s="133"/>
    </row>
    <row r="5" spans="1:10" ht="15" thickBot="1" x14ac:dyDescent="0.45">
      <c r="A5" s="43" t="s">
        <v>103</v>
      </c>
      <c r="B5" s="103" t="s">
        <v>104</v>
      </c>
      <c r="C5" s="100">
        <v>436</v>
      </c>
      <c r="D5" s="100">
        <v>411</v>
      </c>
      <c r="E5" s="100">
        <v>386</v>
      </c>
      <c r="F5" s="100">
        <v>263</v>
      </c>
      <c r="G5" s="100"/>
      <c r="H5" s="100"/>
      <c r="I5" s="132"/>
      <c r="J5" s="133"/>
    </row>
    <row r="6" spans="1:10" ht="15" thickBot="1" x14ac:dyDescent="0.45">
      <c r="A6" s="43" t="s">
        <v>105</v>
      </c>
      <c r="B6" s="103" t="s">
        <v>106</v>
      </c>
      <c r="C6" s="100">
        <v>489</v>
      </c>
      <c r="D6" s="100">
        <v>430</v>
      </c>
      <c r="E6" s="100">
        <v>458</v>
      </c>
      <c r="F6" s="100">
        <v>395</v>
      </c>
      <c r="G6" s="100"/>
      <c r="H6" s="100"/>
      <c r="I6" s="132"/>
      <c r="J6" s="133"/>
    </row>
    <row r="7" spans="1:10" ht="15" thickBot="1" x14ac:dyDescent="0.45">
      <c r="A7" s="43" t="s">
        <v>99</v>
      </c>
      <c r="B7" s="103" t="s">
        <v>107</v>
      </c>
      <c r="C7" s="100">
        <v>404</v>
      </c>
      <c r="D7" s="100">
        <v>487</v>
      </c>
      <c r="E7" s="100">
        <v>324</v>
      </c>
      <c r="F7" s="100">
        <v>543</v>
      </c>
      <c r="G7" s="100"/>
      <c r="H7" s="100"/>
      <c r="I7" s="132"/>
      <c r="J7" s="133"/>
    </row>
    <row r="8" spans="1:10" ht="15" thickBot="1" x14ac:dyDescent="0.45">
      <c r="A8" s="43" t="s">
        <v>101</v>
      </c>
      <c r="B8" s="103" t="s">
        <v>108</v>
      </c>
      <c r="C8" s="100">
        <v>541</v>
      </c>
      <c r="D8" s="100">
        <v>245</v>
      </c>
      <c r="E8" s="100">
        <v>165</v>
      </c>
      <c r="F8" s="100">
        <v>174</v>
      </c>
      <c r="G8" s="100"/>
      <c r="H8" s="100"/>
      <c r="I8" s="132"/>
      <c r="J8" s="133"/>
    </row>
    <row r="9" spans="1:10" ht="15" thickBot="1" x14ac:dyDescent="0.45">
      <c r="A9" s="43" t="s">
        <v>103</v>
      </c>
      <c r="B9" s="103" t="s">
        <v>109</v>
      </c>
      <c r="C9" s="100">
        <v>327</v>
      </c>
      <c r="D9" s="100">
        <v>278</v>
      </c>
      <c r="E9" s="100">
        <v>546</v>
      </c>
      <c r="F9" s="100">
        <v>173</v>
      </c>
      <c r="G9" s="100"/>
      <c r="H9" s="100"/>
      <c r="I9" s="132"/>
      <c r="J9" s="133"/>
    </row>
    <row r="10" spans="1:10" ht="15" thickBot="1" x14ac:dyDescent="0.45">
      <c r="A10" s="43" t="s">
        <v>105</v>
      </c>
      <c r="B10" s="103" t="s">
        <v>110</v>
      </c>
      <c r="C10" s="100">
        <v>579</v>
      </c>
      <c r="D10" s="100">
        <v>532</v>
      </c>
      <c r="E10" s="100">
        <v>504</v>
      </c>
      <c r="F10" s="100">
        <v>300</v>
      </c>
      <c r="G10" s="100"/>
      <c r="H10" s="100"/>
      <c r="I10" s="132"/>
      <c r="J10" s="133"/>
    </row>
    <row r="11" spans="1:10" ht="15" thickBot="1" x14ac:dyDescent="0.45">
      <c r="A11" s="43" t="s">
        <v>99</v>
      </c>
      <c r="B11" s="103" t="s">
        <v>111</v>
      </c>
      <c r="C11" s="100">
        <v>473</v>
      </c>
      <c r="D11" s="100">
        <v>130</v>
      </c>
      <c r="E11" s="100">
        <v>260</v>
      </c>
      <c r="F11" s="100">
        <v>100</v>
      </c>
      <c r="G11" s="100"/>
      <c r="H11" s="100"/>
      <c r="I11" s="132"/>
      <c r="J11" s="133"/>
    </row>
    <row r="12" spans="1:10" ht="15" thickBot="1" x14ac:dyDescent="0.45">
      <c r="A12" s="43" t="s">
        <v>101</v>
      </c>
      <c r="B12" s="103" t="s">
        <v>112</v>
      </c>
      <c r="C12" s="100">
        <v>400</v>
      </c>
      <c r="D12" s="100">
        <v>420</v>
      </c>
      <c r="E12" s="100">
        <v>500</v>
      </c>
      <c r="F12" s="100">
        <v>440</v>
      </c>
      <c r="G12" s="100"/>
      <c r="H12" s="100"/>
      <c r="I12" s="132"/>
      <c r="J12" s="133"/>
    </row>
    <row r="13" spans="1:10" ht="15" thickBot="1" x14ac:dyDescent="0.45">
      <c r="A13" s="43" t="s">
        <v>103</v>
      </c>
      <c r="B13" s="103" t="s">
        <v>113</v>
      </c>
      <c r="C13" s="100">
        <v>330</v>
      </c>
      <c r="D13" s="100">
        <v>443</v>
      </c>
      <c r="E13" s="100">
        <v>349</v>
      </c>
      <c r="F13" s="100">
        <v>530</v>
      </c>
      <c r="G13" s="100"/>
      <c r="H13" s="100"/>
      <c r="I13" s="132"/>
      <c r="J13" s="133"/>
    </row>
    <row r="14" spans="1:10" ht="15" thickBot="1" x14ac:dyDescent="0.45">
      <c r="A14" s="109" t="s">
        <v>105</v>
      </c>
      <c r="B14" s="110" t="s">
        <v>114</v>
      </c>
      <c r="C14" s="111">
        <v>120</v>
      </c>
      <c r="D14" s="111">
        <v>130</v>
      </c>
      <c r="E14" s="111">
        <v>110</v>
      </c>
      <c r="F14" s="111">
        <v>90</v>
      </c>
      <c r="G14" s="111"/>
      <c r="H14" s="111"/>
      <c r="I14" s="138"/>
      <c r="J14" s="134"/>
    </row>
    <row r="15" spans="1:10" x14ac:dyDescent="0.4">
      <c r="I15" s="135"/>
      <c r="J15" s="135"/>
    </row>
    <row r="16" spans="1:10" ht="15" thickBot="1" x14ac:dyDescent="0.45">
      <c r="A16" s="114" t="s">
        <v>115</v>
      </c>
      <c r="B16" s="42"/>
      <c r="C16" s="34"/>
      <c r="D16" s="34"/>
      <c r="E16" s="34"/>
      <c r="F16" s="34"/>
      <c r="G16" s="34"/>
    </row>
    <row r="17" spans="1:7" ht="29.15" x14ac:dyDescent="0.4">
      <c r="A17" s="115"/>
      <c r="B17" s="116" t="s">
        <v>116</v>
      </c>
      <c r="C17" s="117" t="s">
        <v>117</v>
      </c>
      <c r="D17" s="34"/>
      <c r="E17" s="34"/>
      <c r="F17" s="34"/>
      <c r="G17" s="34"/>
    </row>
    <row r="18" spans="1:7" x14ac:dyDescent="0.4">
      <c r="A18" s="118" t="s">
        <v>118</v>
      </c>
      <c r="B18" s="119">
        <v>12.34567</v>
      </c>
      <c r="C18" s="120">
        <f>ROUND(B18,1)</f>
        <v>12.3</v>
      </c>
      <c r="D18" s="34"/>
      <c r="E18" s="34"/>
      <c r="F18" s="34"/>
      <c r="G18" s="34"/>
    </row>
    <row r="19" spans="1:7" ht="15" thickBot="1" x14ac:dyDescent="0.45">
      <c r="A19" s="121" t="s">
        <v>119</v>
      </c>
      <c r="B19" s="122">
        <f>B18*1000</f>
        <v>12345.67</v>
      </c>
      <c r="C19" s="123">
        <f>C18*1000</f>
        <v>12300</v>
      </c>
      <c r="D19" s="34"/>
      <c r="E19" s="34"/>
      <c r="F19" s="34"/>
      <c r="G19" s="34"/>
    </row>
    <row r="35" spans="1:10" ht="15" thickBot="1" x14ac:dyDescent="0.45"/>
    <row r="36" spans="1:10" x14ac:dyDescent="0.4">
      <c r="A36" s="14" t="s">
        <v>41</v>
      </c>
      <c r="B36" s="14"/>
      <c r="C36" s="274">
        <v>2023</v>
      </c>
      <c r="D36" s="275"/>
      <c r="E36" s="275"/>
      <c r="F36" s="276"/>
      <c r="G36" s="15" t="s">
        <v>42</v>
      </c>
      <c r="H36" s="16" t="s">
        <v>93</v>
      </c>
      <c r="I36" s="16">
        <v>1</v>
      </c>
      <c r="J36" s="17">
        <v>1</v>
      </c>
    </row>
    <row r="37" spans="1:10" ht="15" thickBot="1" x14ac:dyDescent="0.45">
      <c r="A37" s="18" t="s">
        <v>94</v>
      </c>
      <c r="B37" s="19" t="s">
        <v>95</v>
      </c>
      <c r="C37" s="20" t="s">
        <v>48</v>
      </c>
      <c r="D37" s="21" t="s">
        <v>49</v>
      </c>
      <c r="E37" s="21" t="s">
        <v>50</v>
      </c>
      <c r="F37" s="22" t="s">
        <v>51</v>
      </c>
      <c r="G37" s="23" t="s">
        <v>52</v>
      </c>
      <c r="H37" s="24" t="s">
        <v>96</v>
      </c>
      <c r="I37" s="24" t="s">
        <v>97</v>
      </c>
      <c r="J37" s="25" t="s">
        <v>98</v>
      </c>
    </row>
    <row r="38" spans="1:10" ht="15" thickBot="1" x14ac:dyDescent="0.45">
      <c r="A38" s="98" t="s">
        <v>99</v>
      </c>
      <c r="B38" s="99" t="s">
        <v>100</v>
      </c>
      <c r="C38" s="100">
        <v>200</v>
      </c>
      <c r="D38" s="100">
        <v>250</v>
      </c>
      <c r="E38" s="100">
        <v>260</v>
      </c>
      <c r="F38" s="100">
        <v>300</v>
      </c>
      <c r="G38" s="100">
        <f>SUM(C38:F38)</f>
        <v>1010</v>
      </c>
      <c r="H38" s="100">
        <f>G38*0.035</f>
        <v>35.35</v>
      </c>
      <c r="I38" s="101">
        <f>ROUND(H38,$I$36)</f>
        <v>35.4</v>
      </c>
      <c r="J38" s="102">
        <f>ROUNDUP(H38,J$36)</f>
        <v>35.4</v>
      </c>
    </row>
    <row r="39" spans="1:10" ht="15" thickBot="1" x14ac:dyDescent="0.45">
      <c r="A39" s="43" t="s">
        <v>101</v>
      </c>
      <c r="B39" s="103" t="s">
        <v>102</v>
      </c>
      <c r="C39" s="100">
        <v>150</v>
      </c>
      <c r="D39" s="100">
        <v>230</v>
      </c>
      <c r="E39" s="100">
        <v>190</v>
      </c>
      <c r="F39" s="100">
        <v>270</v>
      </c>
      <c r="G39" s="100">
        <f t="shared" ref="G39:G49" si="0">SUM(C39:F39)</f>
        <v>840</v>
      </c>
      <c r="H39" s="100">
        <f t="shared" ref="H39:H49" si="1">G39*0.035</f>
        <v>29.400000000000002</v>
      </c>
      <c r="I39" s="104">
        <f t="shared" ref="I39:I49" si="2">ROUND(H39,$I$36)</f>
        <v>29.4</v>
      </c>
      <c r="J39" s="105">
        <f t="shared" ref="J39:J49" si="3">ROUNDUP(H39,J$36)</f>
        <v>29.4</v>
      </c>
    </row>
    <row r="40" spans="1:10" ht="15" thickBot="1" x14ac:dyDescent="0.45">
      <c r="A40" s="43" t="s">
        <v>103</v>
      </c>
      <c r="B40" s="103" t="s">
        <v>104</v>
      </c>
      <c r="C40" s="100">
        <v>436</v>
      </c>
      <c r="D40" s="100">
        <v>411</v>
      </c>
      <c r="E40" s="100">
        <v>386</v>
      </c>
      <c r="F40" s="100">
        <v>263</v>
      </c>
      <c r="G40" s="100">
        <f t="shared" si="0"/>
        <v>1496</v>
      </c>
      <c r="H40" s="100">
        <f t="shared" si="1"/>
        <v>52.360000000000007</v>
      </c>
      <c r="I40" s="104">
        <f t="shared" si="2"/>
        <v>52.4</v>
      </c>
      <c r="J40" s="105">
        <f t="shared" si="3"/>
        <v>52.4</v>
      </c>
    </row>
    <row r="41" spans="1:10" ht="15" thickBot="1" x14ac:dyDescent="0.45">
      <c r="A41" s="43" t="s">
        <v>105</v>
      </c>
      <c r="B41" s="103" t="s">
        <v>106</v>
      </c>
      <c r="C41" s="100">
        <v>489</v>
      </c>
      <c r="D41" s="100">
        <v>430</v>
      </c>
      <c r="E41" s="100">
        <v>458</v>
      </c>
      <c r="F41" s="100">
        <v>395</v>
      </c>
      <c r="G41" s="100">
        <f t="shared" si="0"/>
        <v>1772</v>
      </c>
      <c r="H41" s="100">
        <f t="shared" si="1"/>
        <v>62.02</v>
      </c>
      <c r="I41" s="104">
        <f t="shared" si="2"/>
        <v>62</v>
      </c>
      <c r="J41" s="105">
        <f t="shared" si="3"/>
        <v>62.1</v>
      </c>
    </row>
    <row r="42" spans="1:10" ht="15" thickBot="1" x14ac:dyDescent="0.45">
      <c r="A42" s="43" t="s">
        <v>99</v>
      </c>
      <c r="B42" s="103" t="s">
        <v>107</v>
      </c>
      <c r="C42" s="100">
        <v>404</v>
      </c>
      <c r="D42" s="100">
        <v>487</v>
      </c>
      <c r="E42" s="100">
        <v>324</v>
      </c>
      <c r="F42" s="100">
        <v>543</v>
      </c>
      <c r="G42" s="100">
        <f t="shared" si="0"/>
        <v>1758</v>
      </c>
      <c r="H42" s="100">
        <f t="shared" si="1"/>
        <v>61.530000000000008</v>
      </c>
      <c r="I42" s="104">
        <f t="shared" si="2"/>
        <v>61.5</v>
      </c>
      <c r="J42" s="105">
        <f t="shared" si="3"/>
        <v>61.6</v>
      </c>
    </row>
    <row r="43" spans="1:10" ht="15" thickBot="1" x14ac:dyDescent="0.45">
      <c r="A43" s="43" t="s">
        <v>101</v>
      </c>
      <c r="B43" s="103" t="s">
        <v>108</v>
      </c>
      <c r="C43" s="100">
        <v>541</v>
      </c>
      <c r="D43" s="100">
        <v>245</v>
      </c>
      <c r="E43" s="100">
        <v>165</v>
      </c>
      <c r="F43" s="100">
        <v>174</v>
      </c>
      <c r="G43" s="100">
        <f t="shared" si="0"/>
        <v>1125</v>
      </c>
      <c r="H43" s="100">
        <f t="shared" si="1"/>
        <v>39.375000000000007</v>
      </c>
      <c r="I43" s="104">
        <f t="shared" si="2"/>
        <v>39.4</v>
      </c>
      <c r="J43" s="105">
        <f t="shared" si="3"/>
        <v>39.4</v>
      </c>
    </row>
    <row r="44" spans="1:10" ht="15" thickBot="1" x14ac:dyDescent="0.45">
      <c r="A44" s="43" t="s">
        <v>103</v>
      </c>
      <c r="B44" s="103" t="s">
        <v>109</v>
      </c>
      <c r="C44" s="100">
        <v>327</v>
      </c>
      <c r="D44" s="100">
        <v>278</v>
      </c>
      <c r="E44" s="100">
        <v>546</v>
      </c>
      <c r="F44" s="100">
        <v>173</v>
      </c>
      <c r="G44" s="100">
        <f t="shared" si="0"/>
        <v>1324</v>
      </c>
      <c r="H44" s="100">
        <f t="shared" si="1"/>
        <v>46.34</v>
      </c>
      <c r="I44" s="106">
        <f t="shared" si="2"/>
        <v>46.3</v>
      </c>
      <c r="J44" s="107">
        <f t="shared" si="3"/>
        <v>46.4</v>
      </c>
    </row>
    <row r="45" spans="1:10" ht="15" thickBot="1" x14ac:dyDescent="0.45">
      <c r="A45" s="43" t="s">
        <v>105</v>
      </c>
      <c r="B45" s="103" t="s">
        <v>110</v>
      </c>
      <c r="C45" s="100">
        <v>579</v>
      </c>
      <c r="D45" s="100">
        <v>532</v>
      </c>
      <c r="E45" s="100">
        <v>504</v>
      </c>
      <c r="F45" s="100">
        <v>300</v>
      </c>
      <c r="G45" s="100">
        <f t="shared" si="0"/>
        <v>1915</v>
      </c>
      <c r="H45" s="100">
        <f t="shared" si="1"/>
        <v>67.025000000000006</v>
      </c>
      <c r="I45" s="106">
        <f t="shared" si="2"/>
        <v>67</v>
      </c>
      <c r="J45" s="108">
        <f t="shared" si="3"/>
        <v>67.099999999999994</v>
      </c>
    </row>
    <row r="46" spans="1:10" ht="15" thickBot="1" x14ac:dyDescent="0.45">
      <c r="A46" s="43" t="s">
        <v>99</v>
      </c>
      <c r="B46" s="103" t="s">
        <v>111</v>
      </c>
      <c r="C46" s="100">
        <v>473</v>
      </c>
      <c r="D46" s="100">
        <v>130</v>
      </c>
      <c r="E46" s="100">
        <v>260</v>
      </c>
      <c r="F46" s="100">
        <v>100</v>
      </c>
      <c r="G46" s="100">
        <f t="shared" si="0"/>
        <v>963</v>
      </c>
      <c r="H46" s="100">
        <f t="shared" si="1"/>
        <v>33.705000000000005</v>
      </c>
      <c r="I46" s="106">
        <f t="shared" si="2"/>
        <v>33.700000000000003</v>
      </c>
      <c r="J46" s="108">
        <f t="shared" si="3"/>
        <v>33.800000000000004</v>
      </c>
    </row>
    <row r="47" spans="1:10" ht="15" thickBot="1" x14ac:dyDescent="0.45">
      <c r="A47" s="43" t="s">
        <v>101</v>
      </c>
      <c r="B47" s="103" t="s">
        <v>112</v>
      </c>
      <c r="C47" s="100">
        <v>400</v>
      </c>
      <c r="D47" s="100">
        <v>420</v>
      </c>
      <c r="E47" s="100">
        <v>500</v>
      </c>
      <c r="F47" s="100">
        <v>440</v>
      </c>
      <c r="G47" s="100">
        <f t="shared" si="0"/>
        <v>1760</v>
      </c>
      <c r="H47" s="100">
        <f t="shared" si="1"/>
        <v>61.600000000000009</v>
      </c>
      <c r="I47" s="106">
        <f t="shared" si="2"/>
        <v>61.6</v>
      </c>
      <c r="J47" s="108">
        <f t="shared" si="3"/>
        <v>61.6</v>
      </c>
    </row>
    <row r="48" spans="1:10" ht="15" thickBot="1" x14ac:dyDescent="0.45">
      <c r="A48" s="43" t="s">
        <v>103</v>
      </c>
      <c r="B48" s="103" t="s">
        <v>113</v>
      </c>
      <c r="C48" s="100">
        <v>330</v>
      </c>
      <c r="D48" s="100">
        <v>443</v>
      </c>
      <c r="E48" s="100">
        <v>349</v>
      </c>
      <c r="F48" s="100">
        <v>530</v>
      </c>
      <c r="G48" s="100">
        <f t="shared" si="0"/>
        <v>1652</v>
      </c>
      <c r="H48" s="100">
        <f t="shared" si="1"/>
        <v>57.820000000000007</v>
      </c>
      <c r="I48" s="106">
        <f t="shared" si="2"/>
        <v>57.8</v>
      </c>
      <c r="J48" s="108">
        <f t="shared" si="3"/>
        <v>57.9</v>
      </c>
    </row>
    <row r="49" spans="1:10" ht="15" thickBot="1" x14ac:dyDescent="0.45">
      <c r="A49" s="109" t="s">
        <v>105</v>
      </c>
      <c r="B49" s="110" t="s">
        <v>114</v>
      </c>
      <c r="C49" s="111">
        <v>120</v>
      </c>
      <c r="D49" s="111">
        <v>130</v>
      </c>
      <c r="E49" s="111">
        <v>110</v>
      </c>
      <c r="F49" s="111">
        <v>90</v>
      </c>
      <c r="G49" s="111">
        <f t="shared" si="0"/>
        <v>450</v>
      </c>
      <c r="H49" s="111">
        <f t="shared" si="1"/>
        <v>15.750000000000002</v>
      </c>
      <c r="I49" s="112">
        <f t="shared" si="2"/>
        <v>15.8</v>
      </c>
      <c r="J49" s="113">
        <f t="shared" si="3"/>
        <v>15.799999999999999</v>
      </c>
    </row>
    <row r="51" spans="1:10" ht="15" thickBot="1" x14ac:dyDescent="0.45">
      <c r="A51" s="114" t="s">
        <v>115</v>
      </c>
      <c r="B51" s="42"/>
      <c r="C51" s="34"/>
      <c r="D51" s="34"/>
      <c r="E51" s="34"/>
      <c r="F51" s="34"/>
      <c r="G51" s="34"/>
    </row>
    <row r="52" spans="1:10" ht="29.15" x14ac:dyDescent="0.4">
      <c r="A52" s="115"/>
      <c r="B52" s="116" t="s">
        <v>116</v>
      </c>
      <c r="C52" s="117" t="s">
        <v>117</v>
      </c>
      <c r="D52" s="34"/>
      <c r="E52" s="34"/>
      <c r="F52" s="34"/>
      <c r="G52" s="34"/>
    </row>
    <row r="53" spans="1:10" x14ac:dyDescent="0.4">
      <c r="A53" s="118" t="s">
        <v>118</v>
      </c>
      <c r="B53" s="119">
        <v>12.34567</v>
      </c>
      <c r="C53" s="120">
        <f>ROUND(B53,1)</f>
        <v>12.3</v>
      </c>
      <c r="D53" s="34"/>
      <c r="E53" s="34"/>
      <c r="F53" s="34"/>
      <c r="G53" s="34"/>
    </row>
    <row r="54" spans="1:10" ht="15" thickBot="1" x14ac:dyDescent="0.45">
      <c r="A54" s="121" t="s">
        <v>119</v>
      </c>
      <c r="B54" s="122">
        <f>B53*1000</f>
        <v>12345.67</v>
      </c>
      <c r="C54" s="123">
        <f>C53*1000</f>
        <v>12300</v>
      </c>
      <c r="D54" s="34"/>
      <c r="E54" s="34"/>
      <c r="F54" s="34"/>
      <c r="G54" s="34"/>
    </row>
    <row r="56" spans="1:10" x14ac:dyDescent="0.4">
      <c r="B56" s="124" t="s">
        <v>120</v>
      </c>
    </row>
    <row r="57" spans="1:10" x14ac:dyDescent="0.4">
      <c r="A57" s="125" t="s">
        <v>121</v>
      </c>
      <c r="B57" s="125" t="s">
        <v>122</v>
      </c>
      <c r="C57" s="125" t="s">
        <v>123</v>
      </c>
      <c r="D57" s="125" t="s">
        <v>124</v>
      </c>
      <c r="F57" s="125" t="s">
        <v>125</v>
      </c>
      <c r="G57" s="126" t="s">
        <v>126</v>
      </c>
      <c r="H57" s="125" t="s">
        <v>127</v>
      </c>
    </row>
    <row r="58" spans="1:10" x14ac:dyDescent="0.4">
      <c r="A58" s="8"/>
      <c r="B58" s="124" t="s">
        <v>128</v>
      </c>
      <c r="C58" s="124" t="s">
        <v>129</v>
      </c>
      <c r="D58" s="124" t="s">
        <v>130</v>
      </c>
      <c r="F58" s="127"/>
      <c r="G58" s="124" t="s">
        <v>131</v>
      </c>
      <c r="H58" s="124" t="s">
        <v>132</v>
      </c>
    </row>
    <row r="59" spans="1:10" x14ac:dyDescent="0.4">
      <c r="A59" s="8">
        <v>15.67</v>
      </c>
      <c r="B59" s="8">
        <f>MROUND(A59,0.05)</f>
        <v>15.65</v>
      </c>
      <c r="C59" s="8">
        <f>MROUND(A59,0.1)</f>
        <v>15.700000000000001</v>
      </c>
      <c r="D59" s="8">
        <f>MROUND(A59,0.5)</f>
        <v>15.5</v>
      </c>
      <c r="F59" s="127">
        <v>5.2777777777777778E-2</v>
      </c>
      <c r="G59" s="128">
        <f>MROUND(F59,"0:05")</f>
        <v>5.2083333333333329E-2</v>
      </c>
      <c r="H59" s="129">
        <f>MROUND(G59,"0:10")</f>
        <v>5.5555555555555552E-2</v>
      </c>
    </row>
    <row r="60" spans="1:10" x14ac:dyDescent="0.4">
      <c r="A60" s="8">
        <v>8.14</v>
      </c>
      <c r="B60" s="8">
        <f>MROUND(A60,0.05)</f>
        <v>8.15</v>
      </c>
      <c r="C60" s="8">
        <f>MROUND(A60,0.1)</f>
        <v>8.1</v>
      </c>
      <c r="D60" s="8">
        <f>MROUND(A60,0.5)</f>
        <v>8</v>
      </c>
      <c r="F60" s="127">
        <v>1.6666666666666666E-2</v>
      </c>
      <c r="G60" s="128">
        <f t="shared" ref="G60:G62" si="4">MROUND(F60,"0:05")</f>
        <v>1.7361111111111112E-2</v>
      </c>
      <c r="H60" s="129">
        <f t="shared" ref="H60:H62" si="5">MROUND(G60,"0:10")</f>
        <v>2.0833333333333332E-2</v>
      </c>
    </row>
    <row r="61" spans="1:10" x14ac:dyDescent="0.4">
      <c r="A61" s="8">
        <v>33.700000000000003</v>
      </c>
      <c r="B61" s="8">
        <f>MROUND(A61,0.05)</f>
        <v>33.700000000000003</v>
      </c>
      <c r="C61" s="8">
        <f>MROUND(A61,0.1)</f>
        <v>33.700000000000003</v>
      </c>
      <c r="D61" s="8">
        <f>MROUND(A61,0.5)</f>
        <v>33.5</v>
      </c>
      <c r="F61" s="127">
        <v>0.5805555555555556</v>
      </c>
      <c r="G61" s="128">
        <f t="shared" si="4"/>
        <v>0.57986111111111105</v>
      </c>
      <c r="H61" s="129">
        <f t="shared" si="5"/>
        <v>0.58333333333333326</v>
      </c>
    </row>
    <row r="62" spans="1:10" x14ac:dyDescent="0.4">
      <c r="F62" s="127">
        <v>0.13125000000000001</v>
      </c>
      <c r="G62" s="128">
        <f t="shared" si="4"/>
        <v>0.13194444444444445</v>
      </c>
      <c r="H62" s="129">
        <f t="shared" si="5"/>
        <v>0.13194444444444445</v>
      </c>
    </row>
  </sheetData>
  <mergeCells count="2">
    <mergeCell ref="C36:F36"/>
    <mergeCell ref="C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9F584-00A7-42FC-9B4B-39BACFE89DB0}">
  <sheetPr codeName="Sheet5"/>
  <dimension ref="A1:Z33"/>
  <sheetViews>
    <sheetView workbookViewId="0">
      <selection activeCell="E19" sqref="E19"/>
    </sheetView>
  </sheetViews>
  <sheetFormatPr defaultColWidth="9.15234375" defaultRowHeight="14.6" x14ac:dyDescent="0.4"/>
  <cols>
    <col min="1" max="1" width="9.3046875" customWidth="1"/>
    <col min="4" max="4" width="11.3828125" customWidth="1"/>
    <col min="13" max="13" width="9.3046875" customWidth="1"/>
    <col min="16" max="16" width="11.3828125" customWidth="1"/>
  </cols>
  <sheetData>
    <row r="1" spans="1:26" x14ac:dyDescent="0.4">
      <c r="A1" s="95" t="s">
        <v>76</v>
      </c>
      <c r="B1" s="95" t="s">
        <v>77</v>
      </c>
      <c r="C1" s="95" t="s">
        <v>78</v>
      </c>
      <c r="M1" s="95" t="s">
        <v>76</v>
      </c>
      <c r="N1" s="95" t="s">
        <v>77</v>
      </c>
      <c r="O1" s="95" t="s">
        <v>78</v>
      </c>
    </row>
    <row r="2" spans="1:26" x14ac:dyDescent="0.4">
      <c r="A2" t="s">
        <v>79</v>
      </c>
      <c r="B2">
        <v>93</v>
      </c>
      <c r="M2" t="s">
        <v>79</v>
      </c>
      <c r="N2">
        <v>93</v>
      </c>
      <c r="O2" t="str">
        <f>IF(N2&gt;=60,"Pass","Fail")</f>
        <v>Pass</v>
      </c>
    </row>
    <row r="3" spans="1:26" x14ac:dyDescent="0.4">
      <c r="A3" t="s">
        <v>80</v>
      </c>
      <c r="B3">
        <v>60</v>
      </c>
      <c r="M3" t="s">
        <v>80</v>
      </c>
      <c r="N3">
        <v>60</v>
      </c>
      <c r="O3" t="str">
        <f t="shared" ref="O3:O6" si="0">IF(N3&gt;=60,"Pass","Fail")</f>
        <v>Pass</v>
      </c>
    </row>
    <row r="4" spans="1:26" x14ac:dyDescent="0.4">
      <c r="A4" t="s">
        <v>81</v>
      </c>
      <c r="B4">
        <v>58</v>
      </c>
      <c r="M4" t="s">
        <v>81</v>
      </c>
      <c r="N4">
        <v>58</v>
      </c>
      <c r="O4" t="str">
        <f t="shared" si="0"/>
        <v>Fail</v>
      </c>
    </row>
    <row r="5" spans="1:26" x14ac:dyDescent="0.4">
      <c r="A5" t="s">
        <v>82</v>
      </c>
      <c r="B5">
        <v>79</v>
      </c>
      <c r="M5" t="s">
        <v>82</v>
      </c>
      <c r="N5">
        <v>79</v>
      </c>
      <c r="O5" t="str">
        <f t="shared" si="0"/>
        <v>Pass</v>
      </c>
    </row>
    <row r="6" spans="1:26" x14ac:dyDescent="0.4">
      <c r="A6" t="s">
        <v>83</v>
      </c>
      <c r="B6">
        <v>41</v>
      </c>
      <c r="M6" t="s">
        <v>83</v>
      </c>
      <c r="N6">
        <v>41</v>
      </c>
      <c r="O6" t="str">
        <f t="shared" si="0"/>
        <v>Fail</v>
      </c>
    </row>
    <row r="10" spans="1:26" x14ac:dyDescent="0.4">
      <c r="A10" s="95" t="s">
        <v>84</v>
      </c>
      <c r="B10" s="95" t="s">
        <v>85</v>
      </c>
      <c r="C10" s="95" t="s">
        <v>86</v>
      </c>
      <c r="D10" s="95" t="s">
        <v>87</v>
      </c>
      <c r="M10" s="95" t="s">
        <v>84</v>
      </c>
      <c r="N10" s="95" t="s">
        <v>85</v>
      </c>
      <c r="O10" s="95" t="s">
        <v>86</v>
      </c>
      <c r="P10" s="95" t="s">
        <v>87</v>
      </c>
    </row>
    <row r="11" spans="1:26" x14ac:dyDescent="0.4">
      <c r="A11" s="8" t="s">
        <v>88</v>
      </c>
      <c r="B11">
        <v>93</v>
      </c>
      <c r="C11">
        <v>80</v>
      </c>
      <c r="M11" s="8" t="s">
        <v>88</v>
      </c>
      <c r="N11">
        <v>93</v>
      </c>
      <c r="O11">
        <v>80</v>
      </c>
      <c r="P11" t="b">
        <f>AND(N11&gt;=60,O11&gt;=90)</f>
        <v>0</v>
      </c>
    </row>
    <row r="12" spans="1:26" x14ac:dyDescent="0.4">
      <c r="A12" s="8" t="s">
        <v>89</v>
      </c>
      <c r="B12">
        <v>60</v>
      </c>
      <c r="C12">
        <v>91</v>
      </c>
      <c r="M12" s="8" t="s">
        <v>89</v>
      </c>
      <c r="N12">
        <v>60</v>
      </c>
      <c r="O12">
        <v>91</v>
      </c>
      <c r="P12" t="b">
        <f t="shared" ref="P12:P15" si="1">AND(N12&gt;=60,O12&gt;=90)</f>
        <v>1</v>
      </c>
      <c r="Z12" s="96"/>
    </row>
    <row r="13" spans="1:26" x14ac:dyDescent="0.4">
      <c r="A13" s="8" t="s">
        <v>90</v>
      </c>
      <c r="B13">
        <v>58</v>
      </c>
      <c r="C13">
        <v>75</v>
      </c>
      <c r="M13" s="8" t="s">
        <v>90</v>
      </c>
      <c r="N13">
        <v>58</v>
      </c>
      <c r="O13">
        <v>75</v>
      </c>
      <c r="P13" t="b">
        <f t="shared" si="1"/>
        <v>0</v>
      </c>
    </row>
    <row r="14" spans="1:26" x14ac:dyDescent="0.4">
      <c r="A14" s="8" t="s">
        <v>91</v>
      </c>
      <c r="B14">
        <v>79</v>
      </c>
      <c r="C14">
        <v>94</v>
      </c>
      <c r="M14" s="8" t="s">
        <v>91</v>
      </c>
      <c r="N14">
        <v>79</v>
      </c>
      <c r="O14">
        <v>94</v>
      </c>
      <c r="P14" t="b">
        <f t="shared" si="1"/>
        <v>1</v>
      </c>
    </row>
    <row r="15" spans="1:26" x14ac:dyDescent="0.4">
      <c r="A15" s="8" t="s">
        <v>92</v>
      </c>
      <c r="B15">
        <v>41</v>
      </c>
      <c r="C15">
        <v>33</v>
      </c>
      <c r="M15" s="8" t="s">
        <v>92</v>
      </c>
      <c r="N15">
        <v>41</v>
      </c>
      <c r="O15">
        <v>33</v>
      </c>
      <c r="P15" t="b">
        <f t="shared" si="1"/>
        <v>0</v>
      </c>
    </row>
    <row r="19" spans="1:23" x14ac:dyDescent="0.4">
      <c r="A19" s="95" t="s">
        <v>84</v>
      </c>
      <c r="B19" s="95" t="s">
        <v>85</v>
      </c>
      <c r="C19" s="95" t="s">
        <v>86</v>
      </c>
      <c r="D19" s="95" t="s">
        <v>87</v>
      </c>
      <c r="M19" s="95" t="s">
        <v>84</v>
      </c>
      <c r="N19" s="95" t="s">
        <v>85</v>
      </c>
      <c r="O19" s="95" t="s">
        <v>86</v>
      </c>
      <c r="P19" s="95" t="s">
        <v>87</v>
      </c>
    </row>
    <row r="20" spans="1:23" x14ac:dyDescent="0.4">
      <c r="A20" s="8" t="s">
        <v>88</v>
      </c>
      <c r="B20">
        <v>93</v>
      </c>
      <c r="C20">
        <v>80</v>
      </c>
      <c r="M20" s="8" t="s">
        <v>88</v>
      </c>
      <c r="N20">
        <v>93</v>
      </c>
      <c r="O20">
        <v>80</v>
      </c>
      <c r="P20" t="b">
        <f>OR(N20&gt;=60,O20&gt;=60)</f>
        <v>1</v>
      </c>
    </row>
    <row r="21" spans="1:23" x14ac:dyDescent="0.4">
      <c r="A21" s="8" t="s">
        <v>89</v>
      </c>
      <c r="B21">
        <v>60</v>
      </c>
      <c r="C21">
        <v>91</v>
      </c>
      <c r="M21" s="8" t="s">
        <v>89</v>
      </c>
      <c r="N21">
        <v>60</v>
      </c>
      <c r="O21">
        <v>91</v>
      </c>
      <c r="P21" t="b">
        <f t="shared" ref="P21:P24" si="2">OR(N21&gt;=60,O21&gt;=60)</f>
        <v>1</v>
      </c>
    </row>
    <row r="22" spans="1:23" x14ac:dyDescent="0.4">
      <c r="A22" s="8" t="s">
        <v>90</v>
      </c>
      <c r="B22">
        <v>58</v>
      </c>
      <c r="C22">
        <v>75</v>
      </c>
      <c r="M22" s="8" t="s">
        <v>90</v>
      </c>
      <c r="N22">
        <v>58</v>
      </c>
      <c r="O22">
        <v>75</v>
      </c>
      <c r="P22" t="b">
        <f t="shared" si="2"/>
        <v>1</v>
      </c>
    </row>
    <row r="23" spans="1:23" x14ac:dyDescent="0.4">
      <c r="A23" s="8" t="s">
        <v>91</v>
      </c>
      <c r="B23">
        <v>79</v>
      </c>
      <c r="C23">
        <v>94</v>
      </c>
      <c r="M23" s="8" t="s">
        <v>91</v>
      </c>
      <c r="N23">
        <v>79</v>
      </c>
      <c r="O23">
        <v>94</v>
      </c>
      <c r="P23" t="b">
        <f t="shared" si="2"/>
        <v>1</v>
      </c>
    </row>
    <row r="24" spans="1:23" x14ac:dyDescent="0.4">
      <c r="A24" s="8" t="s">
        <v>92</v>
      </c>
      <c r="B24">
        <v>41</v>
      </c>
      <c r="C24">
        <v>33</v>
      </c>
      <c r="M24" s="8" t="s">
        <v>92</v>
      </c>
      <c r="N24">
        <v>41</v>
      </c>
      <c r="O24">
        <v>33</v>
      </c>
      <c r="P24" t="b">
        <f t="shared" si="2"/>
        <v>0</v>
      </c>
      <c r="W24" s="97"/>
    </row>
    <row r="28" spans="1:23" x14ac:dyDescent="0.4">
      <c r="A28" s="95" t="s">
        <v>84</v>
      </c>
      <c r="B28" s="95" t="s">
        <v>85</v>
      </c>
      <c r="C28" s="95" t="s">
        <v>86</v>
      </c>
      <c r="D28" s="95" t="s">
        <v>87</v>
      </c>
      <c r="M28" s="95" t="s">
        <v>84</v>
      </c>
      <c r="N28" s="95" t="s">
        <v>85</v>
      </c>
      <c r="O28" s="95" t="s">
        <v>86</v>
      </c>
      <c r="P28" s="95" t="s">
        <v>87</v>
      </c>
    </row>
    <row r="29" spans="1:23" x14ac:dyDescent="0.4">
      <c r="A29" s="8" t="s">
        <v>88</v>
      </c>
      <c r="B29">
        <v>93</v>
      </c>
      <c r="C29" s="97">
        <v>80</v>
      </c>
      <c r="M29" s="8" t="s">
        <v>88</v>
      </c>
      <c r="N29">
        <v>93</v>
      </c>
      <c r="O29" s="97">
        <v>80</v>
      </c>
      <c r="P29" t="b">
        <f>NOT(OR(N29&gt;=60,O29&gt;=60))</f>
        <v>0</v>
      </c>
    </row>
    <row r="30" spans="1:23" x14ac:dyDescent="0.4">
      <c r="A30" s="8" t="s">
        <v>89</v>
      </c>
      <c r="B30">
        <v>60</v>
      </c>
      <c r="C30" s="97">
        <v>91</v>
      </c>
      <c r="M30" s="8" t="s">
        <v>89</v>
      </c>
      <c r="N30">
        <v>60</v>
      </c>
      <c r="O30" s="97">
        <v>91</v>
      </c>
      <c r="P30" t="b">
        <f t="shared" ref="P30:P33" si="3">NOT(OR(N30&gt;=60,O30&gt;=60))</f>
        <v>0</v>
      </c>
    </row>
    <row r="31" spans="1:23" x14ac:dyDescent="0.4">
      <c r="A31" s="8" t="s">
        <v>90</v>
      </c>
      <c r="B31">
        <v>58</v>
      </c>
      <c r="C31" s="97">
        <v>75</v>
      </c>
      <c r="M31" s="8" t="s">
        <v>90</v>
      </c>
      <c r="N31">
        <v>58</v>
      </c>
      <c r="O31" s="97">
        <v>75</v>
      </c>
      <c r="P31" t="b">
        <f t="shared" si="3"/>
        <v>0</v>
      </c>
    </row>
    <row r="32" spans="1:23" x14ac:dyDescent="0.4">
      <c r="A32" s="8" t="s">
        <v>91</v>
      </c>
      <c r="B32">
        <v>79</v>
      </c>
      <c r="C32" s="97">
        <v>94</v>
      </c>
      <c r="M32" s="8" t="s">
        <v>91</v>
      </c>
      <c r="N32">
        <v>79</v>
      </c>
      <c r="O32" s="97">
        <v>94</v>
      </c>
      <c r="P32" t="b">
        <f t="shared" si="3"/>
        <v>0</v>
      </c>
    </row>
    <row r="33" spans="1:16" x14ac:dyDescent="0.4">
      <c r="A33" s="8" t="s">
        <v>92</v>
      </c>
      <c r="B33">
        <v>41</v>
      </c>
      <c r="C33" s="97">
        <v>33</v>
      </c>
      <c r="M33" s="8" t="s">
        <v>92</v>
      </c>
      <c r="N33">
        <v>41</v>
      </c>
      <c r="O33" s="97">
        <v>33</v>
      </c>
      <c r="P33" t="b">
        <f t="shared" si="3"/>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F6B08-FFCF-4826-AF81-247472C6FBD7}">
  <sheetPr codeName="Sheet6"/>
  <dimension ref="A1:K65"/>
  <sheetViews>
    <sheetView topLeftCell="A6" workbookViewId="0">
      <selection activeCell="D8" sqref="D8"/>
    </sheetView>
  </sheetViews>
  <sheetFormatPr defaultRowHeight="14.6" x14ac:dyDescent="0.4"/>
  <cols>
    <col min="6" max="6" width="9.15234375" customWidth="1"/>
  </cols>
  <sheetData>
    <row r="1" spans="1:10" x14ac:dyDescent="0.4">
      <c r="A1" s="269" t="s">
        <v>133</v>
      </c>
      <c r="B1" s="269"/>
      <c r="C1" s="269" t="s">
        <v>134</v>
      </c>
      <c r="D1" s="269"/>
      <c r="E1" s="269"/>
      <c r="F1" s="269"/>
      <c r="J1" t="s">
        <v>158</v>
      </c>
    </row>
    <row r="2" spans="1:10" x14ac:dyDescent="0.4">
      <c r="A2" s="270" t="s">
        <v>136</v>
      </c>
      <c r="B2" s="270" t="s">
        <v>137</v>
      </c>
      <c r="C2" s="270" t="s">
        <v>138</v>
      </c>
      <c r="D2" s="270" t="s">
        <v>139</v>
      </c>
      <c r="E2" s="270" t="s">
        <v>140</v>
      </c>
      <c r="F2" s="270" t="s">
        <v>52</v>
      </c>
      <c r="J2" t="s">
        <v>159</v>
      </c>
    </row>
    <row r="3" spans="1:10" x14ac:dyDescent="0.4">
      <c r="A3" s="8" t="s">
        <v>143</v>
      </c>
      <c r="B3" s="8" t="s">
        <v>100</v>
      </c>
      <c r="C3" s="154">
        <v>2</v>
      </c>
      <c r="D3" s="154">
        <v>1</v>
      </c>
      <c r="E3" s="154"/>
      <c r="F3" s="154">
        <f t="shared" ref="F3:F14" si="0">SUM(C3:E3)</f>
        <v>3</v>
      </c>
    </row>
    <row r="4" spans="1:10" x14ac:dyDescent="0.4">
      <c r="A4" s="8" t="s">
        <v>145</v>
      </c>
      <c r="B4" s="8" t="s">
        <v>102</v>
      </c>
      <c r="C4" s="154">
        <v>2</v>
      </c>
      <c r="D4" s="154">
        <v>1</v>
      </c>
      <c r="E4" s="154">
        <v>1</v>
      </c>
      <c r="F4" s="154">
        <f t="shared" si="0"/>
        <v>4</v>
      </c>
    </row>
    <row r="5" spans="1:10" x14ac:dyDescent="0.4">
      <c r="A5" s="8" t="s">
        <v>146</v>
      </c>
      <c r="B5" s="8" t="s">
        <v>104</v>
      </c>
      <c r="C5" s="154"/>
      <c r="D5" s="154">
        <v>1</v>
      </c>
      <c r="E5" s="154">
        <v>1</v>
      </c>
      <c r="F5" s="154">
        <f t="shared" si="0"/>
        <v>2</v>
      </c>
    </row>
    <row r="6" spans="1:10" x14ac:dyDescent="0.4">
      <c r="A6" s="8" t="s">
        <v>146</v>
      </c>
      <c r="B6" s="8" t="s">
        <v>106</v>
      </c>
      <c r="C6" s="154">
        <v>2</v>
      </c>
      <c r="D6" s="154"/>
      <c r="E6" s="154">
        <v>1</v>
      </c>
      <c r="F6" s="154">
        <f t="shared" si="0"/>
        <v>3</v>
      </c>
    </row>
    <row r="7" spans="1:10" x14ac:dyDescent="0.4">
      <c r="A7" s="8" t="s">
        <v>143</v>
      </c>
      <c r="B7" s="8" t="s">
        <v>107</v>
      </c>
      <c r="C7" s="154">
        <v>2</v>
      </c>
      <c r="D7" s="154"/>
      <c r="E7" s="154">
        <v>2</v>
      </c>
      <c r="F7" s="154">
        <f t="shared" si="0"/>
        <v>4</v>
      </c>
    </row>
    <row r="8" spans="1:10" x14ac:dyDescent="0.4">
      <c r="A8" s="8" t="s">
        <v>145</v>
      </c>
      <c r="B8" s="8" t="s">
        <v>108</v>
      </c>
      <c r="C8" s="154">
        <v>1</v>
      </c>
      <c r="D8" s="154">
        <v>2</v>
      </c>
      <c r="E8" s="154">
        <v>2</v>
      </c>
      <c r="F8" s="154">
        <f t="shared" si="0"/>
        <v>5</v>
      </c>
    </row>
    <row r="9" spans="1:10" x14ac:dyDescent="0.4">
      <c r="A9" s="8" t="s">
        <v>143</v>
      </c>
      <c r="B9" s="8" t="s">
        <v>109</v>
      </c>
      <c r="C9" s="154"/>
      <c r="D9" s="154">
        <v>2</v>
      </c>
      <c r="E9" s="154">
        <v>1</v>
      </c>
      <c r="F9" s="154">
        <f t="shared" si="0"/>
        <v>3</v>
      </c>
    </row>
    <row r="10" spans="1:10" x14ac:dyDescent="0.4">
      <c r="A10" s="8" t="s">
        <v>145</v>
      </c>
      <c r="B10" s="8" t="s">
        <v>110</v>
      </c>
      <c r="C10" s="154">
        <v>1</v>
      </c>
      <c r="D10" s="154">
        <v>2</v>
      </c>
      <c r="E10" s="154"/>
      <c r="F10" s="154">
        <f t="shared" si="0"/>
        <v>3</v>
      </c>
    </row>
    <row r="11" spans="1:10" x14ac:dyDescent="0.4">
      <c r="A11" s="8" t="s">
        <v>147</v>
      </c>
      <c r="B11" s="8" t="s">
        <v>111</v>
      </c>
      <c r="C11" s="154">
        <v>2</v>
      </c>
      <c r="D11" s="154"/>
      <c r="E11" s="154">
        <v>1</v>
      </c>
      <c r="F11" s="154">
        <f t="shared" si="0"/>
        <v>3</v>
      </c>
    </row>
    <row r="12" spans="1:10" x14ac:dyDescent="0.4">
      <c r="A12" s="8" t="s">
        <v>147</v>
      </c>
      <c r="B12" s="8" t="s">
        <v>112</v>
      </c>
      <c r="C12" s="154"/>
      <c r="D12" s="154">
        <v>2</v>
      </c>
      <c r="E12" s="154">
        <v>1</v>
      </c>
      <c r="F12" s="154">
        <f t="shared" si="0"/>
        <v>3</v>
      </c>
    </row>
    <row r="13" spans="1:10" x14ac:dyDescent="0.4">
      <c r="A13" s="8" t="s">
        <v>146</v>
      </c>
      <c r="B13" s="8" t="s">
        <v>113</v>
      </c>
      <c r="C13" s="154"/>
      <c r="D13" s="154">
        <v>1</v>
      </c>
      <c r="E13" s="154">
        <v>2</v>
      </c>
      <c r="F13" s="154">
        <f t="shared" si="0"/>
        <v>3</v>
      </c>
    </row>
    <row r="14" spans="1:10" x14ac:dyDescent="0.4">
      <c r="A14" s="8" t="s">
        <v>145</v>
      </c>
      <c r="B14" s="8" t="s">
        <v>114</v>
      </c>
      <c r="C14" s="154"/>
      <c r="D14" s="154"/>
      <c r="E14" s="154"/>
      <c r="F14" s="154">
        <f t="shared" si="0"/>
        <v>0</v>
      </c>
    </row>
    <row r="16" spans="1:10" ht="15" thickBot="1" x14ac:dyDescent="0.45">
      <c r="A16" s="164" t="s">
        <v>160</v>
      </c>
      <c r="B16" s="164"/>
      <c r="C16" s="164"/>
      <c r="D16" s="164"/>
      <c r="E16" s="164"/>
      <c r="F16" s="164"/>
    </row>
    <row r="17" spans="1:11" x14ac:dyDescent="0.4">
      <c r="A17" s="277" t="s">
        <v>161</v>
      </c>
      <c r="B17" s="159" t="s">
        <v>143</v>
      </c>
      <c r="C17" s="140"/>
      <c r="D17" s="140"/>
      <c r="E17" s="140"/>
      <c r="F17" s="160"/>
    </row>
    <row r="18" spans="1:11" x14ac:dyDescent="0.4">
      <c r="A18" s="278"/>
      <c r="B18" t="s">
        <v>146</v>
      </c>
      <c r="C18" s="144"/>
      <c r="D18" s="144"/>
      <c r="E18" s="144"/>
      <c r="F18" s="161"/>
    </row>
    <row r="19" spans="1:11" x14ac:dyDescent="0.4">
      <c r="A19" s="278"/>
      <c r="B19" t="s">
        <v>147</v>
      </c>
      <c r="C19" s="144"/>
      <c r="D19" s="144"/>
      <c r="E19" s="144"/>
      <c r="F19" s="161"/>
    </row>
    <row r="20" spans="1:11" ht="15" thickBot="1" x14ac:dyDescent="0.45">
      <c r="A20" s="279"/>
      <c r="B20" s="47" t="s">
        <v>145</v>
      </c>
      <c r="C20" s="151"/>
      <c r="D20" s="151"/>
      <c r="E20" s="151"/>
      <c r="F20" s="162"/>
    </row>
    <row r="21" spans="1:11" x14ac:dyDescent="0.4">
      <c r="A21" s="163"/>
      <c r="C21" s="144"/>
      <c r="D21" s="144"/>
      <c r="E21" s="144"/>
      <c r="F21" s="144"/>
    </row>
    <row r="22" spans="1:11" ht="15" thickBot="1" x14ac:dyDescent="0.45">
      <c r="A22" s="280" t="s">
        <v>162</v>
      </c>
      <c r="B22" s="280"/>
      <c r="C22" s="280"/>
      <c r="D22" s="280"/>
      <c r="E22" s="280"/>
      <c r="F22" s="280"/>
      <c r="G22" s="280"/>
      <c r="H22" s="280"/>
      <c r="I22" s="280"/>
      <c r="J22" s="280"/>
      <c r="K22" s="280"/>
    </row>
    <row r="23" spans="1:11" x14ac:dyDescent="0.4">
      <c r="A23" s="277" t="s">
        <v>163</v>
      </c>
      <c r="B23" s="159" t="s">
        <v>143</v>
      </c>
      <c r="C23" s="140"/>
      <c r="D23" s="140"/>
      <c r="E23" s="140"/>
      <c r="F23" s="160">
        <f>SUMIFS(F3:F14,$A$3:$A$14,$B23,$C$3:$C$14,"&gt;0")</f>
        <v>7</v>
      </c>
    </row>
    <row r="24" spans="1:11" x14ac:dyDescent="0.4">
      <c r="A24" s="278"/>
      <c r="B24" t="s">
        <v>146</v>
      </c>
      <c r="C24" s="144"/>
      <c r="D24" s="144"/>
      <c r="E24" s="144"/>
      <c r="F24" s="161">
        <f>SUMIFS(F4:F15,$A$3:$A$14,$B24,$C$3:$C$14,"&gt;0")</f>
        <v>4</v>
      </c>
    </row>
    <row r="25" spans="1:11" x14ac:dyDescent="0.4">
      <c r="A25" s="278"/>
      <c r="B25" t="s">
        <v>147</v>
      </c>
      <c r="C25" s="144"/>
      <c r="D25" s="144"/>
      <c r="E25" s="144"/>
      <c r="F25" s="161">
        <f>SUMIFS(F5:F16,$A$3:$A$14,$B25,$C$3:$C$14,"&gt;0")</f>
        <v>3</v>
      </c>
    </row>
    <row r="26" spans="1:11" ht="15" thickBot="1" x14ac:dyDescent="0.45">
      <c r="A26" s="279"/>
      <c r="B26" s="47" t="s">
        <v>145</v>
      </c>
      <c r="C26" s="151"/>
      <c r="D26" s="151"/>
      <c r="E26" s="151"/>
      <c r="F26" s="162">
        <f>SUMIFS(F6:F17,$A$3:$A$14,$B26,$C$3:$C$14,"&gt;0")</f>
        <v>10</v>
      </c>
    </row>
    <row r="39" spans="1:10" ht="15" thickBot="1" x14ac:dyDescent="0.45"/>
    <row r="40" spans="1:10" x14ac:dyDescent="0.4">
      <c r="A40" s="14" t="s">
        <v>133</v>
      </c>
      <c r="B40" s="14"/>
      <c r="C40" s="14" t="s">
        <v>134</v>
      </c>
      <c r="D40" s="14"/>
      <c r="E40" s="14"/>
      <c r="F40" s="14"/>
      <c r="J40" t="s">
        <v>158</v>
      </c>
    </row>
    <row r="41" spans="1:10" ht="15" thickBot="1" x14ac:dyDescent="0.45">
      <c r="A41" s="18" t="s">
        <v>136</v>
      </c>
      <c r="B41" s="18" t="s">
        <v>137</v>
      </c>
      <c r="C41" s="18" t="s">
        <v>138</v>
      </c>
      <c r="D41" s="18" t="s">
        <v>139</v>
      </c>
      <c r="E41" s="18" t="s">
        <v>140</v>
      </c>
      <c r="F41" s="18" t="s">
        <v>52</v>
      </c>
      <c r="J41" t="s">
        <v>159</v>
      </c>
    </row>
    <row r="42" spans="1:10" x14ac:dyDescent="0.4">
      <c r="A42" s="98" t="s">
        <v>143</v>
      </c>
      <c r="B42" s="99" t="s">
        <v>100</v>
      </c>
      <c r="C42" s="139">
        <v>2</v>
      </c>
      <c r="D42" s="140">
        <v>1</v>
      </c>
      <c r="E42" s="140"/>
      <c r="F42" s="142">
        <f t="shared" ref="F42:F53" si="1">SUM(C42:E42)</f>
        <v>3</v>
      </c>
    </row>
    <row r="43" spans="1:10" x14ac:dyDescent="0.4">
      <c r="A43" s="43" t="s">
        <v>145</v>
      </c>
      <c r="B43" s="103" t="s">
        <v>102</v>
      </c>
      <c r="C43" s="143">
        <v>2</v>
      </c>
      <c r="D43" s="144">
        <v>1</v>
      </c>
      <c r="E43" s="144">
        <v>1</v>
      </c>
      <c r="F43" s="145">
        <f t="shared" si="1"/>
        <v>4</v>
      </c>
    </row>
    <row r="44" spans="1:10" x14ac:dyDescent="0.4">
      <c r="A44" s="43" t="s">
        <v>146</v>
      </c>
      <c r="B44" s="103" t="s">
        <v>104</v>
      </c>
      <c r="C44" s="143"/>
      <c r="D44" s="144">
        <v>1</v>
      </c>
      <c r="E44" s="144">
        <v>1</v>
      </c>
      <c r="F44" s="145">
        <f t="shared" si="1"/>
        <v>2</v>
      </c>
    </row>
    <row r="45" spans="1:10" x14ac:dyDescent="0.4">
      <c r="A45" s="43" t="s">
        <v>146</v>
      </c>
      <c r="B45" s="103" t="s">
        <v>106</v>
      </c>
      <c r="C45" s="143">
        <v>2</v>
      </c>
      <c r="D45" s="144"/>
      <c r="E45" s="144">
        <v>1</v>
      </c>
      <c r="F45" s="145">
        <f t="shared" si="1"/>
        <v>3</v>
      </c>
    </row>
    <row r="46" spans="1:10" x14ac:dyDescent="0.4">
      <c r="A46" s="43" t="s">
        <v>143</v>
      </c>
      <c r="B46" s="103" t="s">
        <v>107</v>
      </c>
      <c r="C46" s="143">
        <v>2</v>
      </c>
      <c r="D46" s="144"/>
      <c r="E46" s="144">
        <v>2</v>
      </c>
      <c r="F46" s="145">
        <f t="shared" si="1"/>
        <v>4</v>
      </c>
    </row>
    <row r="47" spans="1:10" x14ac:dyDescent="0.4">
      <c r="A47" s="43" t="s">
        <v>145</v>
      </c>
      <c r="B47" s="103" t="s">
        <v>108</v>
      </c>
      <c r="C47" s="143">
        <v>1</v>
      </c>
      <c r="D47" s="144">
        <v>2</v>
      </c>
      <c r="E47" s="144">
        <v>2</v>
      </c>
      <c r="F47" s="145">
        <f t="shared" si="1"/>
        <v>5</v>
      </c>
    </row>
    <row r="48" spans="1:10" x14ac:dyDescent="0.4">
      <c r="A48" s="43" t="s">
        <v>143</v>
      </c>
      <c r="B48" s="103" t="s">
        <v>109</v>
      </c>
      <c r="C48" s="143"/>
      <c r="D48" s="144">
        <v>2</v>
      </c>
      <c r="E48" s="144">
        <v>1</v>
      </c>
      <c r="F48" s="145">
        <f t="shared" si="1"/>
        <v>3</v>
      </c>
    </row>
    <row r="49" spans="1:6" x14ac:dyDescent="0.4">
      <c r="A49" s="43" t="s">
        <v>145</v>
      </c>
      <c r="B49" s="103" t="s">
        <v>110</v>
      </c>
      <c r="C49" s="143">
        <v>1</v>
      </c>
      <c r="D49" s="144">
        <v>2</v>
      </c>
      <c r="E49" s="144"/>
      <c r="F49" s="145">
        <f t="shared" si="1"/>
        <v>3</v>
      </c>
    </row>
    <row r="50" spans="1:6" x14ac:dyDescent="0.4">
      <c r="A50" s="43" t="s">
        <v>147</v>
      </c>
      <c r="B50" s="103" t="s">
        <v>111</v>
      </c>
      <c r="C50" s="143">
        <v>2</v>
      </c>
      <c r="D50" s="144"/>
      <c r="E50" s="144">
        <v>1</v>
      </c>
      <c r="F50" s="145">
        <f t="shared" si="1"/>
        <v>3</v>
      </c>
    </row>
    <row r="51" spans="1:6" x14ac:dyDescent="0.4">
      <c r="A51" s="43" t="s">
        <v>147</v>
      </c>
      <c r="B51" s="103" t="s">
        <v>112</v>
      </c>
      <c r="C51" s="143"/>
      <c r="D51" s="144">
        <v>2</v>
      </c>
      <c r="E51" s="144">
        <v>1</v>
      </c>
      <c r="F51" s="145">
        <f t="shared" si="1"/>
        <v>3</v>
      </c>
    </row>
    <row r="52" spans="1:6" x14ac:dyDescent="0.4">
      <c r="A52" s="43" t="s">
        <v>146</v>
      </c>
      <c r="B52" s="103" t="s">
        <v>113</v>
      </c>
      <c r="C52" s="143"/>
      <c r="D52" s="144">
        <v>1</v>
      </c>
      <c r="E52" s="144">
        <v>2</v>
      </c>
      <c r="F52" s="145">
        <f t="shared" si="1"/>
        <v>3</v>
      </c>
    </row>
    <row r="53" spans="1:6" ht="15" thickBot="1" x14ac:dyDescent="0.45">
      <c r="A53" s="148" t="s">
        <v>145</v>
      </c>
      <c r="B53" s="149" t="s">
        <v>114</v>
      </c>
      <c r="C53" s="150"/>
      <c r="D53" s="151"/>
      <c r="E53" s="151"/>
      <c r="F53" s="153">
        <f t="shared" si="1"/>
        <v>0</v>
      </c>
    </row>
    <row r="55" spans="1:6" ht="15" thickBot="1" x14ac:dyDescent="0.45">
      <c r="A55" s="281" t="s">
        <v>160</v>
      </c>
      <c r="B55" s="281"/>
      <c r="C55" s="281"/>
      <c r="D55" s="281"/>
      <c r="E55" s="281"/>
      <c r="F55" s="281"/>
    </row>
    <row r="56" spans="1:6" x14ac:dyDescent="0.4">
      <c r="A56" s="277" t="s">
        <v>161</v>
      </c>
      <c r="B56" s="159" t="s">
        <v>143</v>
      </c>
      <c r="C56" s="140">
        <f>SUMIF($A$3:$A$14,$B56,C$3:C$14)</f>
        <v>4</v>
      </c>
      <c r="D56" s="140">
        <f t="shared" ref="D56:F59" si="2">SUMIF($A$3:$A$14,$B56,D$3:D$14)</f>
        <v>3</v>
      </c>
      <c r="E56" s="140">
        <f t="shared" si="2"/>
        <v>3</v>
      </c>
      <c r="F56" s="160">
        <f>SUM(C56:E56)</f>
        <v>10</v>
      </c>
    </row>
    <row r="57" spans="1:6" x14ac:dyDescent="0.4">
      <c r="A57" s="278"/>
      <c r="B57" t="s">
        <v>146</v>
      </c>
      <c r="C57" s="144">
        <f t="shared" ref="C57:C59" si="3">SUMIF($A$3:$A$14,$B57,C$3:C$14)</f>
        <v>2</v>
      </c>
      <c r="D57" s="144">
        <f t="shared" si="2"/>
        <v>2</v>
      </c>
      <c r="E57" s="144">
        <f t="shared" si="2"/>
        <v>4</v>
      </c>
      <c r="F57" s="161">
        <f t="shared" ref="F57:F58" si="4">SUM(C57:E57)</f>
        <v>8</v>
      </c>
    </row>
    <row r="58" spans="1:6" x14ac:dyDescent="0.4">
      <c r="A58" s="278"/>
      <c r="B58" t="s">
        <v>147</v>
      </c>
      <c r="C58" s="144">
        <f t="shared" si="3"/>
        <v>2</v>
      </c>
      <c r="D58" s="144">
        <f t="shared" si="2"/>
        <v>2</v>
      </c>
      <c r="E58" s="144">
        <f t="shared" si="2"/>
        <v>2</v>
      </c>
      <c r="F58" s="161">
        <f t="shared" si="4"/>
        <v>6</v>
      </c>
    </row>
    <row r="59" spans="1:6" ht="15" thickBot="1" x14ac:dyDescent="0.45">
      <c r="A59" s="279"/>
      <c r="B59" s="47" t="s">
        <v>145</v>
      </c>
      <c r="C59" s="151">
        <f t="shared" si="3"/>
        <v>4</v>
      </c>
      <c r="D59" s="151">
        <f t="shared" si="2"/>
        <v>5</v>
      </c>
      <c r="E59" s="151">
        <f t="shared" si="2"/>
        <v>3</v>
      </c>
      <c r="F59" s="162">
        <f t="shared" si="2"/>
        <v>12</v>
      </c>
    </row>
    <row r="60" spans="1:6" x14ac:dyDescent="0.4">
      <c r="A60" s="163"/>
      <c r="C60" s="144"/>
      <c r="D60" s="144"/>
      <c r="E60" s="144"/>
      <c r="F60" s="144"/>
    </row>
    <row r="61" spans="1:6" ht="15" thickBot="1" x14ac:dyDescent="0.45">
      <c r="A61" s="280" t="s">
        <v>162</v>
      </c>
      <c r="B61" s="280"/>
      <c r="C61" s="280"/>
      <c r="D61" s="280"/>
      <c r="E61" s="280"/>
      <c r="F61" s="280"/>
    </row>
    <row r="62" spans="1:6" x14ac:dyDescent="0.4">
      <c r="A62" s="277" t="s">
        <v>163</v>
      </c>
      <c r="B62" s="159" t="s">
        <v>143</v>
      </c>
      <c r="C62" s="140"/>
      <c r="D62" s="140"/>
      <c r="E62" s="140"/>
      <c r="F62" s="160">
        <f>SUMIFS(F42:F53,$A$3:$A$14,$B62,$C$3:$C$14,"&gt;0")</f>
        <v>7</v>
      </c>
    </row>
    <row r="63" spans="1:6" x14ac:dyDescent="0.4">
      <c r="A63" s="278"/>
      <c r="B63" t="s">
        <v>146</v>
      </c>
      <c r="C63" s="144"/>
      <c r="D63" s="144"/>
      <c r="E63" s="144"/>
      <c r="F63" s="161">
        <f>SUMIFS(F43:F54,$A$3:$A$14,$B63,$C$3:$C$14,"&gt;0")</f>
        <v>4</v>
      </c>
    </row>
    <row r="64" spans="1:6" x14ac:dyDescent="0.4">
      <c r="A64" s="278"/>
      <c r="B64" t="s">
        <v>147</v>
      </c>
      <c r="C64" s="144"/>
      <c r="D64" s="144"/>
      <c r="E64" s="144"/>
      <c r="F64" s="161">
        <f>SUMIFS(F44:F55,$A$3:$A$14,$B64,$C$3:$C$14,"&gt;0")</f>
        <v>3</v>
      </c>
    </row>
    <row r="65" spans="1:6" ht="15" thickBot="1" x14ac:dyDescent="0.45">
      <c r="A65" s="279"/>
      <c r="B65" s="47" t="s">
        <v>145</v>
      </c>
      <c r="C65" s="151"/>
      <c r="D65" s="151"/>
      <c r="E65" s="151"/>
      <c r="F65" s="162">
        <f>SUMIFS(F45:F56,$A$3:$A$14,$B65,$C$3:$C$14,"&gt;0")</f>
        <v>10</v>
      </c>
    </row>
  </sheetData>
  <mergeCells count="7">
    <mergeCell ref="A62:A65"/>
    <mergeCell ref="A22:K22"/>
    <mergeCell ref="A17:A20"/>
    <mergeCell ref="A23:A26"/>
    <mergeCell ref="A55:F55"/>
    <mergeCell ref="A56:A59"/>
    <mergeCell ref="A61:F6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D43F-EBD7-4977-B835-3FB0106E9797}">
  <sheetPr codeName="Sheet7"/>
  <dimension ref="A1:D29"/>
  <sheetViews>
    <sheetView workbookViewId="0">
      <selection activeCell="I26" sqref="I26"/>
    </sheetView>
  </sheetViews>
  <sheetFormatPr defaultRowHeight="14.6" x14ac:dyDescent="0.4"/>
  <cols>
    <col min="1" max="1" width="17" customWidth="1"/>
    <col min="2" max="2" width="10.3828125" customWidth="1"/>
    <col min="3" max="3" width="13.15234375" customWidth="1"/>
    <col min="4" max="4" width="10.3828125" customWidth="1"/>
  </cols>
  <sheetData>
    <row r="1" spans="1:4" x14ac:dyDescent="0.4">
      <c r="A1" s="178" t="s">
        <v>164</v>
      </c>
      <c r="B1" s="178"/>
      <c r="C1" s="178"/>
      <c r="D1" s="178"/>
    </row>
    <row r="3" spans="1:4" x14ac:dyDescent="0.4">
      <c r="A3" s="171" t="s">
        <v>165</v>
      </c>
      <c r="B3" s="171" t="s">
        <v>166</v>
      </c>
      <c r="C3" s="171" t="s">
        <v>167</v>
      </c>
      <c r="D3" s="171" t="s">
        <v>168</v>
      </c>
    </row>
    <row r="4" spans="1:4" x14ac:dyDescent="0.4">
      <c r="A4" s="166"/>
      <c r="B4" s="166"/>
      <c r="C4" s="166"/>
      <c r="D4" s="166"/>
    </row>
    <row r="5" spans="1:4" x14ac:dyDescent="0.4">
      <c r="A5" s="172" t="s">
        <v>169</v>
      </c>
      <c r="B5" s="174">
        <v>200</v>
      </c>
      <c r="C5" s="175">
        <v>8</v>
      </c>
      <c r="D5" s="174">
        <f t="shared" ref="D5:D10" si="0">B5/C5</f>
        <v>25</v>
      </c>
    </row>
    <row r="6" spans="1:4" x14ac:dyDescent="0.4">
      <c r="A6" s="172" t="s">
        <v>170</v>
      </c>
      <c r="B6" s="174">
        <v>150</v>
      </c>
      <c r="C6" s="175">
        <v>12</v>
      </c>
      <c r="D6" s="174">
        <f t="shared" si="0"/>
        <v>12.5</v>
      </c>
    </row>
    <row r="7" spans="1:4" x14ac:dyDescent="0.4">
      <c r="A7" s="172" t="s">
        <v>171</v>
      </c>
      <c r="B7" s="174">
        <v>300</v>
      </c>
      <c r="C7" s="175">
        <v>12</v>
      </c>
      <c r="D7" s="174">
        <f t="shared" si="0"/>
        <v>25</v>
      </c>
    </row>
    <row r="8" spans="1:4" x14ac:dyDescent="0.4">
      <c r="A8" s="172" t="s">
        <v>172</v>
      </c>
      <c r="B8" s="174">
        <v>250</v>
      </c>
      <c r="C8" s="175">
        <v>12</v>
      </c>
      <c r="D8" s="174">
        <f t="shared" si="0"/>
        <v>20.833333333333332</v>
      </c>
    </row>
    <row r="9" spans="1:4" x14ac:dyDescent="0.4">
      <c r="A9" s="172" t="s">
        <v>173</v>
      </c>
      <c r="B9" s="174">
        <v>500</v>
      </c>
      <c r="C9" s="175">
        <v>12</v>
      </c>
      <c r="D9" s="174">
        <f t="shared" si="0"/>
        <v>41.666666666666664</v>
      </c>
    </row>
    <row r="10" spans="1:4" x14ac:dyDescent="0.4">
      <c r="A10" s="172" t="s">
        <v>174</v>
      </c>
      <c r="B10" s="174">
        <v>15000</v>
      </c>
      <c r="C10" s="175">
        <v>36</v>
      </c>
      <c r="D10" s="174">
        <f t="shared" si="0"/>
        <v>416.66666666666669</v>
      </c>
    </row>
    <row r="11" spans="1:4" x14ac:dyDescent="0.4">
      <c r="A11" s="173"/>
      <c r="B11" s="174"/>
      <c r="C11" s="175"/>
      <c r="D11" s="174"/>
    </row>
    <row r="12" spans="1:4" x14ac:dyDescent="0.4">
      <c r="A12" s="172" t="s">
        <v>175</v>
      </c>
      <c r="B12" s="176">
        <f>SUM(B5:B10)</f>
        <v>16400</v>
      </c>
      <c r="C12" s="177">
        <f>SUM(C5:C10)</f>
        <v>92</v>
      </c>
      <c r="D12" s="176">
        <f>SUM(D5:D10)</f>
        <v>541.66666666666674</v>
      </c>
    </row>
    <row r="13" spans="1:4" x14ac:dyDescent="0.4">
      <c r="D13" s="168"/>
    </row>
    <row r="18" spans="1:4" x14ac:dyDescent="0.4">
      <c r="A18" s="282" t="s">
        <v>164</v>
      </c>
      <c r="B18" s="282"/>
      <c r="C18" s="282"/>
      <c r="D18" s="282"/>
    </row>
    <row r="20" spans="1:4" x14ac:dyDescent="0.4">
      <c r="A20" s="165" t="s">
        <v>165</v>
      </c>
      <c r="B20" s="165" t="s">
        <v>166</v>
      </c>
      <c r="C20" s="165" t="s">
        <v>167</v>
      </c>
      <c r="D20" s="165" t="s">
        <v>168</v>
      </c>
    </row>
    <row r="21" spans="1:4" x14ac:dyDescent="0.4">
      <c r="A21" s="166"/>
      <c r="B21" s="166"/>
      <c r="C21" s="166"/>
      <c r="D21" s="166"/>
    </row>
    <row r="22" spans="1:4" x14ac:dyDescent="0.4">
      <c r="A22" s="167" t="s">
        <v>169</v>
      </c>
      <c r="B22" s="168">
        <v>200</v>
      </c>
      <c r="C22">
        <v>8</v>
      </c>
      <c r="D22" s="168">
        <f t="shared" ref="D22:D27" si="1">B22/C22</f>
        <v>25</v>
      </c>
    </row>
    <row r="23" spans="1:4" x14ac:dyDescent="0.4">
      <c r="A23" s="167" t="s">
        <v>170</v>
      </c>
      <c r="B23" s="168">
        <v>150</v>
      </c>
      <c r="C23">
        <v>12</v>
      </c>
      <c r="D23" s="168">
        <f t="shared" si="1"/>
        <v>12.5</v>
      </c>
    </row>
    <row r="24" spans="1:4" x14ac:dyDescent="0.4">
      <c r="A24" s="167" t="s">
        <v>171</v>
      </c>
      <c r="B24" s="168">
        <v>300</v>
      </c>
      <c r="C24">
        <v>12</v>
      </c>
      <c r="D24" s="168">
        <f t="shared" si="1"/>
        <v>25</v>
      </c>
    </row>
    <row r="25" spans="1:4" x14ac:dyDescent="0.4">
      <c r="A25" s="167" t="s">
        <v>172</v>
      </c>
      <c r="B25" s="168">
        <v>250</v>
      </c>
      <c r="C25">
        <v>12</v>
      </c>
      <c r="D25" s="168">
        <f t="shared" si="1"/>
        <v>20.833333333333332</v>
      </c>
    </row>
    <row r="26" spans="1:4" x14ac:dyDescent="0.4">
      <c r="A26" s="167" t="s">
        <v>173</v>
      </c>
      <c r="B26" s="168">
        <v>500</v>
      </c>
      <c r="C26">
        <v>12</v>
      </c>
      <c r="D26" s="168">
        <f t="shared" si="1"/>
        <v>41.666666666666664</v>
      </c>
    </row>
    <row r="27" spans="1:4" x14ac:dyDescent="0.4">
      <c r="A27" s="167" t="s">
        <v>174</v>
      </c>
      <c r="B27" s="168">
        <v>15000</v>
      </c>
      <c r="C27">
        <v>36</v>
      </c>
      <c r="D27" s="168">
        <f t="shared" si="1"/>
        <v>416.66666666666669</v>
      </c>
    </row>
    <row r="28" spans="1:4" x14ac:dyDescent="0.4">
      <c r="B28" s="168"/>
      <c r="D28" s="168"/>
    </row>
    <row r="29" spans="1:4" x14ac:dyDescent="0.4">
      <c r="A29" s="167" t="s">
        <v>175</v>
      </c>
      <c r="B29" s="169">
        <f>SUM(B22:B27)</f>
        <v>16400</v>
      </c>
      <c r="C29" s="170">
        <f>SUM(C22:C27)</f>
        <v>92</v>
      </c>
      <c r="D29" s="169">
        <f>SUM(D22:D27)</f>
        <v>541.66666666666674</v>
      </c>
    </row>
  </sheetData>
  <mergeCells count="1">
    <mergeCell ref="A18:D1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F3DC3-82C6-4C86-AE68-211F24861E31}">
  <sheetPr codeName="Sheet8"/>
  <dimension ref="A2:R19"/>
  <sheetViews>
    <sheetView workbookViewId="0">
      <selection activeCell="G30" sqref="G30"/>
    </sheetView>
  </sheetViews>
  <sheetFormatPr defaultRowHeight="14.6" x14ac:dyDescent="0.4"/>
  <cols>
    <col min="1" max="1" width="16.69140625" customWidth="1"/>
    <col min="2" max="2" width="14.84375" style="179" customWidth="1"/>
    <col min="3" max="3" width="3.15234375" customWidth="1"/>
    <col min="4" max="4" width="9.15234375" style="180"/>
    <col min="6" max="6" width="9.15234375" customWidth="1"/>
    <col min="7" max="15" width="8.84375" customWidth="1"/>
    <col min="16" max="16" width="14" style="181" hidden="1" customWidth="1"/>
    <col min="17" max="17" width="3.3046875" customWidth="1"/>
    <col min="18" max="18" width="8.84375" customWidth="1"/>
  </cols>
  <sheetData>
    <row r="2" spans="1:18" x14ac:dyDescent="0.4">
      <c r="F2" s="283" t="s">
        <v>176</v>
      </c>
      <c r="G2" s="284"/>
      <c r="H2" s="284"/>
      <c r="I2" s="284"/>
      <c r="J2" s="284"/>
      <c r="K2" s="284"/>
      <c r="L2" s="284"/>
      <c r="M2" s="284"/>
      <c r="N2" s="284"/>
      <c r="O2" s="285"/>
    </row>
    <row r="3" spans="1:18" x14ac:dyDescent="0.4">
      <c r="D3" s="192" t="s">
        <v>177</v>
      </c>
      <c r="E3" s="191">
        <f>D7+D13</f>
        <v>4768</v>
      </c>
      <c r="F3" s="182">
        <v>2024</v>
      </c>
      <c r="G3" s="182">
        <f>F3+1</f>
        <v>2025</v>
      </c>
      <c r="H3" s="182">
        <f t="shared" ref="H3:O3" si="0">G3+1</f>
        <v>2026</v>
      </c>
      <c r="I3" s="182">
        <f t="shared" si="0"/>
        <v>2027</v>
      </c>
      <c r="J3" s="182">
        <f t="shared" si="0"/>
        <v>2028</v>
      </c>
      <c r="K3" s="182">
        <f t="shared" si="0"/>
        <v>2029</v>
      </c>
      <c r="L3" s="182">
        <f t="shared" si="0"/>
        <v>2030</v>
      </c>
      <c r="M3" s="182">
        <f>L3+1</f>
        <v>2031</v>
      </c>
      <c r="N3" s="182">
        <f t="shared" si="0"/>
        <v>2032</v>
      </c>
      <c r="O3" s="182">
        <f t="shared" si="0"/>
        <v>2033</v>
      </c>
      <c r="P3" s="181" t="s">
        <v>178</v>
      </c>
      <c r="R3" s="183" t="s">
        <v>52</v>
      </c>
    </row>
    <row r="5" spans="1:18" collapsed="1" x14ac:dyDescent="0.4">
      <c r="A5" s="184" t="s">
        <v>179</v>
      </c>
    </row>
    <row r="6" spans="1:18" ht="10.5" customHeight="1" x14ac:dyDescent="0.4"/>
    <row r="7" spans="1:18" x14ac:dyDescent="0.4">
      <c r="A7" s="185" t="s">
        <v>180</v>
      </c>
      <c r="D7" s="190">
        <f>R8+R9</f>
        <v>9768</v>
      </c>
    </row>
    <row r="8" spans="1:18" x14ac:dyDescent="0.4">
      <c r="B8" s="179" t="s">
        <v>181</v>
      </c>
      <c r="D8" s="189">
        <f>R8</f>
        <v>3018</v>
      </c>
      <c r="F8" s="186">
        <v>800</v>
      </c>
      <c r="G8" s="186">
        <f>F8*0.75</f>
        <v>600</v>
      </c>
      <c r="H8" s="186">
        <f t="shared" ref="H8" si="1">G8*0.75</f>
        <v>450</v>
      </c>
      <c r="I8" s="186">
        <v>337</v>
      </c>
      <c r="J8" s="186">
        <v>253</v>
      </c>
      <c r="K8" s="186">
        <v>190</v>
      </c>
      <c r="L8" s="186">
        <v>142</v>
      </c>
      <c r="M8" s="186">
        <v>106</v>
      </c>
      <c r="N8" s="186">
        <v>80</v>
      </c>
      <c r="O8" s="186">
        <v>60</v>
      </c>
      <c r="P8" s="181" t="s">
        <v>182</v>
      </c>
      <c r="R8" s="187">
        <f>SUM(RevTouring)</f>
        <v>3018</v>
      </c>
    </row>
    <row r="9" spans="1:18" x14ac:dyDescent="0.4">
      <c r="B9" s="179" t="s">
        <v>183</v>
      </c>
      <c r="D9" s="189">
        <f>R9</f>
        <v>6750</v>
      </c>
      <c r="F9" s="186">
        <v>900</v>
      </c>
      <c r="G9" s="186">
        <v>850</v>
      </c>
      <c r="H9" s="186">
        <v>800</v>
      </c>
      <c r="I9" s="186">
        <v>750</v>
      </c>
      <c r="J9" s="186">
        <v>700</v>
      </c>
      <c r="K9" s="186">
        <v>650</v>
      </c>
      <c r="L9" s="186">
        <v>600</v>
      </c>
      <c r="M9" s="186">
        <v>550</v>
      </c>
      <c r="N9" s="186">
        <v>500</v>
      </c>
      <c r="O9" s="186">
        <v>450</v>
      </c>
      <c r="P9" s="181" t="s">
        <v>184</v>
      </c>
      <c r="R9" s="187">
        <f>SUM(RevDownloads)</f>
        <v>6750</v>
      </c>
    </row>
    <row r="11" spans="1:18" collapsed="1" x14ac:dyDescent="0.4">
      <c r="A11" s="184" t="s">
        <v>185</v>
      </c>
    </row>
    <row r="13" spans="1:18" x14ac:dyDescent="0.4">
      <c r="A13" s="185" t="s">
        <v>186</v>
      </c>
      <c r="D13" s="190">
        <f>R14+R15</f>
        <v>-5000</v>
      </c>
    </row>
    <row r="14" spans="1:18" x14ac:dyDescent="0.4">
      <c r="B14" s="179" t="s">
        <v>187</v>
      </c>
      <c r="D14" s="189"/>
      <c r="F14" s="186">
        <v>-300</v>
      </c>
      <c r="G14" s="186">
        <v>-300</v>
      </c>
      <c r="H14" s="186">
        <v>-300</v>
      </c>
      <c r="I14" s="186">
        <v>-300</v>
      </c>
      <c r="J14" s="186">
        <v>-300</v>
      </c>
      <c r="K14" s="186">
        <v>-300</v>
      </c>
      <c r="L14" s="186">
        <v>-300</v>
      </c>
      <c r="M14" s="186">
        <v>-300</v>
      </c>
      <c r="N14" s="186">
        <v>-300</v>
      </c>
      <c r="O14" s="186">
        <v>-300</v>
      </c>
      <c r="P14" s="181" t="s">
        <v>188</v>
      </c>
      <c r="R14" s="187">
        <f>SUM(CstLivingDaily)</f>
        <v>-3000</v>
      </c>
    </row>
    <row r="15" spans="1:18" x14ac:dyDescent="0.4">
      <c r="B15" s="179" t="s">
        <v>189</v>
      </c>
      <c r="D15" s="189"/>
      <c r="F15" s="186">
        <v>-200</v>
      </c>
      <c r="G15" s="186">
        <v>-200</v>
      </c>
      <c r="H15" s="186">
        <v>-200</v>
      </c>
      <c r="I15" s="186">
        <v>-200</v>
      </c>
      <c r="J15" s="186">
        <v>-200</v>
      </c>
      <c r="K15" s="186">
        <v>-200</v>
      </c>
      <c r="L15" s="186">
        <v>-200</v>
      </c>
      <c r="M15" s="186">
        <v>-200</v>
      </c>
      <c r="N15" s="186">
        <v>-200</v>
      </c>
      <c r="O15" s="186">
        <v>-200</v>
      </c>
      <c r="P15" s="181" t="s">
        <v>190</v>
      </c>
      <c r="R15" s="187">
        <f>SUM(CstLivingLoose)</f>
        <v>-2000</v>
      </c>
    </row>
    <row r="17" spans="1:16" x14ac:dyDescent="0.4">
      <c r="A17" s="185" t="s">
        <v>191</v>
      </c>
      <c r="D17" s="189">
        <f>D18</f>
        <v>-2000</v>
      </c>
    </row>
    <row r="18" spans="1:16" x14ac:dyDescent="0.4">
      <c r="B18" s="179" t="s">
        <v>192</v>
      </c>
      <c r="D18" s="189">
        <f>E18</f>
        <v>-2000</v>
      </c>
      <c r="E18" s="186">
        <v>-2000</v>
      </c>
      <c r="F18" s="181" t="s">
        <v>193</v>
      </c>
    </row>
    <row r="19" spans="1:16" x14ac:dyDescent="0.4">
      <c r="B19" s="179" t="s">
        <v>194</v>
      </c>
      <c r="D19" s="180" t="s">
        <v>195</v>
      </c>
      <c r="F19" s="188">
        <v>0.04</v>
      </c>
      <c r="G19" s="188">
        <v>4.4999999999999998E-2</v>
      </c>
      <c r="H19" s="188">
        <v>0.05</v>
      </c>
      <c r="I19" s="188">
        <v>5.5E-2</v>
      </c>
      <c r="J19" s="188">
        <v>0.06</v>
      </c>
      <c r="K19" s="188">
        <v>6.5000000000000002E-2</v>
      </c>
      <c r="L19" s="188">
        <v>7.0000000000000007E-2</v>
      </c>
      <c r="M19" s="188">
        <v>7.4999999999999997E-2</v>
      </c>
      <c r="N19" s="188">
        <v>0.08</v>
      </c>
      <c r="O19" s="188">
        <v>8.5000000000000006E-2</v>
      </c>
      <c r="P19" s="181" t="s">
        <v>196</v>
      </c>
    </row>
  </sheetData>
  <mergeCells count="1">
    <mergeCell ref="F2:O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80EB1-87B6-46EA-B91F-71F3DD18C692}">
  <sheetPr codeName="Sheet9"/>
  <dimension ref="A2:R19"/>
  <sheetViews>
    <sheetView workbookViewId="0">
      <selection activeCell="H12" sqref="H12"/>
    </sheetView>
  </sheetViews>
  <sheetFormatPr defaultRowHeight="14.6" outlineLevelRow="2" outlineLevelCol="1" x14ac:dyDescent="0.4"/>
  <cols>
    <col min="1" max="1" width="16.69140625" customWidth="1"/>
    <col min="2" max="2" width="14.84375" style="179" customWidth="1"/>
    <col min="3" max="3" width="3.15234375" customWidth="1"/>
    <col min="4" max="4" width="9.15234375" style="180"/>
    <col min="6" max="6" width="9.15234375" customWidth="1" outlineLevel="1"/>
    <col min="7" max="15" width="8.84375" customWidth="1" outlineLevel="1"/>
    <col min="16" max="16" width="14" style="181" hidden="1" customWidth="1"/>
    <col min="17" max="17" width="3.3046875" customWidth="1"/>
    <col min="18" max="18" width="8.84375" customWidth="1"/>
  </cols>
  <sheetData>
    <row r="2" spans="1:18" x14ac:dyDescent="0.4">
      <c r="F2" s="283" t="s">
        <v>176</v>
      </c>
      <c r="G2" s="284"/>
      <c r="H2" s="284"/>
      <c r="I2" s="284"/>
      <c r="J2" s="284"/>
      <c r="K2" s="284"/>
      <c r="L2" s="284"/>
      <c r="M2" s="284"/>
      <c r="N2" s="284"/>
      <c r="O2" s="285"/>
    </row>
    <row r="3" spans="1:18" x14ac:dyDescent="0.4">
      <c r="D3" s="192" t="s">
        <v>177</v>
      </c>
      <c r="E3" s="191">
        <f>D7+D13</f>
        <v>4768</v>
      </c>
      <c r="F3" s="182">
        <v>2024</v>
      </c>
      <c r="G3" s="182">
        <f>F3+1</f>
        <v>2025</v>
      </c>
      <c r="H3" s="182">
        <f t="shared" ref="H3:O3" si="0">G3+1</f>
        <v>2026</v>
      </c>
      <c r="I3" s="182">
        <f t="shared" si="0"/>
        <v>2027</v>
      </c>
      <c r="J3" s="182">
        <f t="shared" si="0"/>
        <v>2028</v>
      </c>
      <c r="K3" s="182">
        <f t="shared" si="0"/>
        <v>2029</v>
      </c>
      <c r="L3" s="182">
        <f t="shared" si="0"/>
        <v>2030</v>
      </c>
      <c r="M3" s="182">
        <f>L3+1</f>
        <v>2031</v>
      </c>
      <c r="N3" s="182">
        <f t="shared" si="0"/>
        <v>2032</v>
      </c>
      <c r="O3" s="182">
        <f t="shared" si="0"/>
        <v>2033</v>
      </c>
      <c r="P3" s="181" t="s">
        <v>178</v>
      </c>
      <c r="R3" s="183" t="s">
        <v>52</v>
      </c>
    </row>
    <row r="5" spans="1:18" collapsed="1" x14ac:dyDescent="0.4">
      <c r="A5" s="184" t="s">
        <v>179</v>
      </c>
    </row>
    <row r="6" spans="1:18" ht="10.5" customHeight="1" outlineLevel="1" x14ac:dyDescent="0.4"/>
    <row r="7" spans="1:18" outlineLevel="1" x14ac:dyDescent="0.4">
      <c r="A7" s="185" t="s">
        <v>180</v>
      </c>
      <c r="D7" s="190">
        <f>R8+R9</f>
        <v>9768</v>
      </c>
    </row>
    <row r="8" spans="1:18" hidden="1" outlineLevel="2" x14ac:dyDescent="0.4">
      <c r="B8" s="179" t="s">
        <v>181</v>
      </c>
      <c r="D8" s="189">
        <f>R8</f>
        <v>3018</v>
      </c>
      <c r="F8" s="186">
        <v>800</v>
      </c>
      <c r="G8" s="186">
        <f>F8*0.75</f>
        <v>600</v>
      </c>
      <c r="H8" s="186">
        <f t="shared" ref="H8" si="1">G8*0.75</f>
        <v>450</v>
      </c>
      <c r="I8" s="186">
        <v>337</v>
      </c>
      <c r="J8" s="186">
        <v>253</v>
      </c>
      <c r="K8" s="186">
        <v>190</v>
      </c>
      <c r="L8" s="186">
        <v>142</v>
      </c>
      <c r="M8" s="186">
        <v>106</v>
      </c>
      <c r="N8" s="186">
        <v>80</v>
      </c>
      <c r="O8" s="186">
        <v>60</v>
      </c>
      <c r="P8" s="181" t="s">
        <v>182</v>
      </c>
      <c r="R8" s="187">
        <f>SUM(RevTouring)</f>
        <v>3018</v>
      </c>
    </row>
    <row r="9" spans="1:18" hidden="1" outlineLevel="2" x14ac:dyDescent="0.4">
      <c r="B9" s="179" t="s">
        <v>183</v>
      </c>
      <c r="D9" s="189">
        <f>R9</f>
        <v>6750</v>
      </c>
      <c r="F9" s="186">
        <v>900</v>
      </c>
      <c r="G9" s="186">
        <v>850</v>
      </c>
      <c r="H9" s="186">
        <v>800</v>
      </c>
      <c r="I9" s="186">
        <v>750</v>
      </c>
      <c r="J9" s="186">
        <v>700</v>
      </c>
      <c r="K9" s="186">
        <v>650</v>
      </c>
      <c r="L9" s="186">
        <v>600</v>
      </c>
      <c r="M9" s="186">
        <v>550</v>
      </c>
      <c r="N9" s="186">
        <v>500</v>
      </c>
      <c r="O9" s="186">
        <v>450</v>
      </c>
      <c r="P9" s="181" t="s">
        <v>184</v>
      </c>
      <c r="R9" s="187">
        <f>SUM(RevDownloads)</f>
        <v>6750</v>
      </c>
    </row>
    <row r="11" spans="1:18" collapsed="1" x14ac:dyDescent="0.4">
      <c r="A11" s="184" t="s">
        <v>185</v>
      </c>
    </row>
    <row r="12" spans="1:18" outlineLevel="1" x14ac:dyDescent="0.4"/>
    <row r="13" spans="1:18" outlineLevel="1" x14ac:dyDescent="0.4">
      <c r="A13" s="185" t="s">
        <v>186</v>
      </c>
      <c r="D13" s="190">
        <f>R14+R15</f>
        <v>-5000</v>
      </c>
    </row>
    <row r="14" spans="1:18" hidden="1" outlineLevel="2" x14ac:dyDescent="0.4">
      <c r="B14" s="179" t="s">
        <v>187</v>
      </c>
      <c r="D14" s="189"/>
      <c r="F14" s="186">
        <v>-300</v>
      </c>
      <c r="G14" s="186">
        <v>-300</v>
      </c>
      <c r="H14" s="186">
        <v>-300</v>
      </c>
      <c r="I14" s="186">
        <v>-300</v>
      </c>
      <c r="J14" s="186">
        <v>-300</v>
      </c>
      <c r="K14" s="186">
        <v>-300</v>
      </c>
      <c r="L14" s="186">
        <v>-300</v>
      </c>
      <c r="M14" s="186">
        <v>-300</v>
      </c>
      <c r="N14" s="186">
        <v>-300</v>
      </c>
      <c r="O14" s="186">
        <v>-300</v>
      </c>
      <c r="P14" s="181" t="s">
        <v>188</v>
      </c>
      <c r="R14" s="187">
        <f>SUM(CstLivingDaily)</f>
        <v>-3000</v>
      </c>
    </row>
    <row r="15" spans="1:18" hidden="1" outlineLevel="2" x14ac:dyDescent="0.4">
      <c r="B15" s="179" t="s">
        <v>189</v>
      </c>
      <c r="D15" s="189"/>
      <c r="F15" s="186">
        <v>-200</v>
      </c>
      <c r="G15" s="186">
        <v>-200</v>
      </c>
      <c r="H15" s="186">
        <v>-200</v>
      </c>
      <c r="I15" s="186">
        <v>-200</v>
      </c>
      <c r="J15" s="186">
        <v>-200</v>
      </c>
      <c r="K15" s="186">
        <v>-200</v>
      </c>
      <c r="L15" s="186">
        <v>-200</v>
      </c>
      <c r="M15" s="186">
        <v>-200</v>
      </c>
      <c r="N15" s="186">
        <v>-200</v>
      </c>
      <c r="O15" s="186">
        <v>-200</v>
      </c>
      <c r="P15" s="181" t="s">
        <v>190</v>
      </c>
      <c r="R15" s="187">
        <f>SUM(CstLivingLoose)</f>
        <v>-2000</v>
      </c>
    </row>
    <row r="16" spans="1:18" outlineLevel="1" collapsed="1" x14ac:dyDescent="0.4"/>
    <row r="17" spans="1:16" outlineLevel="1" x14ac:dyDescent="0.4">
      <c r="A17" s="185" t="s">
        <v>191</v>
      </c>
    </row>
    <row r="18" spans="1:16" hidden="1" outlineLevel="2" x14ac:dyDescent="0.4">
      <c r="B18" s="179" t="s">
        <v>192</v>
      </c>
      <c r="D18" s="189">
        <f>E18</f>
        <v>-2000</v>
      </c>
      <c r="E18" s="186">
        <v>-2000</v>
      </c>
      <c r="F18" s="181" t="s">
        <v>193</v>
      </c>
    </row>
    <row r="19" spans="1:16" hidden="1" outlineLevel="2" x14ac:dyDescent="0.4">
      <c r="B19" s="179" t="s">
        <v>194</v>
      </c>
      <c r="D19" s="180" t="s">
        <v>195</v>
      </c>
      <c r="F19" s="188">
        <v>0.04</v>
      </c>
      <c r="G19" s="188">
        <v>4.4999999999999998E-2</v>
      </c>
      <c r="H19" s="188">
        <v>0.05</v>
      </c>
      <c r="I19" s="188">
        <v>5.5E-2</v>
      </c>
      <c r="J19" s="188">
        <v>0.06</v>
      </c>
      <c r="K19" s="188">
        <v>6.5000000000000002E-2</v>
      </c>
      <c r="L19" s="188">
        <v>7.0000000000000007E-2</v>
      </c>
      <c r="M19" s="188">
        <v>7.4999999999999997E-2</v>
      </c>
      <c r="N19" s="188">
        <v>0.08</v>
      </c>
      <c r="O19" s="188">
        <v>8.5000000000000006E-2</v>
      </c>
      <c r="P19" s="181" t="s">
        <v>196</v>
      </c>
    </row>
  </sheetData>
  <mergeCells count="1">
    <mergeCell ref="F2:O2"/>
  </mergeCells>
  <pageMargins left="0.7" right="0.7" top="0.75" bottom="0.75" header="0.3" footer="0.3"/>
</worksheet>
</file>

<file path=docMetadata/LabelInfo.xml><?xml version="1.0" encoding="utf-8"?>
<clbl:labelList xmlns:clbl="http://schemas.microsoft.com/office/2020/mipLabelMetadata">
  <clbl:label id="{82bcfee7-4486-4309-a860-04936daa697d}" enabled="0" method="" siteId="{82bcfee7-4486-4309-a860-04936daa697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7</vt:i4>
      </vt:variant>
    </vt:vector>
  </HeadingPairs>
  <TitlesOfParts>
    <vt:vector size="22" baseType="lpstr">
      <vt:lpstr>Έναρξη και περιβάλλον εφαρμογής</vt:lpstr>
      <vt:lpstr>SUM MIN MAX</vt:lpstr>
      <vt:lpstr>COUNT</vt:lpstr>
      <vt:lpstr>ROUND</vt:lpstr>
      <vt:lpstr>IF</vt:lpstr>
      <vt:lpstr>SUM IF</vt:lpstr>
      <vt:lpstr>FORMATTING</vt:lpstr>
      <vt:lpstr>formatting groups</vt:lpstr>
      <vt:lpstr>formating group solution</vt:lpstr>
      <vt:lpstr>οδηγίες</vt:lpstr>
      <vt:lpstr>Cont format after </vt:lpstr>
      <vt:lpstr>cont format before</vt:lpstr>
      <vt:lpstr>Πίνακες</vt:lpstr>
      <vt:lpstr>subtotal</vt:lpstr>
      <vt:lpstr>ΓΡΑΦΗΜΑΤΑ</vt:lpstr>
      <vt:lpstr>CstLivingDaily</vt:lpstr>
      <vt:lpstr>CstLivingLoose</vt:lpstr>
      <vt:lpstr>North_Alice_Qx</vt:lpstr>
      <vt:lpstr>RevDownloads</vt:lpstr>
      <vt:lpstr>RevTouring</vt:lpstr>
      <vt:lpstr>South_Tom_Qx</vt:lpstr>
      <vt:lpstr>total_medals</vt:lpstr>
    </vt:vector>
  </TitlesOfParts>
  <Company>COSMOTE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Katsani Kyriaki</dc:creator>
  <cp:lastModifiedBy>Katsani Kyriaki</cp:lastModifiedBy>
  <dcterms:created xsi:type="dcterms:W3CDTF">2024-09-16T11:17:35Z</dcterms:created>
  <dcterms:modified xsi:type="dcterms:W3CDTF">2024-09-18T07:04:22Z</dcterms:modified>
</cp:coreProperties>
</file>