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24226"/>
  <mc:AlternateContent xmlns:mc="http://schemas.openxmlformats.org/markup-compatibility/2006">
    <mc:Choice Requires="x15">
      <x15ac:absPath xmlns:x15ac="http://schemas.microsoft.com/office/spreadsheetml/2010/11/ac" url="C:\Users\Tavleen Kaur\Downloads\"/>
    </mc:Choice>
  </mc:AlternateContent>
  <xr:revisionPtr revIDLastSave="0" documentId="8_{999EB07C-87FB-46D1-B191-C81E5BA2CC14}" xr6:coauthVersionLast="47" xr6:coauthVersionMax="47" xr10:uidLastSave="{00000000-0000-0000-0000-000000000000}"/>
  <bookViews>
    <workbookView xWindow="-110" yWindow="-110" windowWidth="19420" windowHeight="10300" activeTab="3" xr2:uid="{00000000-000D-0000-FFFF-FFFF00000000}"/>
  </bookViews>
  <sheets>
    <sheet name="Assumptions" sheetId="1" r:id="rId1"/>
    <sheet name="Acc-Dil" sheetId="9" r:id="rId2"/>
    <sheet name="Contrib" sheetId="10" r:id="rId3"/>
    <sheet name="PPR" sheetId="5" r:id="rId4"/>
    <sheet name="S&amp;U" sheetId="7" r:id="rId5"/>
    <sheet name="GAAP" sheetId="6" r:id="rId6"/>
    <sheet name="PF BS" sheetId="4" r:id="rId7"/>
    <sheet name="PF P&amp;L" sheetId="8" r:id="rId8"/>
    <sheet name="Buyer P&amp;L" sheetId="2" r:id="rId9"/>
    <sheet name="Target P&amp;L" sheetId="3" r:id="rId10"/>
    <sheet name="DCF" sheetId="11" r:id="rId11"/>
  </sheets>
  <externalReferences>
    <externalReference r:id="rId12"/>
  </externalReferences>
  <definedNames>
    <definedName name="acq">Assumptions!$H$8</definedName>
    <definedName name="acq_fye">Assumptions!$H$32</definedName>
    <definedName name="acq_price">Assumptions!$J$11</definedName>
    <definedName name="assume">Assumptions!$T$11</definedName>
    <definedName name="case">Assumptions!$T$7</definedName>
    <definedName name="cash_rate">Assumptions!$T$20</definedName>
    <definedName name="debt_rate">Assumptions!$T$16</definedName>
    <definedName name="eps">Assumptions!$T$41</definedName>
    <definedName name="fees">Assumptions!$T$24</definedName>
    <definedName name="libor">[1]LBO!$AF$34</definedName>
    <definedName name="min_cash">Assumptions!$T$21</definedName>
    <definedName name="pct_cash">Assumptions!$T$8</definedName>
    <definedName name="sec_338">Assumptions!$T$13</definedName>
    <definedName name="synergies">Assumptions!$T$28</definedName>
    <definedName name="tax_rate">Assumptions!$T$39</definedName>
    <definedName name="tgt">Assumptions!$L$8</definedName>
    <definedName name="tgt_price">Assumptions!$N$11</definedName>
    <definedName name="trying_to_name_a_cell">Assumptions!$Q$46</definedName>
    <definedName name="type">Assumptions!$T$12</definedName>
    <definedName name="year">Assumptions!$T$40</definedName>
  </definedNames>
  <calcPr calcId="191029" calcMode="autoNoTabl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72" i="11" l="1"/>
  <c r="I72" i="11"/>
  <c r="F72" i="11"/>
  <c r="J65" i="11"/>
  <c r="I65" i="11"/>
  <c r="F65" i="11"/>
  <c r="E65" i="11"/>
  <c r="O52" i="8"/>
  <c r="F81" i="8"/>
  <c r="F83" i="8"/>
  <c r="F76" i="8"/>
  <c r="F77" i="8" s="1"/>
  <c r="U53" i="2"/>
  <c r="S53" i="2"/>
  <c r="G35" i="7"/>
  <c r="I35" i="7"/>
  <c r="K35" i="7"/>
  <c r="M35" i="7"/>
  <c r="O35" i="7"/>
  <c r="Q35" i="7"/>
  <c r="S35" i="7"/>
  <c r="G53" i="7"/>
  <c r="I53" i="7"/>
  <c r="K53" i="7"/>
  <c r="M53" i="7"/>
  <c r="O53" i="7"/>
  <c r="Q53" i="7"/>
  <c r="S53" i="7"/>
  <c r="F51" i="7"/>
  <c r="F44" i="7"/>
  <c r="H44" i="7" s="1"/>
  <c r="F43" i="7"/>
  <c r="H43" i="7" s="1"/>
  <c r="J43" i="7" s="1"/>
  <c r="L43" i="7" s="1"/>
  <c r="N43" i="7" s="1"/>
  <c r="P43" i="7" s="1"/>
  <c r="R43" i="7" s="1"/>
  <c r="T43" i="7" s="1"/>
  <c r="F42" i="7"/>
  <c r="H42" i="7" s="1"/>
  <c r="J42" i="7" s="1"/>
  <c r="L42" i="7" s="1"/>
  <c r="N42" i="7" s="1"/>
  <c r="P42" i="7" s="1"/>
  <c r="R42" i="7" s="1"/>
  <c r="T42" i="7" s="1"/>
  <c r="J24" i="7"/>
  <c r="J50" i="7" s="1"/>
  <c r="H24" i="7"/>
  <c r="H50" i="7" s="1"/>
  <c r="F24" i="7"/>
  <c r="F50" i="7" s="1"/>
  <c r="F19" i="7"/>
  <c r="F18" i="7"/>
  <c r="H18" i="7" s="1"/>
  <c r="F15" i="7"/>
  <c r="H15" i="7" s="1"/>
  <c r="J15" i="7" s="1"/>
  <c r="L15" i="7" s="1"/>
  <c r="N15" i="7" s="1"/>
  <c r="P15" i="7" s="1"/>
  <c r="R15" i="7" s="1"/>
  <c r="T15" i="7" s="1"/>
  <c r="P33" i="4"/>
  <c r="I48" i="4"/>
  <c r="J48" i="4"/>
  <c r="H48" i="4"/>
  <c r="D39" i="1"/>
  <c r="J52" i="11"/>
  <c r="H52" i="11"/>
  <c r="F52" i="11"/>
  <c r="D46" i="11"/>
  <c r="N53" i="11"/>
  <c r="D53" i="11"/>
  <c r="T52" i="11"/>
  <c r="R52" i="11"/>
  <c r="P52" i="11"/>
  <c r="F51" i="11"/>
  <c r="P51" i="11" s="1"/>
  <c r="N46" i="11"/>
  <c r="T45" i="11"/>
  <c r="R45" i="11"/>
  <c r="P45" i="11"/>
  <c r="P44" i="11"/>
  <c r="N57" i="1"/>
  <c r="N58" i="1"/>
  <c r="N59" i="1"/>
  <c r="N60" i="1"/>
  <c r="N61" i="1"/>
  <c r="N62" i="1"/>
  <c r="N63" i="1"/>
  <c r="N64" i="1"/>
  <c r="N65" i="1"/>
  <c r="N66" i="1"/>
  <c r="L29" i="1"/>
  <c r="N29" i="1"/>
  <c r="W38" i="11"/>
  <c r="D31" i="11"/>
  <c r="N31" i="11" s="1"/>
  <c r="J13" i="11"/>
  <c r="J19" i="11" s="1"/>
  <c r="J20" i="11"/>
  <c r="L13" i="11"/>
  <c r="L19" i="11"/>
  <c r="L20" i="11"/>
  <c r="N13" i="11"/>
  <c r="N19" i="11" s="1"/>
  <c r="J36" i="11"/>
  <c r="H36" i="11"/>
  <c r="F36" i="11"/>
  <c r="N37" i="11"/>
  <c r="D37" i="11"/>
  <c r="T36" i="11"/>
  <c r="R36" i="11"/>
  <c r="P36" i="11"/>
  <c r="F35" i="11"/>
  <c r="P35" i="11" s="1"/>
  <c r="N30" i="11"/>
  <c r="T29" i="11"/>
  <c r="R29" i="11"/>
  <c r="P29" i="11"/>
  <c r="P28" i="11"/>
  <c r="K5" i="2"/>
  <c r="K5" i="8" s="1"/>
  <c r="H20" i="11"/>
  <c r="N7" i="11"/>
  <c r="L7" i="11"/>
  <c r="J7" i="11"/>
  <c r="H13" i="11"/>
  <c r="H19" i="11" s="1"/>
  <c r="H7" i="11"/>
  <c r="M4" i="3"/>
  <c r="H4" i="11" s="1"/>
  <c r="J15" i="11"/>
  <c r="L15" i="11" s="1"/>
  <c r="N15" i="11" s="1"/>
  <c r="P15" i="11" s="1"/>
  <c r="R15" i="11" s="1"/>
  <c r="A1" i="11"/>
  <c r="O11" i="8"/>
  <c r="Q11" i="8" s="1"/>
  <c r="O17" i="8"/>
  <c r="Q17" i="8" s="1"/>
  <c r="M7" i="8"/>
  <c r="K7" i="8"/>
  <c r="K7" i="10"/>
  <c r="I7" i="10"/>
  <c r="N7" i="10" s="1"/>
  <c r="N20" i="10" s="1"/>
  <c r="F7" i="10"/>
  <c r="P7" i="10" s="1"/>
  <c r="D7" i="10"/>
  <c r="I4" i="10"/>
  <c r="D4" i="10"/>
  <c r="G5" i="5"/>
  <c r="G22" i="5" s="1"/>
  <c r="U29" i="9"/>
  <c r="AJ29" i="9" s="1"/>
  <c r="AY29" i="9" s="1"/>
  <c r="U30" i="9"/>
  <c r="J41" i="6"/>
  <c r="L41" i="6" s="1"/>
  <c r="J64" i="6"/>
  <c r="J66" i="6" s="1"/>
  <c r="J65" i="6"/>
  <c r="L65" i="6" s="1"/>
  <c r="J73" i="6"/>
  <c r="L73" i="6" s="1"/>
  <c r="I21" i="9"/>
  <c r="X21" i="9" s="1"/>
  <c r="S29" i="9"/>
  <c r="AH29" i="9" s="1"/>
  <c r="AW29" i="9" s="1"/>
  <c r="S30" i="9"/>
  <c r="AH30" i="9" s="1"/>
  <c r="Q29" i="9"/>
  <c r="AF29" i="9" s="1"/>
  <c r="AU29" i="9" s="1"/>
  <c r="Q30" i="9"/>
  <c r="AF30" i="9" s="1"/>
  <c r="O29" i="9"/>
  <c r="AD29" i="9" s="1"/>
  <c r="AS29" i="9" s="1"/>
  <c r="O30" i="9"/>
  <c r="AD30" i="9" s="1"/>
  <c r="M29" i="9"/>
  <c r="AB29" i="9" s="1"/>
  <c r="AQ29" i="9" s="1"/>
  <c r="M30" i="9"/>
  <c r="AB30" i="9" s="1"/>
  <c r="K29" i="9"/>
  <c r="Z29" i="9" s="1"/>
  <c r="AO29" i="9" s="1"/>
  <c r="K30" i="9"/>
  <c r="Z30" i="9" s="1"/>
  <c r="I29" i="9"/>
  <c r="X29" i="9" s="1"/>
  <c r="AM29" i="9" s="1"/>
  <c r="I30" i="9"/>
  <c r="X30" i="9" s="1"/>
  <c r="O10" i="8"/>
  <c r="O16" i="8"/>
  <c r="O24" i="8"/>
  <c r="O27" i="8"/>
  <c r="F12" i="7"/>
  <c r="J29" i="6" s="1"/>
  <c r="J54" i="6"/>
  <c r="L54" i="6"/>
  <c r="N54" i="6" s="1"/>
  <c r="P54" i="6" s="1"/>
  <c r="R54" i="6" s="1"/>
  <c r="T54" i="6" s="1"/>
  <c r="V54" i="6" s="1"/>
  <c r="X54" i="6" s="1"/>
  <c r="J56" i="6"/>
  <c r="L56" i="6" s="1"/>
  <c r="N56" i="6" s="1"/>
  <c r="P56" i="6" s="1"/>
  <c r="R56" i="6" s="1"/>
  <c r="T56" i="6" s="1"/>
  <c r="V56" i="6" s="1"/>
  <c r="X56" i="6" s="1"/>
  <c r="AO40" i="9"/>
  <c r="AQ40" i="9"/>
  <c r="AS40" i="9" s="1"/>
  <c r="AU40" i="9" s="1"/>
  <c r="AW40" i="9" s="1"/>
  <c r="AY40" i="9" s="1"/>
  <c r="E28" i="5"/>
  <c r="E27" i="5"/>
  <c r="K27" i="9"/>
  <c r="M27" i="9"/>
  <c r="O27" i="9" s="1"/>
  <c r="Q27" i="9" s="1"/>
  <c r="S27" i="9" s="1"/>
  <c r="U27" i="9" s="1"/>
  <c r="X4" i="9"/>
  <c r="W5" i="5"/>
  <c r="W21" i="5" s="1"/>
  <c r="W23" i="5"/>
  <c r="W12" i="5"/>
  <c r="Y28" i="5"/>
  <c r="Y27" i="5"/>
  <c r="N42" i="1"/>
  <c r="N43" i="1"/>
  <c r="N44" i="1"/>
  <c r="N45" i="1"/>
  <c r="N46" i="1"/>
  <c r="N47" i="1"/>
  <c r="N48" i="1"/>
  <c r="N49" i="1"/>
  <c r="N50" i="1"/>
  <c r="N51" i="1"/>
  <c r="H29" i="1"/>
  <c r="J29" i="1"/>
  <c r="B40" i="9"/>
  <c r="C36" i="9"/>
  <c r="B34" i="9"/>
  <c r="A19" i="9"/>
  <c r="G5" i="9"/>
  <c r="O66" i="8"/>
  <c r="M66" i="8"/>
  <c r="Q46" i="8"/>
  <c r="Q45" i="8"/>
  <c r="Q44" i="8"/>
  <c r="O46" i="8"/>
  <c r="O45" i="8"/>
  <c r="O44" i="8"/>
  <c r="M46" i="8"/>
  <c r="M45" i="8"/>
  <c r="M44" i="8"/>
  <c r="M43" i="8"/>
  <c r="Q7" i="8"/>
  <c r="O7" i="8"/>
  <c r="M10" i="8"/>
  <c r="M16" i="8"/>
  <c r="M24" i="8"/>
  <c r="M27" i="8"/>
  <c r="M33" i="8"/>
  <c r="B61" i="8"/>
  <c r="Q33" i="8"/>
  <c r="O33" i="8"/>
  <c r="K33" i="8"/>
  <c r="I33" i="8"/>
  <c r="G33" i="8"/>
  <c r="Q27" i="8"/>
  <c r="K27" i="8"/>
  <c r="I27" i="8"/>
  <c r="G27" i="8"/>
  <c r="Q24" i="8"/>
  <c r="K24" i="8"/>
  <c r="I24" i="8"/>
  <c r="G24" i="8"/>
  <c r="Q10" i="8"/>
  <c r="Q16" i="8"/>
  <c r="I25" i="8"/>
  <c r="I28" i="8"/>
  <c r="K28" i="8" s="1"/>
  <c r="K10" i="8"/>
  <c r="K16" i="8"/>
  <c r="I7" i="8"/>
  <c r="I10" i="8"/>
  <c r="I16" i="8"/>
  <c r="G7" i="8"/>
  <c r="G10" i="8"/>
  <c r="G16" i="8"/>
  <c r="M4" i="8"/>
  <c r="G4" i="8"/>
  <c r="I11" i="8"/>
  <c r="K11" i="8" s="1"/>
  <c r="M11" i="8" s="1"/>
  <c r="I17" i="8"/>
  <c r="K17" i="8" s="1"/>
  <c r="L24" i="7"/>
  <c r="L50" i="7" s="1"/>
  <c r="N44" i="4"/>
  <c r="P44" i="4" s="1"/>
  <c r="N45" i="4"/>
  <c r="P45" i="4" s="1"/>
  <c r="P26" i="4"/>
  <c r="P27" i="4"/>
  <c r="P28" i="4"/>
  <c r="P29" i="4"/>
  <c r="J32" i="4"/>
  <c r="P30" i="4"/>
  <c r="P31" i="4"/>
  <c r="P38" i="4"/>
  <c r="H36" i="4"/>
  <c r="J36" i="4"/>
  <c r="P21" i="4"/>
  <c r="P18" i="4"/>
  <c r="J43" i="6"/>
  <c r="L43" i="6" s="1"/>
  <c r="N43" i="6" s="1"/>
  <c r="P43" i="6" s="1"/>
  <c r="R43" i="6" s="1"/>
  <c r="T43" i="6" s="1"/>
  <c r="V43" i="6" s="1"/>
  <c r="X43" i="6" s="1"/>
  <c r="J44" i="6"/>
  <c r="L44" i="6" s="1"/>
  <c r="N44" i="6" s="1"/>
  <c r="P44" i="6" s="1"/>
  <c r="R44" i="6" s="1"/>
  <c r="T44" i="6" s="1"/>
  <c r="V44" i="6" s="1"/>
  <c r="X44" i="6" s="1"/>
  <c r="P12" i="4"/>
  <c r="P11" i="4"/>
  <c r="P10" i="4"/>
  <c r="P9" i="4"/>
  <c r="H5" i="4"/>
  <c r="P5" i="4" s="1"/>
  <c r="L74" i="6"/>
  <c r="N74" i="6" s="1"/>
  <c r="P74" i="6" s="1"/>
  <c r="R74" i="6" s="1"/>
  <c r="T74" i="6" s="1"/>
  <c r="V74" i="6" s="1"/>
  <c r="X74" i="6" s="1"/>
  <c r="L77" i="6"/>
  <c r="N77" i="6" s="1"/>
  <c r="P77" i="6" s="1"/>
  <c r="R77" i="6" s="1"/>
  <c r="T77" i="6" s="1"/>
  <c r="V77" i="6" s="1"/>
  <c r="X77" i="6" s="1"/>
  <c r="A73" i="6"/>
  <c r="L48" i="6"/>
  <c r="N48" i="6" s="1"/>
  <c r="P48" i="6" s="1"/>
  <c r="R48" i="6" s="1"/>
  <c r="T48" i="6" s="1"/>
  <c r="V48" i="6" s="1"/>
  <c r="X48" i="6" s="1"/>
  <c r="A37" i="6"/>
  <c r="A55" i="7"/>
  <c r="A54" i="7"/>
  <c r="A52" i="7"/>
  <c r="H22" i="7"/>
  <c r="J22" i="7" s="1"/>
  <c r="A51" i="7"/>
  <c r="T24" i="7"/>
  <c r="T50" i="7" s="1"/>
  <c r="R24" i="7"/>
  <c r="R50" i="7" s="1"/>
  <c r="P24" i="7"/>
  <c r="P50" i="7" s="1"/>
  <c r="N24" i="7"/>
  <c r="N50" i="7" s="1"/>
  <c r="A48" i="7"/>
  <c r="A43" i="7"/>
  <c r="A42" i="7"/>
  <c r="A34" i="7"/>
  <c r="A32" i="7"/>
  <c r="A30" i="7"/>
  <c r="A29" i="7"/>
  <c r="A28" i="7"/>
  <c r="A19" i="7"/>
  <c r="A18" i="7"/>
  <c r="A17" i="7"/>
  <c r="A16" i="7"/>
  <c r="A15" i="7"/>
  <c r="A12" i="7"/>
  <c r="A11" i="7"/>
  <c r="A10" i="7"/>
  <c r="H4" i="7"/>
  <c r="F123" i="6"/>
  <c r="F124" i="6"/>
  <c r="F125" i="6"/>
  <c r="F126" i="6"/>
  <c r="F127" i="6"/>
  <c r="F128" i="6"/>
  <c r="F129" i="6"/>
  <c r="F130" i="6"/>
  <c r="F131" i="6"/>
  <c r="F132" i="6"/>
  <c r="D105" i="6"/>
  <c r="L150" i="6"/>
  <c r="L18" i="6" s="1"/>
  <c r="L141" i="6"/>
  <c r="L140" i="6"/>
  <c r="L153" i="6" s="1"/>
  <c r="L139" i="6"/>
  <c r="N139" i="6" s="1"/>
  <c r="L151" i="6"/>
  <c r="N151" i="6" s="1"/>
  <c r="P151" i="6" s="1"/>
  <c r="L21" i="6"/>
  <c r="N21" i="6" s="1"/>
  <c r="P21" i="6" s="1"/>
  <c r="R21" i="6" s="1"/>
  <c r="T21" i="6" s="1"/>
  <c r="V21" i="6" s="1"/>
  <c r="X21" i="6" s="1"/>
  <c r="J154" i="6"/>
  <c r="J153" i="6"/>
  <c r="J152" i="6"/>
  <c r="A21" i="6"/>
  <c r="A20" i="6"/>
  <c r="J19" i="6"/>
  <c r="A19" i="6"/>
  <c r="J18" i="6"/>
  <c r="A18" i="6"/>
  <c r="L137" i="6"/>
  <c r="L11" i="6" s="1"/>
  <c r="L138" i="6"/>
  <c r="N138" i="6" s="1"/>
  <c r="L14" i="6"/>
  <c r="N14" i="6" s="1"/>
  <c r="P14" i="6" s="1"/>
  <c r="R14" i="6" s="1"/>
  <c r="T14" i="6" s="1"/>
  <c r="V14" i="6" s="1"/>
  <c r="X14" i="6" s="1"/>
  <c r="J12" i="6"/>
  <c r="J11" i="6"/>
  <c r="A158" i="6"/>
  <c r="A157" i="6"/>
  <c r="A156" i="6"/>
  <c r="A155" i="6"/>
  <c r="A154" i="6"/>
  <c r="A153" i="6"/>
  <c r="A152" i="6"/>
  <c r="A151" i="6"/>
  <c r="A150" i="6"/>
  <c r="A149" i="6"/>
  <c r="L5" i="6"/>
  <c r="Y29" i="5"/>
  <c r="E29" i="5"/>
  <c r="Y19" i="5"/>
  <c r="Y18" i="5"/>
  <c r="E19" i="5"/>
  <c r="E18" i="5"/>
  <c r="W20" i="5"/>
  <c r="Y17" i="5"/>
  <c r="W17" i="5" s="1"/>
  <c r="Y15" i="5"/>
  <c r="E15" i="5"/>
  <c r="W4" i="5"/>
  <c r="I4" i="5"/>
  <c r="G4" i="5"/>
  <c r="J5" i="4"/>
  <c r="J13" i="4"/>
  <c r="J22" i="4" s="1"/>
  <c r="H32" i="4"/>
  <c r="H13" i="4"/>
  <c r="H22" i="4" s="1"/>
  <c r="J4" i="4"/>
  <c r="H4" i="4"/>
  <c r="G4" i="3"/>
  <c r="O66" i="3"/>
  <c r="Q66" i="3" s="1"/>
  <c r="Q65" i="3" s="1"/>
  <c r="M66" i="3"/>
  <c r="K66" i="3"/>
  <c r="I66" i="3"/>
  <c r="G66" i="3"/>
  <c r="S7" i="3"/>
  <c r="P7" i="11" s="1"/>
  <c r="U8" i="3"/>
  <c r="Q11" i="3"/>
  <c r="S11" i="3" s="1"/>
  <c r="Q16" i="3"/>
  <c r="S16" i="3" s="1"/>
  <c r="S24" i="3"/>
  <c r="U24" i="3" s="1"/>
  <c r="Q23" i="3"/>
  <c r="S23" i="3" s="1"/>
  <c r="U23" i="3" s="1"/>
  <c r="Q30" i="3"/>
  <c r="S30" i="3" s="1"/>
  <c r="S39" i="3"/>
  <c r="U39" i="3" s="1"/>
  <c r="S40" i="3"/>
  <c r="U40" i="3" s="1"/>
  <c r="S41" i="3"/>
  <c r="U41" i="3" s="1"/>
  <c r="S42" i="3"/>
  <c r="U42" i="3" s="1"/>
  <c r="S58" i="3"/>
  <c r="U58" i="3" s="1"/>
  <c r="S53" i="3"/>
  <c r="U53" i="3" s="1"/>
  <c r="M12" i="3"/>
  <c r="M19" i="3" s="1"/>
  <c r="E31" i="5" s="1"/>
  <c r="M26" i="3"/>
  <c r="M27" i="3" s="1"/>
  <c r="Q12" i="3"/>
  <c r="Q19" i="3" s="1"/>
  <c r="Q26" i="3"/>
  <c r="Q27" i="3" s="1"/>
  <c r="O12" i="3"/>
  <c r="O13" i="3" s="1"/>
  <c r="O26" i="3"/>
  <c r="O27" i="3" s="1"/>
  <c r="K12" i="3"/>
  <c r="K13" i="3" s="1"/>
  <c r="K26" i="3"/>
  <c r="K27" i="3" s="1"/>
  <c r="I12" i="3"/>
  <c r="I19" i="3" s="1"/>
  <c r="I20" i="3" s="1"/>
  <c r="I26" i="3"/>
  <c r="I27" i="3" s="1"/>
  <c r="G12" i="3"/>
  <c r="G19" i="3" s="1"/>
  <c r="G26" i="3"/>
  <c r="G27" i="3" s="1"/>
  <c r="O30" i="3"/>
  <c r="M30" i="3"/>
  <c r="K30" i="3"/>
  <c r="I30" i="3"/>
  <c r="G30" i="3"/>
  <c r="Q25" i="3"/>
  <c r="O25" i="3"/>
  <c r="M25" i="3"/>
  <c r="K25" i="3"/>
  <c r="I25" i="3"/>
  <c r="G25" i="3"/>
  <c r="O23" i="3"/>
  <c r="M23" i="3"/>
  <c r="K23" i="3"/>
  <c r="I23" i="3"/>
  <c r="G23" i="3"/>
  <c r="O16" i="3"/>
  <c r="M16" i="3"/>
  <c r="K16" i="3"/>
  <c r="I16" i="3"/>
  <c r="G16" i="3"/>
  <c r="O11" i="3"/>
  <c r="M11" i="3"/>
  <c r="K11" i="3"/>
  <c r="I11" i="3"/>
  <c r="G11" i="3"/>
  <c r="Q8" i="3"/>
  <c r="O8" i="3"/>
  <c r="M8" i="3"/>
  <c r="I8" i="10" s="1"/>
  <c r="K8" i="3"/>
  <c r="H8" i="11" s="1"/>
  <c r="I8" i="3"/>
  <c r="A1" i="3"/>
  <c r="S24" i="2"/>
  <c r="U24" i="2" s="1"/>
  <c r="S39" i="2"/>
  <c r="U39" i="2" s="1"/>
  <c r="S40" i="2"/>
  <c r="S41" i="2"/>
  <c r="S42" i="2"/>
  <c r="U42" i="2" s="1"/>
  <c r="S58" i="2"/>
  <c r="U58" i="2"/>
  <c r="M4" i="2"/>
  <c r="Q66" i="2"/>
  <c r="O66" i="2"/>
  <c r="M66" i="2"/>
  <c r="Q12" i="2"/>
  <c r="Q19" i="2" s="1"/>
  <c r="Q26" i="2"/>
  <c r="Q27" i="2" s="1"/>
  <c r="O12" i="2"/>
  <c r="O13" i="2" s="1"/>
  <c r="O26" i="2"/>
  <c r="O27" i="2" s="1"/>
  <c r="M12" i="2"/>
  <c r="M13" i="2" s="1"/>
  <c r="M26" i="2"/>
  <c r="M27" i="2" s="1"/>
  <c r="Q30" i="2"/>
  <c r="S30" i="2" s="1"/>
  <c r="O30" i="2"/>
  <c r="M30" i="2"/>
  <c r="Q25" i="2"/>
  <c r="O25" i="2"/>
  <c r="M25" i="2"/>
  <c r="Q23" i="2"/>
  <c r="S23" i="2" s="1"/>
  <c r="O23" i="2"/>
  <c r="M23" i="2"/>
  <c r="Q16" i="2"/>
  <c r="S16" i="2" s="1"/>
  <c r="O16" i="2"/>
  <c r="M16" i="2"/>
  <c r="Q11" i="2"/>
  <c r="S11" i="2" s="1"/>
  <c r="O11" i="2"/>
  <c r="M11" i="2"/>
  <c r="Q8" i="2"/>
  <c r="S8" i="2" s="1"/>
  <c r="O8" i="2"/>
  <c r="M8" i="2"/>
  <c r="D8" i="10" s="1"/>
  <c r="G4" i="2"/>
  <c r="K66" i="2"/>
  <c r="I66" i="2"/>
  <c r="G66" i="2"/>
  <c r="A1" i="2"/>
  <c r="K12" i="2"/>
  <c r="K13" i="2" s="1"/>
  <c r="K19" i="2"/>
  <c r="K20" i="2"/>
  <c r="K26" i="2"/>
  <c r="K27" i="2" s="1"/>
  <c r="I12" i="2"/>
  <c r="I19" i="2" s="1"/>
  <c r="I26" i="2"/>
  <c r="I27" i="2" s="1"/>
  <c r="G12" i="2"/>
  <c r="G19" i="2" s="1"/>
  <c r="G26" i="2"/>
  <c r="G27" i="2" s="1"/>
  <c r="K30" i="2"/>
  <c r="I30" i="2"/>
  <c r="G30" i="2"/>
  <c r="K25" i="2"/>
  <c r="I25" i="2"/>
  <c r="G25" i="2"/>
  <c r="K23" i="2"/>
  <c r="I23" i="2"/>
  <c r="G23" i="2"/>
  <c r="K16" i="2"/>
  <c r="I16" i="2"/>
  <c r="G16" i="2"/>
  <c r="K11" i="2"/>
  <c r="I11" i="2"/>
  <c r="G11" i="2"/>
  <c r="K8" i="2"/>
  <c r="I8" i="2"/>
  <c r="D54" i="1"/>
  <c r="L27" i="1"/>
  <c r="N27" i="1"/>
  <c r="H27" i="1"/>
  <c r="J27" i="1"/>
  <c r="J66" i="1"/>
  <c r="H57" i="1"/>
  <c r="H58" i="1"/>
  <c r="H59" i="1" s="1"/>
  <c r="H60" i="1" s="1"/>
  <c r="J65" i="1"/>
  <c r="J64" i="1"/>
  <c r="J63" i="1"/>
  <c r="J62" i="1"/>
  <c r="J61" i="1"/>
  <c r="J60" i="1"/>
  <c r="J59" i="1"/>
  <c r="J58" i="1"/>
  <c r="J57" i="1"/>
  <c r="J51" i="1"/>
  <c r="H42" i="1"/>
  <c r="H43" i="1" s="1"/>
  <c r="H44" i="1" s="1"/>
  <c r="J50" i="1"/>
  <c r="J49" i="1"/>
  <c r="J48" i="1"/>
  <c r="J47" i="1"/>
  <c r="J46" i="1"/>
  <c r="J45" i="1"/>
  <c r="J44" i="1"/>
  <c r="J43" i="1"/>
  <c r="J42" i="1"/>
  <c r="L11" i="1"/>
  <c r="N141" i="6"/>
  <c r="N154" i="6" s="1"/>
  <c r="L154" i="6"/>
  <c r="I13" i="2"/>
  <c r="W8" i="5"/>
  <c r="W10" i="5"/>
  <c r="N47" i="11"/>
  <c r="N54" i="11"/>
  <c r="K23" i="5"/>
  <c r="J68" i="6"/>
  <c r="X26" i="9"/>
  <c r="M52" i="8"/>
  <c r="Q52" i="8" s="1"/>
  <c r="S52" i="8" s="1"/>
  <c r="U52" i="8" s="1"/>
  <c r="AD26" i="9"/>
  <c r="X27" i="9"/>
  <c r="J80" i="6"/>
  <c r="I26" i="9"/>
  <c r="K26" i="9" s="1"/>
  <c r="M26" i="9" s="1"/>
  <c r="O26" i="9" s="1"/>
  <c r="AB27" i="9"/>
  <c r="J59" i="6"/>
  <c r="L59" i="6" s="1"/>
  <c r="N59" i="6" s="1"/>
  <c r="P59" i="6" s="1"/>
  <c r="R59" i="6" s="1"/>
  <c r="T59" i="6" s="1"/>
  <c r="V59" i="6" s="1"/>
  <c r="X59" i="6" s="1"/>
  <c r="AH27" i="9"/>
  <c r="AF26" i="9"/>
  <c r="AD27" i="9"/>
  <c r="J88" i="6"/>
  <c r="L88" i="6" s="1"/>
  <c r="AH26" i="9"/>
  <c r="Z27" i="9"/>
  <c r="AF27" i="9"/>
  <c r="Z26" i="9"/>
  <c r="I35" i="9"/>
  <c r="K35" i="9" s="1"/>
  <c r="AB26" i="9"/>
  <c r="AJ27" i="9"/>
  <c r="AJ26" i="9"/>
  <c r="W22" i="5"/>
  <c r="D32" i="11" l="1"/>
  <c r="Q8" i="8"/>
  <c r="S8" i="8" s="1"/>
  <c r="U8" i="8" s="1"/>
  <c r="F75" i="8"/>
  <c r="U10" i="10"/>
  <c r="U16" i="10" s="1"/>
  <c r="L22" i="7"/>
  <c r="L51" i="7" s="1"/>
  <c r="J51" i="7"/>
  <c r="N41" i="6"/>
  <c r="N64" i="6" s="1"/>
  <c r="L64" i="6"/>
  <c r="J6" i="6"/>
  <c r="F45" i="7"/>
  <c r="F5" i="7"/>
  <c r="K32" i="2"/>
  <c r="K35" i="2" s="1"/>
  <c r="H12" i="7"/>
  <c r="H51" i="7"/>
  <c r="G29" i="8"/>
  <c r="E17" i="5"/>
  <c r="G17" i="5" s="1"/>
  <c r="G10" i="5"/>
  <c r="G12" i="5"/>
  <c r="G23" i="5"/>
  <c r="J75" i="6"/>
  <c r="J78" i="6" s="1"/>
  <c r="S27" i="8"/>
  <c r="G20" i="5"/>
  <c r="P141" i="6"/>
  <c r="F30" i="7"/>
  <c r="G8" i="5"/>
  <c r="G19" i="5"/>
  <c r="I5" i="2"/>
  <c r="I5" i="8" s="1"/>
  <c r="N150" i="6"/>
  <c r="P150" i="6" s="1"/>
  <c r="R150" i="6" s="1"/>
  <c r="R18" i="6" s="1"/>
  <c r="I39" i="9"/>
  <c r="A57" i="11"/>
  <c r="N18" i="6"/>
  <c r="N152" i="6"/>
  <c r="P139" i="6"/>
  <c r="L152" i="6"/>
  <c r="L19" i="6"/>
  <c r="L12" i="6"/>
  <c r="N137" i="6"/>
  <c r="N11" i="6" s="1"/>
  <c r="J44" i="7"/>
  <c r="H45" i="7"/>
  <c r="J18" i="7"/>
  <c r="H19" i="7"/>
  <c r="N46" i="4"/>
  <c r="P46" i="4" s="1"/>
  <c r="O13" i="8"/>
  <c r="O21" i="8" s="1"/>
  <c r="O22" i="8" s="1"/>
  <c r="U13" i="10"/>
  <c r="N17" i="1"/>
  <c r="J39" i="4"/>
  <c r="J49" i="4" s="1"/>
  <c r="J51" i="4" s="1"/>
  <c r="J17" i="1"/>
  <c r="H39" i="4"/>
  <c r="H49" i="4" s="1"/>
  <c r="H51" i="4" s="1"/>
  <c r="N67" i="1"/>
  <c r="N16" i="1" s="1"/>
  <c r="N6" i="6"/>
  <c r="N94" i="6" s="1"/>
  <c r="N99" i="6" s="1"/>
  <c r="N113" i="6" s="1"/>
  <c r="N127" i="6" s="1"/>
  <c r="D54" i="11"/>
  <c r="D48" i="11"/>
  <c r="N55" i="11"/>
  <c r="D55" i="11"/>
  <c r="D38" i="11"/>
  <c r="D47" i="11"/>
  <c r="N38" i="11"/>
  <c r="G34" i="8"/>
  <c r="Q34" i="8"/>
  <c r="M8" i="8"/>
  <c r="N8" i="10" s="1"/>
  <c r="X8" i="10" s="1"/>
  <c r="K8" i="10"/>
  <c r="I32" i="3"/>
  <c r="I35" i="3" s="1"/>
  <c r="I12" i="8"/>
  <c r="M13" i="3"/>
  <c r="U7" i="3"/>
  <c r="R7" i="11" s="1"/>
  <c r="R8" i="11" s="1"/>
  <c r="N8" i="11"/>
  <c r="S10" i="3"/>
  <c r="S12" i="3" s="1"/>
  <c r="S13" i="3" s="1"/>
  <c r="G32" i="3"/>
  <c r="G33" i="3" s="1"/>
  <c r="G20" i="3"/>
  <c r="I30" i="8"/>
  <c r="I31" i="8" s="1"/>
  <c r="O8" i="8"/>
  <c r="U22" i="3"/>
  <c r="R13" i="11" s="1"/>
  <c r="R19" i="11" s="1"/>
  <c r="O18" i="8"/>
  <c r="G13" i="3"/>
  <c r="S46" i="8"/>
  <c r="S45" i="8"/>
  <c r="S44" i="8"/>
  <c r="K34" i="8"/>
  <c r="K12" i="8"/>
  <c r="O34" i="8"/>
  <c r="U27" i="8"/>
  <c r="P8" i="11"/>
  <c r="M34" i="8"/>
  <c r="M67" i="8"/>
  <c r="S29" i="3"/>
  <c r="U30" i="3"/>
  <c r="U29" i="3"/>
  <c r="J8" i="11"/>
  <c r="L8" i="11"/>
  <c r="K19" i="3"/>
  <c r="K20" i="3" s="1"/>
  <c r="G12" i="8"/>
  <c r="G26" i="8"/>
  <c r="K21" i="9"/>
  <c r="K39" i="9" s="1"/>
  <c r="G30" i="8"/>
  <c r="G31" i="8" s="1"/>
  <c r="M19" i="2"/>
  <c r="D10" i="10" s="1"/>
  <c r="Q20" i="2"/>
  <c r="Y33" i="5"/>
  <c r="Q32" i="2"/>
  <c r="Q13" i="2"/>
  <c r="O12" i="8"/>
  <c r="O67" i="8"/>
  <c r="F8" i="10"/>
  <c r="X7" i="10"/>
  <c r="I20" i="10"/>
  <c r="D20" i="10"/>
  <c r="I29" i="8"/>
  <c r="I13" i="8"/>
  <c r="I21" i="8" s="1"/>
  <c r="I22" i="8" s="1"/>
  <c r="I34" i="8"/>
  <c r="K8" i="8"/>
  <c r="I8" i="8"/>
  <c r="I18" i="8"/>
  <c r="I26" i="8"/>
  <c r="G13" i="8"/>
  <c r="G21" i="8" s="1"/>
  <c r="K13" i="8"/>
  <c r="K14" i="8" s="1"/>
  <c r="U16" i="2"/>
  <c r="M20" i="3"/>
  <c r="M32" i="3"/>
  <c r="J10" i="11"/>
  <c r="I10" i="10"/>
  <c r="N10" i="10" s="1"/>
  <c r="D21" i="10" s="1"/>
  <c r="S17" i="8"/>
  <c r="U17" i="8" s="1"/>
  <c r="Q18" i="8"/>
  <c r="L66" i="6"/>
  <c r="L69" i="6" s="1"/>
  <c r="I31" i="9" s="1"/>
  <c r="X31" i="9" s="1"/>
  <c r="AM31" i="9" s="1"/>
  <c r="N65" i="6"/>
  <c r="P65" i="6" s="1"/>
  <c r="R65" i="6" s="1"/>
  <c r="T65" i="6" s="1"/>
  <c r="V65" i="6" s="1"/>
  <c r="X65" i="6" s="1"/>
  <c r="S11" i="8"/>
  <c r="U11" i="8" s="1"/>
  <c r="Q13" i="8"/>
  <c r="Q12" i="8"/>
  <c r="U23" i="2"/>
  <c r="J69" i="6"/>
  <c r="L68" i="6"/>
  <c r="N68" i="6" s="1"/>
  <c r="P68" i="6" s="1"/>
  <c r="K18" i="8"/>
  <c r="M17" i="8"/>
  <c r="M18" i="8" s="1"/>
  <c r="M13" i="8"/>
  <c r="N20" i="11"/>
  <c r="Q66" i="8"/>
  <c r="Q67" i="8" s="1"/>
  <c r="N22" i="7"/>
  <c r="N51" i="7" s="1"/>
  <c r="R151" i="6"/>
  <c r="P19" i="6"/>
  <c r="S7" i="2"/>
  <c r="S15" i="2" s="1"/>
  <c r="U8" i="2"/>
  <c r="U30" i="2"/>
  <c r="M12" i="8"/>
  <c r="G32" i="2"/>
  <c r="G20" i="2"/>
  <c r="R141" i="6"/>
  <c r="P154" i="6"/>
  <c r="D11" i="10"/>
  <c r="P138" i="6"/>
  <c r="N12" i="6"/>
  <c r="P8" i="10"/>
  <c r="K20" i="10"/>
  <c r="Z7" i="10"/>
  <c r="F20" i="10"/>
  <c r="P20" i="10"/>
  <c r="U46" i="8"/>
  <c r="I20" i="2"/>
  <c r="I32" i="2"/>
  <c r="U11" i="2"/>
  <c r="Q32" i="3"/>
  <c r="N10" i="11"/>
  <c r="E33" i="5"/>
  <c r="Q20" i="3"/>
  <c r="S15" i="3"/>
  <c r="S19" i="3" s="1"/>
  <c r="U16" i="3"/>
  <c r="U15" i="3" s="1"/>
  <c r="T150" i="6"/>
  <c r="AM21" i="9"/>
  <c r="AM39" i="9" s="1"/>
  <c r="AM41" i="9" s="1"/>
  <c r="X39" i="9"/>
  <c r="K29" i="8"/>
  <c r="S22" i="3"/>
  <c r="P13" i="11" s="1"/>
  <c r="P19" i="11" s="1"/>
  <c r="Q13" i="3"/>
  <c r="G13" i="2"/>
  <c r="M32" i="2"/>
  <c r="S25" i="3"/>
  <c r="S66" i="3"/>
  <c r="K25" i="8"/>
  <c r="M20" i="2"/>
  <c r="L57" i="1"/>
  <c r="U41" i="2"/>
  <c r="U45" i="8" s="1"/>
  <c r="U40" i="2"/>
  <c r="U44" i="8" s="1"/>
  <c r="O19" i="3"/>
  <c r="Y31" i="5"/>
  <c r="O19" i="2"/>
  <c r="U11" i="3"/>
  <c r="U10" i="3" s="1"/>
  <c r="U12" i="3" s="1"/>
  <c r="J94" i="6"/>
  <c r="J103" i="6" s="1"/>
  <c r="J117" i="6" s="1"/>
  <c r="J131" i="6" s="1"/>
  <c r="G18" i="8"/>
  <c r="N140" i="6"/>
  <c r="N32" i="11"/>
  <c r="P41" i="6"/>
  <c r="N19" i="6"/>
  <c r="I13" i="3"/>
  <c r="L75" i="6"/>
  <c r="L78" i="6" s="1"/>
  <c r="N73" i="6"/>
  <c r="J81" i="6"/>
  <c r="J38" i="6"/>
  <c r="L38" i="6" s="1"/>
  <c r="N38" i="6" s="1"/>
  <c r="P38" i="6" s="1"/>
  <c r="R38" i="6" s="1"/>
  <c r="T38" i="6" s="1"/>
  <c r="V38" i="6" s="1"/>
  <c r="X38" i="6" s="1"/>
  <c r="P32" i="4"/>
  <c r="G5" i="2"/>
  <c r="G5" i="8" s="1"/>
  <c r="K5" i="3"/>
  <c r="M5" i="2"/>
  <c r="K12" i="5"/>
  <c r="G18" i="5"/>
  <c r="W18" i="5"/>
  <c r="W19" i="5"/>
  <c r="K20" i="5"/>
  <c r="J5" i="7"/>
  <c r="M18" i="5"/>
  <c r="K10" i="5"/>
  <c r="G21" i="5"/>
  <c r="K21" i="5"/>
  <c r="K8" i="5"/>
  <c r="K6" i="9"/>
  <c r="K18" i="5"/>
  <c r="K22" i="5"/>
  <c r="K19" i="5"/>
  <c r="M35" i="9"/>
  <c r="Z35" i="9"/>
  <c r="AO35" i="9" s="1"/>
  <c r="R68" i="6"/>
  <c r="N88" i="6"/>
  <c r="Q26" i="9"/>
  <c r="L80" i="6"/>
  <c r="X35" i="9"/>
  <c r="AM35" i="9" s="1"/>
  <c r="L44" i="1"/>
  <c r="L43" i="1"/>
  <c r="L42" i="1"/>
  <c r="AS30" i="9"/>
  <c r="AM30" i="9"/>
  <c r="AJ30" i="9"/>
  <c r="H61" i="1"/>
  <c r="L60" i="1"/>
  <c r="L59" i="1"/>
  <c r="L58" i="1"/>
  <c r="AQ30" i="9"/>
  <c r="AU30" i="9"/>
  <c r="AO30" i="9"/>
  <c r="AW30" i="9"/>
  <c r="H45" i="1"/>
  <c r="N52" i="1"/>
  <c r="J16" i="1" s="1"/>
  <c r="N48" i="11" l="1"/>
  <c r="N39" i="11"/>
  <c r="D39" i="11"/>
  <c r="G14" i="8"/>
  <c r="K43" i="2"/>
  <c r="K48" i="2" s="1"/>
  <c r="K36" i="2"/>
  <c r="J18" i="1"/>
  <c r="J20" i="1" s="1"/>
  <c r="J22" i="1" s="1"/>
  <c r="I33" i="3"/>
  <c r="J136" i="6"/>
  <c r="J142" i="6" s="1"/>
  <c r="J149" i="6"/>
  <c r="J155" i="6" s="1"/>
  <c r="J16" i="7"/>
  <c r="J17" i="7"/>
  <c r="H30" i="7"/>
  <c r="L29" i="6"/>
  <c r="K32" i="3"/>
  <c r="K33" i="3" s="1"/>
  <c r="N66" i="6"/>
  <c r="N69" i="6" s="1"/>
  <c r="K31" i="9" s="1"/>
  <c r="Z31" i="9" s="1"/>
  <c r="AO31" i="9" s="1"/>
  <c r="F17" i="7"/>
  <c r="F52" i="7" s="1"/>
  <c r="F16" i="7"/>
  <c r="F34" i="7" s="1"/>
  <c r="K33" i="2"/>
  <c r="P18" i="6"/>
  <c r="H10" i="11"/>
  <c r="O14" i="8"/>
  <c r="N18" i="1"/>
  <c r="W39" i="11" s="1"/>
  <c r="A58" i="11" s="1"/>
  <c r="K17" i="5"/>
  <c r="J12" i="7"/>
  <c r="L12" i="7" s="1"/>
  <c r="L30" i="7" s="1"/>
  <c r="P137" i="6"/>
  <c r="P152" i="6"/>
  <c r="R139" i="6"/>
  <c r="L44" i="7"/>
  <c r="J45" i="7"/>
  <c r="J19" i="7"/>
  <c r="L18" i="7"/>
  <c r="J34" i="7"/>
  <c r="N29" i="6"/>
  <c r="J30" i="7"/>
  <c r="N98" i="6"/>
  <c r="N112" i="6" s="1"/>
  <c r="N126" i="6" s="1"/>
  <c r="N104" i="6"/>
  <c r="N118" i="6" s="1"/>
  <c r="N132" i="6" s="1"/>
  <c r="N95" i="6"/>
  <c r="N109" i="6" s="1"/>
  <c r="N123" i="6" s="1"/>
  <c r="N101" i="6"/>
  <c r="N115" i="6" s="1"/>
  <c r="N129" i="6" s="1"/>
  <c r="N149" i="6"/>
  <c r="N103" i="6"/>
  <c r="N85" i="6" s="1"/>
  <c r="N97" i="6"/>
  <c r="N111" i="6" s="1"/>
  <c r="N125" i="6" s="1"/>
  <c r="N102" i="6"/>
  <c r="N116" i="6" s="1"/>
  <c r="N130" i="6" s="1"/>
  <c r="N96" i="6"/>
  <c r="N110" i="6" s="1"/>
  <c r="N124" i="6" s="1"/>
  <c r="N136" i="6"/>
  <c r="N142" i="6" s="1"/>
  <c r="N143" i="6" s="1"/>
  <c r="N145" i="6" s="1"/>
  <c r="N100" i="6"/>
  <c r="N114" i="6" s="1"/>
  <c r="N128" i="6" s="1"/>
  <c r="Z8" i="10"/>
  <c r="U26" i="3"/>
  <c r="U27" i="3" s="1"/>
  <c r="G35" i="3"/>
  <c r="G36" i="3" s="1"/>
  <c r="U25" i="3"/>
  <c r="S26" i="3"/>
  <c r="S27" i="3" s="1"/>
  <c r="I14" i="8"/>
  <c r="I36" i="8"/>
  <c r="Z21" i="9"/>
  <c r="M21" i="9"/>
  <c r="Q33" i="2"/>
  <c r="Q35" i="2"/>
  <c r="S10" i="2"/>
  <c r="S10" i="8" s="1"/>
  <c r="S29" i="2"/>
  <c r="S33" i="8" s="1"/>
  <c r="K46" i="2"/>
  <c r="K56" i="2" s="1"/>
  <c r="K21" i="8"/>
  <c r="K22" i="8" s="1"/>
  <c r="P10" i="11"/>
  <c r="S20" i="3"/>
  <c r="N12" i="7"/>
  <c r="N30" i="7" s="1"/>
  <c r="P29" i="6"/>
  <c r="J95" i="6"/>
  <c r="J109" i="6" s="1"/>
  <c r="J123" i="6" s="1"/>
  <c r="J104" i="6"/>
  <c r="J118" i="6" s="1"/>
  <c r="J132" i="6" s="1"/>
  <c r="J102" i="6"/>
  <c r="J116" i="6" s="1"/>
  <c r="J130" i="6" s="1"/>
  <c r="J101" i="6"/>
  <c r="J115" i="6" s="1"/>
  <c r="J129" i="6" s="1"/>
  <c r="J96" i="6"/>
  <c r="J110" i="6" s="1"/>
  <c r="J124" i="6" s="1"/>
  <c r="J97" i="6"/>
  <c r="J111" i="6" s="1"/>
  <c r="J125" i="6" s="1"/>
  <c r="J100" i="6"/>
  <c r="J114" i="6" s="1"/>
  <c r="J128" i="6" s="1"/>
  <c r="J98" i="6"/>
  <c r="J112" i="6" s="1"/>
  <c r="J126" i="6" s="1"/>
  <c r="J99" i="6"/>
  <c r="J113" i="6" s="1"/>
  <c r="J127" i="6" s="1"/>
  <c r="G36" i="8"/>
  <c r="G22" i="8"/>
  <c r="R138" i="6"/>
  <c r="P12" i="6"/>
  <c r="M33" i="2"/>
  <c r="M35" i="2"/>
  <c r="R19" i="6"/>
  <c r="T151" i="6"/>
  <c r="M8" i="5"/>
  <c r="N153" i="6"/>
  <c r="N155" i="6" s="1"/>
  <c r="N157" i="6" s="1"/>
  <c r="P140" i="6"/>
  <c r="N11" i="10"/>
  <c r="N21" i="10"/>
  <c r="K51" i="2"/>
  <c r="K49" i="2"/>
  <c r="H14" i="11"/>
  <c r="H17" i="11" s="1"/>
  <c r="H23" i="11" s="1"/>
  <c r="H11" i="11"/>
  <c r="I11" i="10"/>
  <c r="I21" i="10"/>
  <c r="Q14" i="8"/>
  <c r="Q21" i="8"/>
  <c r="Q22" i="8" s="1"/>
  <c r="J11" i="11"/>
  <c r="J14" i="11"/>
  <c r="J17" i="11" s="1"/>
  <c r="J23" i="11" s="1"/>
  <c r="I39" i="8"/>
  <c r="I40" i="8" s="1"/>
  <c r="I37" i="8"/>
  <c r="I35" i="2"/>
  <c r="I33" i="2"/>
  <c r="R154" i="6"/>
  <c r="T141" i="6"/>
  <c r="P22" i="7"/>
  <c r="P51" i="7" s="1"/>
  <c r="M33" i="3"/>
  <c r="M35" i="3"/>
  <c r="I43" i="3"/>
  <c r="I36" i="3"/>
  <c r="S16" i="8"/>
  <c r="N20" i="1"/>
  <c r="N22" i="1" s="1"/>
  <c r="I21" i="5"/>
  <c r="U13" i="3"/>
  <c r="U19" i="3"/>
  <c r="N11" i="11"/>
  <c r="N14" i="11"/>
  <c r="N17" i="11" s="1"/>
  <c r="N23" i="11" s="1"/>
  <c r="O32" i="2"/>
  <c r="Y32" i="5"/>
  <c r="O20" i="2"/>
  <c r="F10" i="10"/>
  <c r="Q35" i="3"/>
  <c r="Q33" i="3"/>
  <c r="G33" i="2"/>
  <c r="G35" i="2"/>
  <c r="M14" i="8"/>
  <c r="M21" i="8"/>
  <c r="M22" i="8" s="1"/>
  <c r="R41" i="6"/>
  <c r="P64" i="6"/>
  <c r="P66" i="6" s="1"/>
  <c r="S10" i="10"/>
  <c r="K30" i="8"/>
  <c r="K31" i="8" s="1"/>
  <c r="K26" i="8"/>
  <c r="R137" i="6"/>
  <c r="P11" i="6"/>
  <c r="M21" i="5"/>
  <c r="K10" i="10"/>
  <c r="E32" i="5"/>
  <c r="L10" i="11"/>
  <c r="O32" i="3"/>
  <c r="O20" i="3"/>
  <c r="U66" i="3"/>
  <c r="U65" i="3" s="1"/>
  <c r="R20" i="11" s="1"/>
  <c r="S65" i="3"/>
  <c r="P20" i="11" s="1"/>
  <c r="V150" i="6"/>
  <c r="T18" i="6"/>
  <c r="S7" i="8"/>
  <c r="S25" i="2"/>
  <c r="S12" i="2"/>
  <c r="S65" i="2"/>
  <c r="U7" i="2"/>
  <c r="S22" i="2"/>
  <c r="P73" i="6"/>
  <c r="N75" i="6"/>
  <c r="N78" i="6" s="1"/>
  <c r="O5" i="2"/>
  <c r="A43" i="9" s="1"/>
  <c r="M5" i="8"/>
  <c r="B39" i="5"/>
  <c r="B16" i="9" s="1"/>
  <c r="B35" i="5"/>
  <c r="B27" i="5"/>
  <c r="B10" i="9" s="1"/>
  <c r="B31" i="5"/>
  <c r="B13" i="9" s="1"/>
  <c r="H5" i="11"/>
  <c r="J5" i="11" s="1"/>
  <c r="M5" i="3"/>
  <c r="I5" i="3"/>
  <c r="G5" i="3" s="1"/>
  <c r="M12" i="5"/>
  <c r="P6" i="6"/>
  <c r="P149" i="6" s="1"/>
  <c r="M23" i="5"/>
  <c r="I6" i="9"/>
  <c r="H5" i="7"/>
  <c r="I23" i="5"/>
  <c r="I20" i="5"/>
  <c r="I19" i="5"/>
  <c r="I22" i="5"/>
  <c r="I10" i="5"/>
  <c r="I12" i="5"/>
  <c r="I8" i="5"/>
  <c r="Z6" i="9"/>
  <c r="AO6" i="9" s="1"/>
  <c r="K28" i="9"/>
  <c r="Z28" i="9" s="1"/>
  <c r="AO28" i="9" s="1"/>
  <c r="L6" i="6"/>
  <c r="L94" i="6" s="1"/>
  <c r="M19" i="5"/>
  <c r="M20" i="5"/>
  <c r="M10" i="5"/>
  <c r="L5" i="7"/>
  <c r="F4" i="4"/>
  <c r="M6" i="9"/>
  <c r="AB6" i="9" s="1"/>
  <c r="M17" i="5"/>
  <c r="M22" i="5"/>
  <c r="I17" i="5"/>
  <c r="I18" i="5"/>
  <c r="S26" i="9"/>
  <c r="P88" i="6"/>
  <c r="T68" i="6"/>
  <c r="N80" i="6"/>
  <c r="L81" i="6"/>
  <c r="I32" i="9" s="1"/>
  <c r="AB35" i="9"/>
  <c r="AQ35" i="9" s="1"/>
  <c r="O35" i="9"/>
  <c r="AY30" i="9"/>
  <c r="L61" i="1"/>
  <c r="H62" i="1"/>
  <c r="L45" i="1"/>
  <c r="H46" i="1"/>
  <c r="G7" i="9"/>
  <c r="J156" i="6" l="1"/>
  <c r="J158" i="6" s="1"/>
  <c r="J157" i="6"/>
  <c r="J159" i="6" s="1"/>
  <c r="J20" i="6" s="1"/>
  <c r="J22" i="6" s="1"/>
  <c r="J28" i="6" s="1"/>
  <c r="K57" i="2"/>
  <c r="K60" i="2" s="1"/>
  <c r="K46" i="3"/>
  <c r="J143" i="6"/>
  <c r="J145" i="6" s="1"/>
  <c r="J144" i="6"/>
  <c r="J146" i="6" s="1"/>
  <c r="J13" i="6" s="1"/>
  <c r="J15" i="6" s="1"/>
  <c r="J27" i="6" s="1"/>
  <c r="K35" i="3"/>
  <c r="H17" i="7"/>
  <c r="H52" i="7" s="1"/>
  <c r="H16" i="7"/>
  <c r="H34" i="7" s="1"/>
  <c r="L16" i="7"/>
  <c r="L34" i="7" s="1"/>
  <c r="L17" i="7"/>
  <c r="N117" i="6"/>
  <c r="N131" i="6" s="1"/>
  <c r="G43" i="3"/>
  <c r="N105" i="6"/>
  <c r="R152" i="6"/>
  <c r="T139" i="6"/>
  <c r="N144" i="6"/>
  <c r="N146" i="6" s="1"/>
  <c r="N13" i="6" s="1"/>
  <c r="N15" i="6" s="1"/>
  <c r="N44" i="7"/>
  <c r="L45" i="7"/>
  <c r="N18" i="7"/>
  <c r="L19" i="7"/>
  <c r="J52" i="7"/>
  <c r="L149" i="6"/>
  <c r="L155" i="6" s="1"/>
  <c r="L156" i="6" s="1"/>
  <c r="L158" i="6" s="1"/>
  <c r="N156" i="6"/>
  <c r="N158" i="6" s="1"/>
  <c r="N159" i="6" s="1"/>
  <c r="N20" i="6" s="1"/>
  <c r="N22" i="6" s="1"/>
  <c r="N28" i="6" s="1"/>
  <c r="P94" i="6"/>
  <c r="P95" i="6" s="1"/>
  <c r="L136" i="6"/>
  <c r="L142" i="6" s="1"/>
  <c r="L143" i="6" s="1"/>
  <c r="L145" i="6" s="1"/>
  <c r="P136" i="6"/>
  <c r="P142" i="6" s="1"/>
  <c r="J119" i="6"/>
  <c r="J32" i="6" s="1"/>
  <c r="J105" i="6"/>
  <c r="J85" i="6" s="1"/>
  <c r="J133" i="6"/>
  <c r="J87" i="6" s="1"/>
  <c r="J89" i="6" s="1"/>
  <c r="S32" i="3"/>
  <c r="S66" i="8"/>
  <c r="S67" i="8" s="1"/>
  <c r="O21" i="9"/>
  <c r="M39" i="9"/>
  <c r="AB21" i="9"/>
  <c r="AO21" i="9"/>
  <c r="AO39" i="9" s="1"/>
  <c r="AO41" i="9" s="1"/>
  <c r="Z39" i="9"/>
  <c r="Q36" i="2"/>
  <c r="Q43" i="2"/>
  <c r="Y37" i="5"/>
  <c r="T138" i="6"/>
  <c r="R12" i="6"/>
  <c r="R29" i="6"/>
  <c r="P12" i="7"/>
  <c r="P30" i="7" s="1"/>
  <c r="O33" i="3"/>
  <c r="O35" i="3"/>
  <c r="S24" i="8"/>
  <c r="S26" i="2"/>
  <c r="S27" i="2" s="1"/>
  <c r="U65" i="2"/>
  <c r="U66" i="8" s="1"/>
  <c r="U7" i="8"/>
  <c r="U25" i="2"/>
  <c r="K11" i="10"/>
  <c r="G39" i="8"/>
  <c r="G40" i="8" s="1"/>
  <c r="G37" i="8"/>
  <c r="V141" i="6"/>
  <c r="T154" i="6"/>
  <c r="U15" i="2"/>
  <c r="U16" i="8" s="1"/>
  <c r="I43" i="2"/>
  <c r="I36" i="2"/>
  <c r="S13" i="2"/>
  <c r="S19" i="2"/>
  <c r="E37" i="5"/>
  <c r="Q43" i="3"/>
  <c r="Q36" i="3"/>
  <c r="U10" i="2"/>
  <c r="U10" i="8" s="1"/>
  <c r="R11" i="6"/>
  <c r="T137" i="6"/>
  <c r="G36" i="2"/>
  <c r="G43" i="2"/>
  <c r="U29" i="2"/>
  <c r="P10" i="10"/>
  <c r="F11" i="10"/>
  <c r="F21" i="10"/>
  <c r="S18" i="8"/>
  <c r="S12" i="8"/>
  <c r="S13" i="8"/>
  <c r="S13" i="10"/>
  <c r="S16" i="10"/>
  <c r="X10" i="10"/>
  <c r="X11" i="10" s="1"/>
  <c r="R22" i="7"/>
  <c r="R51" i="7" s="1"/>
  <c r="K56" i="3"/>
  <c r="K57" i="3"/>
  <c r="S35" i="3"/>
  <c r="S33" i="3"/>
  <c r="P69" i="6"/>
  <c r="M31" i="9" s="1"/>
  <c r="AB31" i="9" s="1"/>
  <c r="AQ31" i="9" s="1"/>
  <c r="O33" i="2"/>
  <c r="O35" i="2"/>
  <c r="U22" i="2"/>
  <c r="P14" i="11"/>
  <c r="P17" i="11" s="1"/>
  <c r="P23" i="11" s="1"/>
  <c r="P11" i="11"/>
  <c r="L11" i="11"/>
  <c r="L14" i="11"/>
  <c r="L17" i="11" s="1"/>
  <c r="L23" i="11" s="1"/>
  <c r="T41" i="6"/>
  <c r="R64" i="6"/>
  <c r="R66" i="6" s="1"/>
  <c r="R69" i="6" s="1"/>
  <c r="O31" i="9" s="1"/>
  <c r="AD31" i="9" s="1"/>
  <c r="P153" i="6"/>
  <c r="R140" i="6"/>
  <c r="S34" i="8"/>
  <c r="V18" i="6"/>
  <c r="X150" i="6"/>
  <c r="X18" i="6" s="1"/>
  <c r="K43" i="3"/>
  <c r="K45" i="3" s="1"/>
  <c r="K36" i="3"/>
  <c r="R10" i="11"/>
  <c r="U20" i="3"/>
  <c r="U32" i="3"/>
  <c r="K36" i="8"/>
  <c r="M36" i="3"/>
  <c r="M43" i="3"/>
  <c r="E35" i="5"/>
  <c r="Y35" i="5"/>
  <c r="M36" i="2"/>
  <c r="M43" i="2"/>
  <c r="V151" i="6"/>
  <c r="T19" i="6"/>
  <c r="R73" i="6"/>
  <c r="P75" i="6"/>
  <c r="P78" i="6" s="1"/>
  <c r="O5" i="3"/>
  <c r="L5" i="11"/>
  <c r="N5" i="11" s="1"/>
  <c r="P5" i="11" s="1"/>
  <c r="R5" i="11" s="1"/>
  <c r="T5" i="11"/>
  <c r="D5" i="10"/>
  <c r="I5" i="10" s="1"/>
  <c r="N5" i="10" s="1"/>
  <c r="S5" i="10" s="1"/>
  <c r="X5" i="10" s="1"/>
  <c r="B36" i="5"/>
  <c r="A49" i="9"/>
  <c r="B21" i="9"/>
  <c r="B28" i="5"/>
  <c r="B11" i="9" s="1"/>
  <c r="B20" i="9"/>
  <c r="Q5" i="2"/>
  <c r="B32" i="5"/>
  <c r="B14" i="9" s="1"/>
  <c r="B22" i="9"/>
  <c r="B40" i="5"/>
  <c r="B17" i="9" s="1"/>
  <c r="B39" i="9"/>
  <c r="O5" i="8"/>
  <c r="F5" i="10" s="1"/>
  <c r="K5" i="10" s="1"/>
  <c r="P5" i="10" s="1"/>
  <c r="U5" i="10" s="1"/>
  <c r="Z5" i="10" s="1"/>
  <c r="M28" i="9"/>
  <c r="AB28" i="9" s="1"/>
  <c r="AQ28" i="9" s="1"/>
  <c r="AQ6" i="9"/>
  <c r="O6" i="9"/>
  <c r="O18" i="5"/>
  <c r="O12" i="5"/>
  <c r="O8" i="5"/>
  <c r="R6" i="6"/>
  <c r="O23" i="5"/>
  <c r="O21" i="5"/>
  <c r="O20" i="5"/>
  <c r="N5" i="7"/>
  <c r="O22" i="5"/>
  <c r="O10" i="5"/>
  <c r="O17" i="5"/>
  <c r="O19" i="5"/>
  <c r="I28" i="9"/>
  <c r="X28" i="9" s="1"/>
  <c r="AM28" i="9" s="1"/>
  <c r="X6" i="9"/>
  <c r="AM6" i="9" s="1"/>
  <c r="N87" i="6"/>
  <c r="N89" i="6" s="1"/>
  <c r="N133" i="6"/>
  <c r="L98" i="6"/>
  <c r="L112" i="6" s="1"/>
  <c r="L126" i="6" s="1"/>
  <c r="L104" i="6"/>
  <c r="L118" i="6" s="1"/>
  <c r="L132" i="6" s="1"/>
  <c r="L99" i="6"/>
  <c r="L113" i="6" s="1"/>
  <c r="L127" i="6" s="1"/>
  <c r="L103" i="6"/>
  <c r="L100" i="6"/>
  <c r="L114" i="6" s="1"/>
  <c r="L128" i="6" s="1"/>
  <c r="L101" i="6"/>
  <c r="L115" i="6" s="1"/>
  <c r="L129" i="6" s="1"/>
  <c r="L96" i="6"/>
  <c r="L110" i="6" s="1"/>
  <c r="L124" i="6" s="1"/>
  <c r="L102" i="6"/>
  <c r="L116" i="6" s="1"/>
  <c r="L130" i="6" s="1"/>
  <c r="L97" i="6"/>
  <c r="L111" i="6" s="1"/>
  <c r="L125" i="6" s="1"/>
  <c r="L95" i="6"/>
  <c r="P155" i="6"/>
  <c r="Q35" i="9"/>
  <c r="AD35" i="9"/>
  <c r="AS35" i="9" s="1"/>
  <c r="X32" i="9"/>
  <c r="P80" i="6"/>
  <c r="N81" i="6"/>
  <c r="K32" i="9" s="1"/>
  <c r="V68" i="6"/>
  <c r="R88" i="6"/>
  <c r="U26" i="9"/>
  <c r="H63" i="1"/>
  <c r="L62" i="1"/>
  <c r="H47" i="1"/>
  <c r="L46" i="1"/>
  <c r="K61" i="2" l="1"/>
  <c r="K63" i="2"/>
  <c r="N119" i="6"/>
  <c r="N32" i="6" s="1"/>
  <c r="N86" i="6"/>
  <c r="F11" i="7"/>
  <c r="F29" i="7" s="1"/>
  <c r="P102" i="6"/>
  <c r="P116" i="6" s="1"/>
  <c r="P130" i="6" s="1"/>
  <c r="P99" i="6"/>
  <c r="P113" i="6" s="1"/>
  <c r="P127" i="6" s="1"/>
  <c r="J86" i="6"/>
  <c r="N16" i="7"/>
  <c r="N34" i="7" s="1"/>
  <c r="N17" i="7"/>
  <c r="L157" i="6"/>
  <c r="T152" i="6"/>
  <c r="V139" i="6"/>
  <c r="L159" i="6"/>
  <c r="L20" i="6" s="1"/>
  <c r="L22" i="6" s="1"/>
  <c r="L28" i="6" s="1"/>
  <c r="L144" i="6"/>
  <c r="L146" i="6" s="1"/>
  <c r="L13" i="6" s="1"/>
  <c r="L15" i="6" s="1"/>
  <c r="H11" i="7" s="1"/>
  <c r="H29" i="7" s="1"/>
  <c r="N27" i="6"/>
  <c r="J11" i="7"/>
  <c r="J29" i="7" s="1"/>
  <c r="P44" i="7"/>
  <c r="N45" i="7"/>
  <c r="N19" i="7"/>
  <c r="L52" i="7"/>
  <c r="P18" i="7"/>
  <c r="P97" i="6"/>
  <c r="P111" i="6" s="1"/>
  <c r="P125" i="6" s="1"/>
  <c r="P101" i="6"/>
  <c r="P115" i="6" s="1"/>
  <c r="P129" i="6" s="1"/>
  <c r="P96" i="6"/>
  <c r="P110" i="6" s="1"/>
  <c r="P124" i="6" s="1"/>
  <c r="P100" i="6"/>
  <c r="P114" i="6" s="1"/>
  <c r="P128" i="6" s="1"/>
  <c r="P98" i="6"/>
  <c r="P112" i="6" s="1"/>
  <c r="P126" i="6" s="1"/>
  <c r="P104" i="6"/>
  <c r="P118" i="6" s="1"/>
  <c r="P132" i="6" s="1"/>
  <c r="P103" i="6"/>
  <c r="P85" i="6" s="1"/>
  <c r="AB39" i="9"/>
  <c r="AQ21" i="9"/>
  <c r="AQ39" i="9" s="1"/>
  <c r="AQ41" i="9" s="1"/>
  <c r="AD21" i="9"/>
  <c r="O39" i="9"/>
  <c r="Q21" i="9"/>
  <c r="Q46" i="2"/>
  <c r="Q48" i="2"/>
  <c r="T11" i="6"/>
  <c r="V137" i="6"/>
  <c r="S43" i="3"/>
  <c r="S36" i="3"/>
  <c r="S32" i="2"/>
  <c r="S20" i="2"/>
  <c r="R153" i="6"/>
  <c r="T140" i="6"/>
  <c r="S21" i="8"/>
  <c r="S22" i="8" s="1"/>
  <c r="S14" i="8"/>
  <c r="P11" i="10"/>
  <c r="P21" i="10"/>
  <c r="Z10" i="10"/>
  <c r="Z11" i="10" s="1"/>
  <c r="O43" i="3"/>
  <c r="O36" i="3"/>
  <c r="E36" i="5"/>
  <c r="K21" i="10"/>
  <c r="U33" i="3"/>
  <c r="U35" i="3"/>
  <c r="T12" i="6"/>
  <c r="V138" i="6"/>
  <c r="X151" i="6"/>
  <c r="X19" i="6" s="1"/>
  <c r="V19" i="6"/>
  <c r="T22" i="7"/>
  <c r="T51" i="7" s="1"/>
  <c r="U33" i="8"/>
  <c r="U34" i="8" s="1"/>
  <c r="U13" i="8"/>
  <c r="U12" i="8"/>
  <c r="X7" i="8"/>
  <c r="U18" i="8"/>
  <c r="R12" i="7"/>
  <c r="R30" i="7" s="1"/>
  <c r="N41" i="4" s="1"/>
  <c r="P41" i="4" s="1"/>
  <c r="T29" i="6"/>
  <c r="R14" i="11"/>
  <c r="R17" i="11" s="1"/>
  <c r="R23" i="11" s="1"/>
  <c r="H37" i="11" s="1"/>
  <c r="R11" i="11"/>
  <c r="U12" i="2"/>
  <c r="V41" i="6"/>
  <c r="L15" i="4" s="1"/>
  <c r="P15" i="4" s="1"/>
  <c r="T64" i="6"/>
  <c r="T66" i="6" s="1"/>
  <c r="T69" i="6" s="1"/>
  <c r="Q31" i="9" s="1"/>
  <c r="I48" i="2"/>
  <c r="I46" i="2"/>
  <c r="U67" i="8"/>
  <c r="M48" i="2"/>
  <c r="M51" i="2" s="1"/>
  <c r="M46" i="2"/>
  <c r="K48" i="3"/>
  <c r="O36" i="2"/>
  <c r="Y36" i="5"/>
  <c r="O43" i="2"/>
  <c r="X141" i="6"/>
  <c r="X154" i="6" s="1"/>
  <c r="V154" i="6"/>
  <c r="U24" i="8"/>
  <c r="U26" i="2"/>
  <c r="U27" i="2" s="1"/>
  <c r="G46" i="2"/>
  <c r="G48" i="2"/>
  <c r="K37" i="8"/>
  <c r="K39" i="8"/>
  <c r="K40" i="8" s="1"/>
  <c r="R75" i="6"/>
  <c r="R78" i="6" s="1"/>
  <c r="T73" i="6"/>
  <c r="B29" i="5"/>
  <c r="B41" i="5"/>
  <c r="B37" i="5"/>
  <c r="S5" i="2"/>
  <c r="B33" i="5"/>
  <c r="Q5" i="8"/>
  <c r="A25" i="11"/>
  <c r="A41" i="11"/>
  <c r="T10" i="11"/>
  <c r="T7" i="11"/>
  <c r="T14" i="11"/>
  <c r="B25" i="9"/>
  <c r="Q5" i="3"/>
  <c r="S5" i="3" s="1"/>
  <c r="U5" i="3" s="1"/>
  <c r="R149" i="6"/>
  <c r="R155" i="6" s="1"/>
  <c r="R156" i="6" s="1"/>
  <c r="R158" i="6" s="1"/>
  <c r="R94" i="6"/>
  <c r="R136" i="6"/>
  <c r="R142" i="6" s="1"/>
  <c r="R143" i="6" s="1"/>
  <c r="R145" i="6" s="1"/>
  <c r="AD6" i="9"/>
  <c r="AS6" i="9" s="1"/>
  <c r="O28" i="9"/>
  <c r="AD28" i="9" s="1"/>
  <c r="AS28" i="9" s="1"/>
  <c r="Q8" i="5"/>
  <c r="T6" i="6"/>
  <c r="P5" i="7"/>
  <c r="Q12" i="5"/>
  <c r="Q18" i="5"/>
  <c r="Q23" i="5"/>
  <c r="Q19" i="5"/>
  <c r="Q10" i="5"/>
  <c r="Q6" i="9"/>
  <c r="Q21" i="5"/>
  <c r="Q17" i="5"/>
  <c r="Q20" i="5"/>
  <c r="Q22" i="5"/>
  <c r="P143" i="6"/>
  <c r="P145" i="6" s="1"/>
  <c r="P144" i="6"/>
  <c r="L109" i="6"/>
  <c r="L105" i="6"/>
  <c r="P109" i="6"/>
  <c r="L117" i="6"/>
  <c r="L85" i="6"/>
  <c r="P157" i="6"/>
  <c r="P156" i="6"/>
  <c r="P158" i="6" s="1"/>
  <c r="Z32" i="9"/>
  <c r="AF31" i="9"/>
  <c r="R80" i="6"/>
  <c r="P81" i="6"/>
  <c r="M32" i="9" s="1"/>
  <c r="T88" i="6"/>
  <c r="AM32" i="9"/>
  <c r="X68" i="6"/>
  <c r="AS31" i="9"/>
  <c r="AF35" i="9"/>
  <c r="AU35" i="9" s="1"/>
  <c r="S35" i="9"/>
  <c r="H64" i="1"/>
  <c r="L63" i="1"/>
  <c r="H48" i="1"/>
  <c r="L47" i="1"/>
  <c r="P16" i="7" l="1"/>
  <c r="P17" i="7"/>
  <c r="P117" i="6"/>
  <c r="P119" i="6" s="1"/>
  <c r="V152" i="6"/>
  <c r="X139" i="6"/>
  <c r="X152" i="6" s="1"/>
  <c r="P45" i="7"/>
  <c r="R44" i="7"/>
  <c r="R18" i="7"/>
  <c r="P34" i="7"/>
  <c r="P19" i="7"/>
  <c r="N52" i="7"/>
  <c r="T23" i="11"/>
  <c r="H39" i="11"/>
  <c r="J38" i="11"/>
  <c r="F38" i="11"/>
  <c r="J39" i="11"/>
  <c r="P105" i="6"/>
  <c r="R144" i="6"/>
  <c r="R146" i="6" s="1"/>
  <c r="R13" i="6" s="1"/>
  <c r="R15" i="6" s="1"/>
  <c r="R157" i="6"/>
  <c r="R159" i="6" s="1"/>
  <c r="R20" i="6" s="1"/>
  <c r="R22" i="6" s="1"/>
  <c r="R28" i="6" s="1"/>
  <c r="T17" i="11"/>
  <c r="J37" i="11"/>
  <c r="F39" i="11"/>
  <c r="AF21" i="9"/>
  <c r="Q39" i="9"/>
  <c r="S21" i="9"/>
  <c r="AD39" i="9"/>
  <c r="AS21" i="9"/>
  <c r="AS39" i="9" s="1"/>
  <c r="AS41" i="9" s="1"/>
  <c r="Q49" i="2"/>
  <c r="Q51" i="2"/>
  <c r="S46" i="2"/>
  <c r="Q57" i="2"/>
  <c r="Q56" i="2"/>
  <c r="Q60" i="2" s="1"/>
  <c r="Q46" i="3"/>
  <c r="U36" i="3"/>
  <c r="U43" i="3"/>
  <c r="I46" i="3"/>
  <c r="I57" i="2"/>
  <c r="I56" i="2"/>
  <c r="I60" i="2" s="1"/>
  <c r="U13" i="2"/>
  <c r="U19" i="2"/>
  <c r="V29" i="6"/>
  <c r="T12" i="7"/>
  <c r="T30" i="7" s="1"/>
  <c r="G49" i="2"/>
  <c r="G51" i="2"/>
  <c r="K49" i="3"/>
  <c r="K51" i="3"/>
  <c r="K60" i="3"/>
  <c r="I51" i="2"/>
  <c r="I49" i="2"/>
  <c r="M57" i="2"/>
  <c r="M56" i="2"/>
  <c r="M60" i="2" s="1"/>
  <c r="M46" i="3"/>
  <c r="X138" i="6"/>
  <c r="X12" i="6" s="1"/>
  <c r="V12" i="6"/>
  <c r="D16" i="10"/>
  <c r="M49" i="2"/>
  <c r="X137" i="6"/>
  <c r="X11" i="6" s="1"/>
  <c r="V11" i="6"/>
  <c r="U21" i="8"/>
  <c r="X13" i="8"/>
  <c r="U14" i="8"/>
  <c r="G46" i="3"/>
  <c r="G56" i="2"/>
  <c r="G57" i="2"/>
  <c r="S33" i="2"/>
  <c r="S35" i="2"/>
  <c r="H38" i="11"/>
  <c r="V140" i="6"/>
  <c r="T153" i="6"/>
  <c r="V64" i="6"/>
  <c r="V66" i="6" s="1"/>
  <c r="X41" i="6"/>
  <c r="X64" i="6" s="1"/>
  <c r="X66" i="6" s="1"/>
  <c r="X69" i="6" s="1"/>
  <c r="U31" i="9" s="1"/>
  <c r="AJ31" i="9" s="1"/>
  <c r="AY31" i="9" s="1"/>
  <c r="O46" i="2"/>
  <c r="O48" i="2"/>
  <c r="F31" i="11"/>
  <c r="P31" i="11" s="1"/>
  <c r="P38" i="11" s="1"/>
  <c r="J31" i="11"/>
  <c r="T31" i="11" s="1"/>
  <c r="T38" i="11" s="1"/>
  <c r="H53" i="11"/>
  <c r="J55" i="11"/>
  <c r="H30" i="11"/>
  <c r="R30" i="11" s="1"/>
  <c r="R37" i="11" s="1"/>
  <c r="J48" i="11"/>
  <c r="T48" i="11" s="1"/>
  <c r="T55" i="11" s="1"/>
  <c r="F46" i="11"/>
  <c r="P46" i="11" s="1"/>
  <c r="P53" i="11" s="1"/>
  <c r="H54" i="11"/>
  <c r="H55" i="11"/>
  <c r="J32" i="11"/>
  <c r="T32" i="11" s="1"/>
  <c r="T39" i="11" s="1"/>
  <c r="J54" i="11"/>
  <c r="H32" i="11"/>
  <c r="R32" i="11" s="1"/>
  <c r="R39" i="11" s="1"/>
  <c r="J47" i="11"/>
  <c r="T47" i="11" s="1"/>
  <c r="T54" i="11" s="1"/>
  <c r="H46" i="11"/>
  <c r="R46" i="11" s="1"/>
  <c r="R53" i="11" s="1"/>
  <c r="F48" i="11"/>
  <c r="P48" i="11" s="1"/>
  <c r="P55" i="11" s="1"/>
  <c r="F47" i="11"/>
  <c r="P47" i="11" s="1"/>
  <c r="P54" i="11" s="1"/>
  <c r="H47" i="11"/>
  <c r="R47" i="11" s="1"/>
  <c r="R54" i="11" s="1"/>
  <c r="J53" i="11"/>
  <c r="F53" i="11"/>
  <c r="J30" i="11"/>
  <c r="T30" i="11" s="1"/>
  <c r="T37" i="11" s="1"/>
  <c r="F30" i="11"/>
  <c r="P30" i="11" s="1"/>
  <c r="P37" i="11" s="1"/>
  <c r="H31" i="11"/>
  <c r="R31" i="11" s="1"/>
  <c r="R38" i="11" s="1"/>
  <c r="H48" i="11"/>
  <c r="R48" i="11" s="1"/>
  <c r="R55" i="11" s="1"/>
  <c r="J46" i="11"/>
  <c r="T46" i="11" s="1"/>
  <c r="T53" i="11" s="1"/>
  <c r="F55" i="11"/>
  <c r="F54" i="11"/>
  <c r="F32" i="11"/>
  <c r="P32" i="11" s="1"/>
  <c r="P39" i="11" s="1"/>
  <c r="F37" i="11"/>
  <c r="T75" i="6"/>
  <c r="T78" i="6" s="1"/>
  <c r="V73" i="6"/>
  <c r="X32" i="3"/>
  <c r="X19" i="3"/>
  <c r="X35" i="3"/>
  <c r="X43" i="3"/>
  <c r="X12" i="3"/>
  <c r="X7" i="3"/>
  <c r="X5" i="3"/>
  <c r="S5" i="8"/>
  <c r="U5" i="2"/>
  <c r="T149" i="6"/>
  <c r="T94" i="6"/>
  <c r="T136" i="6"/>
  <c r="T142" i="6" s="1"/>
  <c r="T143" i="6" s="1"/>
  <c r="T145" i="6" s="1"/>
  <c r="AF6" i="9"/>
  <c r="AU6" i="9" s="1"/>
  <c r="Q28" i="9"/>
  <c r="AF28" i="9" s="1"/>
  <c r="AU28" i="9" s="1"/>
  <c r="P146" i="6"/>
  <c r="P13" i="6" s="1"/>
  <c r="P15" i="6" s="1"/>
  <c r="S8" i="5"/>
  <c r="S23" i="5"/>
  <c r="S20" i="5"/>
  <c r="S19" i="5"/>
  <c r="S21" i="5"/>
  <c r="S17" i="5"/>
  <c r="R5" i="7"/>
  <c r="S6" i="9"/>
  <c r="V6" i="6"/>
  <c r="S10" i="5"/>
  <c r="S12" i="5"/>
  <c r="S22" i="5"/>
  <c r="S18" i="5"/>
  <c r="R95" i="6"/>
  <c r="R100" i="6"/>
  <c r="R114" i="6" s="1"/>
  <c r="R128" i="6" s="1"/>
  <c r="R96" i="6"/>
  <c r="R110" i="6" s="1"/>
  <c r="R124" i="6" s="1"/>
  <c r="R99" i="6"/>
  <c r="R113" i="6" s="1"/>
  <c r="R127" i="6" s="1"/>
  <c r="R104" i="6"/>
  <c r="R118" i="6" s="1"/>
  <c r="R132" i="6" s="1"/>
  <c r="R101" i="6"/>
  <c r="R115" i="6" s="1"/>
  <c r="R129" i="6" s="1"/>
  <c r="R98" i="6"/>
  <c r="R112" i="6" s="1"/>
  <c r="R126" i="6" s="1"/>
  <c r="R103" i="6"/>
  <c r="R102" i="6"/>
  <c r="R116" i="6" s="1"/>
  <c r="R130" i="6" s="1"/>
  <c r="R97" i="6"/>
  <c r="R111" i="6" s="1"/>
  <c r="R125" i="6" s="1"/>
  <c r="L131" i="6"/>
  <c r="L87" i="6" s="1"/>
  <c r="L89" i="6" s="1"/>
  <c r="L86" i="6"/>
  <c r="P123" i="6"/>
  <c r="L27" i="6"/>
  <c r="P159" i="6"/>
  <c r="P20" i="6" s="1"/>
  <c r="P22" i="6" s="1"/>
  <c r="P28" i="6" s="1"/>
  <c r="L119" i="6"/>
  <c r="L32" i="6" s="1"/>
  <c r="L123" i="6"/>
  <c r="L133" i="6" s="1"/>
  <c r="P86" i="6"/>
  <c r="P131" i="6"/>
  <c r="P87" i="6" s="1"/>
  <c r="V88" i="6"/>
  <c r="AB32" i="9"/>
  <c r="T80" i="6"/>
  <c r="R81" i="6"/>
  <c r="O32" i="9" s="1"/>
  <c r="AU31" i="9"/>
  <c r="AH35" i="9"/>
  <c r="AW35" i="9" s="1"/>
  <c r="U35" i="9"/>
  <c r="AJ35" i="9" s="1"/>
  <c r="AY35" i="9" s="1"/>
  <c r="AO32" i="9"/>
  <c r="H65" i="1"/>
  <c r="L64" i="1"/>
  <c r="H49" i="1"/>
  <c r="L48" i="1"/>
  <c r="R16" i="7" l="1"/>
  <c r="R17" i="7"/>
  <c r="N36" i="4" s="1"/>
  <c r="P36" i="4" s="1"/>
  <c r="V69" i="6"/>
  <c r="S31" i="9" s="1"/>
  <c r="AH31" i="9" s="1"/>
  <c r="M25" i="8"/>
  <c r="T155" i="6"/>
  <c r="T156" i="6" s="1"/>
  <c r="T158" i="6" s="1"/>
  <c r="N11" i="7"/>
  <c r="N29" i="7" s="1"/>
  <c r="R27" i="6"/>
  <c r="P27" i="6"/>
  <c r="L11" i="7"/>
  <c r="L29" i="7" s="1"/>
  <c r="T44" i="7"/>
  <c r="T45" i="7" s="1"/>
  <c r="R45" i="7"/>
  <c r="R19" i="7"/>
  <c r="P52" i="7"/>
  <c r="T18" i="7"/>
  <c r="R34" i="7"/>
  <c r="AH21" i="9"/>
  <c r="S39" i="9"/>
  <c r="U21" i="9"/>
  <c r="AF39" i="9"/>
  <c r="AU21" i="9"/>
  <c r="AU39" i="9" s="1"/>
  <c r="AU41" i="9" s="1"/>
  <c r="Q61" i="2"/>
  <c r="Q63" i="2"/>
  <c r="Q56" i="3"/>
  <c r="Q57" i="3"/>
  <c r="Q45" i="3"/>
  <c r="Q48" i="3" s="1"/>
  <c r="S57" i="2"/>
  <c r="U46" i="2"/>
  <c r="S56" i="2"/>
  <c r="S46" i="3"/>
  <c r="Q61" i="8"/>
  <c r="Y41" i="5"/>
  <c r="W41" i="5" s="1"/>
  <c r="G60" i="2"/>
  <c r="G61" i="2" s="1"/>
  <c r="D13" i="10"/>
  <c r="M63" i="2"/>
  <c r="M61" i="2"/>
  <c r="O46" i="3"/>
  <c r="O57" i="2"/>
  <c r="O56" i="2"/>
  <c r="D17" i="10"/>
  <c r="K63" i="3"/>
  <c r="K61" i="3"/>
  <c r="X21" i="8"/>
  <c r="U22" i="8"/>
  <c r="S36" i="2"/>
  <c r="S43" i="2"/>
  <c r="X29" i="6"/>
  <c r="G57" i="3"/>
  <c r="G56" i="3"/>
  <c r="G45" i="3"/>
  <c r="G48" i="3" s="1"/>
  <c r="U32" i="2"/>
  <c r="X32" i="2" s="1"/>
  <c r="U20" i="2"/>
  <c r="V153" i="6"/>
  <c r="X140" i="6"/>
  <c r="X153" i="6" s="1"/>
  <c r="O49" i="2"/>
  <c r="O51" i="2"/>
  <c r="I20" i="9"/>
  <c r="F16" i="10"/>
  <c r="I63" i="2"/>
  <c r="I61" i="2"/>
  <c r="M61" i="8"/>
  <c r="Y39" i="5"/>
  <c r="W39" i="5" s="1"/>
  <c r="G16" i="9" s="1"/>
  <c r="I45" i="3"/>
  <c r="I48" i="3" s="1"/>
  <c r="I57" i="3"/>
  <c r="I56" i="3"/>
  <c r="M45" i="3"/>
  <c r="M48" i="3" s="1"/>
  <c r="M56" i="3"/>
  <c r="M57" i="3"/>
  <c r="X73" i="6"/>
  <c r="X75" i="6" s="1"/>
  <c r="X78" i="6" s="1"/>
  <c r="V75" i="6"/>
  <c r="V78" i="6" s="1"/>
  <c r="X19" i="2"/>
  <c r="X12" i="2"/>
  <c r="U5" i="8"/>
  <c r="X5" i="8" s="1"/>
  <c r="X7" i="2"/>
  <c r="X5" i="2"/>
  <c r="R109" i="6"/>
  <c r="R105" i="6"/>
  <c r="U6" i="9"/>
  <c r="U17" i="5"/>
  <c r="U21" i="5"/>
  <c r="U23" i="5"/>
  <c r="U20" i="5"/>
  <c r="T5" i="7"/>
  <c r="U19" i="5"/>
  <c r="X6" i="6"/>
  <c r="U12" i="5"/>
  <c r="U22" i="5"/>
  <c r="U10" i="5"/>
  <c r="U18" i="5"/>
  <c r="U8" i="5"/>
  <c r="T144" i="6"/>
  <c r="T146" i="6" s="1"/>
  <c r="T13" i="6" s="1"/>
  <c r="T15" i="6" s="1"/>
  <c r="T104" i="6"/>
  <c r="T118" i="6" s="1"/>
  <c r="T132" i="6" s="1"/>
  <c r="T98" i="6"/>
  <c r="T112" i="6" s="1"/>
  <c r="T126" i="6" s="1"/>
  <c r="T97" i="6"/>
  <c r="T111" i="6" s="1"/>
  <c r="T125" i="6" s="1"/>
  <c r="T95" i="6"/>
  <c r="T102" i="6"/>
  <c r="T116" i="6" s="1"/>
  <c r="T130" i="6" s="1"/>
  <c r="T96" i="6"/>
  <c r="T110" i="6" s="1"/>
  <c r="T124" i="6" s="1"/>
  <c r="T99" i="6"/>
  <c r="T113" i="6" s="1"/>
  <c r="T127" i="6" s="1"/>
  <c r="T101" i="6"/>
  <c r="T115" i="6" s="1"/>
  <c r="T129" i="6" s="1"/>
  <c r="T103" i="6"/>
  <c r="T100" i="6"/>
  <c r="T114" i="6" s="1"/>
  <c r="T128" i="6" s="1"/>
  <c r="V136" i="6"/>
  <c r="V142" i="6" s="1"/>
  <c r="V144" i="6" s="1"/>
  <c r="V94" i="6"/>
  <c r="V149" i="6"/>
  <c r="V155" i="6" s="1"/>
  <c r="V156" i="6" s="1"/>
  <c r="V158" i="6" s="1"/>
  <c r="R117" i="6"/>
  <c r="R85" i="6"/>
  <c r="AH6" i="9"/>
  <c r="AW6" i="9" s="1"/>
  <c r="S28" i="9"/>
  <c r="AH28" i="9" s="1"/>
  <c r="AW28" i="9" s="1"/>
  <c r="P89" i="6"/>
  <c r="P32" i="6"/>
  <c r="P133" i="6"/>
  <c r="X88" i="6"/>
  <c r="AQ32" i="9"/>
  <c r="AD32" i="9"/>
  <c r="T81" i="6"/>
  <c r="Q32" i="9" s="1"/>
  <c r="V80" i="6"/>
  <c r="AW31" i="9"/>
  <c r="L65" i="1"/>
  <c r="H66" i="1"/>
  <c r="H50" i="1"/>
  <c r="L49" i="1"/>
  <c r="O60" i="2" l="1"/>
  <c r="T157" i="6"/>
  <c r="T159" i="6" s="1"/>
  <c r="T20" i="6" s="1"/>
  <c r="T22" i="6" s="1"/>
  <c r="T28" i="6" s="1"/>
  <c r="O25" i="8"/>
  <c r="M26" i="8"/>
  <c r="T16" i="7"/>
  <c r="T34" i="7" s="1"/>
  <c r="T17" i="7"/>
  <c r="G63" i="2"/>
  <c r="T27" i="6"/>
  <c r="P11" i="7"/>
  <c r="P29" i="7" s="1"/>
  <c r="T19" i="7"/>
  <c r="R52" i="7"/>
  <c r="AJ21" i="9"/>
  <c r="U39" i="9"/>
  <c r="AH39" i="9"/>
  <c r="AW21" i="9"/>
  <c r="AW39" i="9" s="1"/>
  <c r="AW41" i="9" s="1"/>
  <c r="U46" i="3"/>
  <c r="U56" i="2"/>
  <c r="U57" i="2"/>
  <c r="Q49" i="3"/>
  <c r="Q60" i="3"/>
  <c r="Q51" i="3"/>
  <c r="E41" i="5" s="1"/>
  <c r="S56" i="3"/>
  <c r="S57" i="3"/>
  <c r="S45" i="3"/>
  <c r="S48" i="3" s="1"/>
  <c r="D14" i="10"/>
  <c r="I51" i="3"/>
  <c r="I49" i="3"/>
  <c r="I60" i="3"/>
  <c r="U35" i="2"/>
  <c r="U33" i="2"/>
  <c r="M60" i="3"/>
  <c r="I16" i="10"/>
  <c r="M51" i="3"/>
  <c r="E39" i="5" s="1"/>
  <c r="M49" i="3"/>
  <c r="G60" i="3"/>
  <c r="G49" i="3"/>
  <c r="G51" i="3"/>
  <c r="S45" i="2"/>
  <c r="S48" i="2" s="1"/>
  <c r="O45" i="3"/>
  <c r="O48" i="3" s="1"/>
  <c r="O57" i="3"/>
  <c r="O56" i="3"/>
  <c r="V157" i="6"/>
  <c r="V159" i="6" s="1"/>
  <c r="V20" i="6" s="1"/>
  <c r="V22" i="6" s="1"/>
  <c r="V28" i="6" s="1"/>
  <c r="F17" i="10"/>
  <c r="F13" i="10"/>
  <c r="O63" i="2"/>
  <c r="O61" i="2"/>
  <c r="K20" i="9"/>
  <c r="I22" i="9"/>
  <c r="X20" i="9"/>
  <c r="Y40" i="5"/>
  <c r="W40" i="5" s="1"/>
  <c r="G17" i="9" s="1"/>
  <c r="G43" i="9"/>
  <c r="G49" i="9" s="1"/>
  <c r="O61" i="8"/>
  <c r="V143" i="6"/>
  <c r="V145" i="6" s="1"/>
  <c r="V146" i="6" s="1"/>
  <c r="V13" i="6" s="1"/>
  <c r="V15" i="6" s="1"/>
  <c r="T85" i="6"/>
  <c r="T117" i="6"/>
  <c r="T105" i="6"/>
  <c r="T109" i="6"/>
  <c r="X94" i="6"/>
  <c r="X149" i="6"/>
  <c r="X155" i="6" s="1"/>
  <c r="X157" i="6" s="1"/>
  <c r="X136" i="6"/>
  <c r="X142" i="6" s="1"/>
  <c r="X143" i="6" s="1"/>
  <c r="X145" i="6" s="1"/>
  <c r="AJ6" i="9"/>
  <c r="AY6" i="9" s="1"/>
  <c r="U28" i="9"/>
  <c r="AJ28" i="9" s="1"/>
  <c r="AY28" i="9" s="1"/>
  <c r="R86" i="6"/>
  <c r="R131" i="6"/>
  <c r="R87" i="6" s="1"/>
  <c r="R89" i="6" s="1"/>
  <c r="R119" i="6"/>
  <c r="R32" i="6" s="1"/>
  <c r="R123" i="6"/>
  <c r="V97" i="6"/>
  <c r="V111" i="6" s="1"/>
  <c r="V125" i="6" s="1"/>
  <c r="V102" i="6"/>
  <c r="V116" i="6" s="1"/>
  <c r="V130" i="6" s="1"/>
  <c r="V100" i="6"/>
  <c r="V114" i="6" s="1"/>
  <c r="V128" i="6" s="1"/>
  <c r="V101" i="6"/>
  <c r="V115" i="6" s="1"/>
  <c r="V129" i="6" s="1"/>
  <c r="V96" i="6"/>
  <c r="V110" i="6" s="1"/>
  <c r="V124" i="6" s="1"/>
  <c r="V98" i="6"/>
  <c r="V112" i="6" s="1"/>
  <c r="V126" i="6" s="1"/>
  <c r="V104" i="6"/>
  <c r="V118" i="6" s="1"/>
  <c r="V132" i="6" s="1"/>
  <c r="V95" i="6"/>
  <c r="V103" i="6"/>
  <c r="V99" i="6"/>
  <c r="V113" i="6" s="1"/>
  <c r="V127" i="6" s="1"/>
  <c r="V81" i="6"/>
  <c r="S32" i="9" s="1"/>
  <c r="X80" i="6"/>
  <c r="X81" i="6" s="1"/>
  <c r="U32" i="9" s="1"/>
  <c r="AF32" i="9"/>
  <c r="AS32" i="9"/>
  <c r="L66" i="1"/>
  <c r="I9" i="5" s="1"/>
  <c r="I11" i="5" s="1"/>
  <c r="H10" i="7" s="1"/>
  <c r="O9" i="5"/>
  <c r="O11" i="5" s="1"/>
  <c r="N10" i="7" s="1"/>
  <c r="S9" i="5"/>
  <c r="S11" i="5" s="1"/>
  <c r="R10" i="7" s="1"/>
  <c r="G9" i="5"/>
  <c r="G11" i="5" s="1"/>
  <c r="F10" i="7" s="1"/>
  <c r="U9" i="5"/>
  <c r="U11" i="5" s="1"/>
  <c r="T10" i="7" s="1"/>
  <c r="H51" i="1"/>
  <c r="L50" i="1"/>
  <c r="T52" i="7" l="1"/>
  <c r="R11" i="7"/>
  <c r="R29" i="7" s="1"/>
  <c r="Q25" i="8"/>
  <c r="O26" i="8"/>
  <c r="F28" i="7"/>
  <c r="F48" i="7" s="1"/>
  <c r="F53" i="7" s="1"/>
  <c r="N28" i="7"/>
  <c r="N48" i="7" s="1"/>
  <c r="N53" i="7" s="1"/>
  <c r="T28" i="7"/>
  <c r="T48" i="7" s="1"/>
  <c r="T53" i="7" s="1"/>
  <c r="R28" i="7"/>
  <c r="R48" i="7" s="1"/>
  <c r="R53" i="7" s="1"/>
  <c r="H28" i="7"/>
  <c r="H48" i="7" s="1"/>
  <c r="H53" i="7" s="1"/>
  <c r="AJ39" i="9"/>
  <c r="AY21" i="9"/>
  <c r="AY39" i="9" s="1"/>
  <c r="AY41" i="9" s="1"/>
  <c r="S60" i="3"/>
  <c r="S51" i="3"/>
  <c r="S49" i="3"/>
  <c r="S41" i="5"/>
  <c r="U41" i="5"/>
  <c r="G41" i="5"/>
  <c r="I41" i="5"/>
  <c r="O41" i="5"/>
  <c r="M41" i="5"/>
  <c r="K41" i="5"/>
  <c r="Q41" i="5"/>
  <c r="Q63" i="3"/>
  <c r="Q61" i="3"/>
  <c r="U57" i="3"/>
  <c r="U56" i="3"/>
  <c r="U45" i="3"/>
  <c r="U48" i="3" s="1"/>
  <c r="S49" i="2"/>
  <c r="S60" i="2"/>
  <c r="S51" i="2"/>
  <c r="S61" i="8" s="1"/>
  <c r="M20" i="9"/>
  <c r="Z20" i="9"/>
  <c r="K22" i="9"/>
  <c r="I17" i="10"/>
  <c r="N16" i="10"/>
  <c r="I63" i="3"/>
  <c r="I61" i="3"/>
  <c r="G39" i="5"/>
  <c r="K39" i="5"/>
  <c r="K16" i="9" s="1"/>
  <c r="Z16" i="9" s="1"/>
  <c r="AO16" i="9" s="1"/>
  <c r="I39" i="5"/>
  <c r="I16" i="9" s="1"/>
  <c r="X16" i="9" s="1"/>
  <c r="AM16" i="9" s="1"/>
  <c r="M39" i="5"/>
  <c r="M16" i="9" s="1"/>
  <c r="AB16" i="9" s="1"/>
  <c r="AQ16" i="9" s="1"/>
  <c r="O39" i="5"/>
  <c r="O16" i="9" s="1"/>
  <c r="AD16" i="9" s="1"/>
  <c r="AS16" i="9" s="1"/>
  <c r="Q39" i="5"/>
  <c r="Q16" i="9" s="1"/>
  <c r="AF16" i="9" s="1"/>
  <c r="AU16" i="9" s="1"/>
  <c r="S39" i="5"/>
  <c r="S16" i="9" s="1"/>
  <c r="AH16" i="9" s="1"/>
  <c r="AW16" i="9" s="1"/>
  <c r="U39" i="5"/>
  <c r="U16" i="9" s="1"/>
  <c r="AJ16" i="9" s="1"/>
  <c r="AY16" i="9" s="1"/>
  <c r="I13" i="10"/>
  <c r="M61" i="3"/>
  <c r="M63" i="3"/>
  <c r="G63" i="3"/>
  <c r="G61" i="3"/>
  <c r="O51" i="3"/>
  <c r="E40" i="5" s="1"/>
  <c r="O49" i="3"/>
  <c r="O60" i="3"/>
  <c r="K16" i="10"/>
  <c r="I25" i="9"/>
  <c r="F14" i="10"/>
  <c r="X22" i="9"/>
  <c r="AM20" i="9"/>
  <c r="AM22" i="9" s="1"/>
  <c r="U36" i="2"/>
  <c r="U43" i="2"/>
  <c r="X35" i="2"/>
  <c r="V27" i="6"/>
  <c r="N43" i="4"/>
  <c r="P43" i="4" s="1"/>
  <c r="V85" i="6"/>
  <c r="V117" i="6"/>
  <c r="V105" i="6"/>
  <c r="V109" i="6"/>
  <c r="X101" i="6"/>
  <c r="X115" i="6" s="1"/>
  <c r="X129" i="6" s="1"/>
  <c r="X99" i="6"/>
  <c r="X113" i="6" s="1"/>
  <c r="X127" i="6" s="1"/>
  <c r="X102" i="6"/>
  <c r="X116" i="6" s="1"/>
  <c r="X130" i="6" s="1"/>
  <c r="X97" i="6"/>
  <c r="X111" i="6" s="1"/>
  <c r="X125" i="6" s="1"/>
  <c r="X96" i="6"/>
  <c r="X110" i="6" s="1"/>
  <c r="X124" i="6" s="1"/>
  <c r="X104" i="6"/>
  <c r="X118" i="6" s="1"/>
  <c r="X132" i="6" s="1"/>
  <c r="X95" i="6"/>
  <c r="X103" i="6"/>
  <c r="X98" i="6"/>
  <c r="X112" i="6" s="1"/>
  <c r="X126" i="6" s="1"/>
  <c r="X100" i="6"/>
  <c r="X114" i="6" s="1"/>
  <c r="X128" i="6" s="1"/>
  <c r="X144" i="6"/>
  <c r="X146" i="6" s="1"/>
  <c r="X13" i="6" s="1"/>
  <c r="X15" i="6" s="1"/>
  <c r="T123" i="6"/>
  <c r="T119" i="6"/>
  <c r="T32" i="6" s="1"/>
  <c r="X156" i="6"/>
  <c r="X158" i="6" s="1"/>
  <c r="X159" i="6" s="1"/>
  <c r="X20" i="6" s="1"/>
  <c r="X22" i="6" s="1"/>
  <c r="X28" i="6" s="1"/>
  <c r="T131" i="6"/>
  <c r="T87" i="6" s="1"/>
  <c r="T89" i="6" s="1"/>
  <c r="T86" i="6"/>
  <c r="R133" i="6"/>
  <c r="AU32" i="9"/>
  <c r="AJ32" i="9"/>
  <c r="AH32" i="9"/>
  <c r="I7" i="9"/>
  <c r="I13" i="5"/>
  <c r="U7" i="9"/>
  <c r="U13" i="5"/>
  <c r="G13" i="5"/>
  <c r="S7" i="9"/>
  <c r="S13" i="5"/>
  <c r="O7" i="9"/>
  <c r="O13" i="5"/>
  <c r="K9" i="5"/>
  <c r="K11" i="5" s="1"/>
  <c r="J10" i="7" s="1"/>
  <c r="Q9" i="5"/>
  <c r="Q11" i="5" s="1"/>
  <c r="P10" i="7" s="1"/>
  <c r="M9" i="5"/>
  <c r="M11" i="5" s="1"/>
  <c r="L10" i="7" s="1"/>
  <c r="L51" i="1"/>
  <c r="W9" i="5" s="1"/>
  <c r="W11" i="5" s="1"/>
  <c r="W13" i="5" s="1"/>
  <c r="Q26" i="8" l="1"/>
  <c r="S25" i="8"/>
  <c r="P28" i="7"/>
  <c r="P48" i="7" s="1"/>
  <c r="P53" i="7" s="1"/>
  <c r="L28" i="7"/>
  <c r="L48" i="7" s="1"/>
  <c r="L53" i="7" s="1"/>
  <c r="J28" i="7"/>
  <c r="J48" i="7" s="1"/>
  <c r="J53" i="7" s="1"/>
  <c r="X27" i="6"/>
  <c r="T11" i="7"/>
  <c r="T29" i="7" s="1"/>
  <c r="U49" i="3"/>
  <c r="U51" i="3"/>
  <c r="X51" i="3" s="1"/>
  <c r="X48" i="3"/>
  <c r="U60" i="3"/>
  <c r="S63" i="3"/>
  <c r="S61" i="3"/>
  <c r="K17" i="10"/>
  <c r="P16" i="10"/>
  <c r="U45" i="2"/>
  <c r="U48" i="2" s="1"/>
  <c r="X43" i="2"/>
  <c r="O61" i="3"/>
  <c r="K13" i="10"/>
  <c r="O63" i="3"/>
  <c r="Z22" i="9"/>
  <c r="AO20" i="9"/>
  <c r="AO22" i="9" s="1"/>
  <c r="M22" i="9"/>
  <c r="O20" i="9"/>
  <c r="AB20" i="9"/>
  <c r="G40" i="5"/>
  <c r="K40" i="5"/>
  <c r="K17" i="9" s="1"/>
  <c r="Z17" i="9" s="1"/>
  <c r="AO17" i="9" s="1"/>
  <c r="M40" i="5"/>
  <c r="M17" i="9" s="1"/>
  <c r="AB17" i="9" s="1"/>
  <c r="AQ17" i="9" s="1"/>
  <c r="I40" i="5"/>
  <c r="I17" i="9" s="1"/>
  <c r="X17" i="9" s="1"/>
  <c r="AM17" i="9" s="1"/>
  <c r="O40" i="5"/>
  <c r="O17" i="9" s="1"/>
  <c r="AD17" i="9" s="1"/>
  <c r="AS17" i="9" s="1"/>
  <c r="Q40" i="5"/>
  <c r="Q17" i="9" s="1"/>
  <c r="AF17" i="9" s="1"/>
  <c r="AU17" i="9" s="1"/>
  <c r="S40" i="5"/>
  <c r="S17" i="9" s="1"/>
  <c r="AH17" i="9" s="1"/>
  <c r="AW17" i="9" s="1"/>
  <c r="U40" i="5"/>
  <c r="U17" i="9" s="1"/>
  <c r="AJ17" i="9" s="1"/>
  <c r="AY17" i="9" s="1"/>
  <c r="K25" i="9"/>
  <c r="X25" i="9"/>
  <c r="I34" i="9"/>
  <c r="I36" i="9" s="1"/>
  <c r="N17" i="10"/>
  <c r="N23" i="10"/>
  <c r="X16" i="10"/>
  <c r="X17" i="10" s="1"/>
  <c r="D23" i="10"/>
  <c r="I23" i="10"/>
  <c r="S63" i="2"/>
  <c r="S61" i="2"/>
  <c r="I14" i="10"/>
  <c r="N13" i="10"/>
  <c r="I22" i="10" s="1"/>
  <c r="X109" i="6"/>
  <c r="X105" i="6"/>
  <c r="X85" i="6"/>
  <c r="X117" i="6"/>
  <c r="V119" i="6"/>
  <c r="V123" i="6"/>
  <c r="V86" i="6"/>
  <c r="V131" i="6"/>
  <c r="V87" i="6" s="1"/>
  <c r="T133" i="6"/>
  <c r="AW32" i="9"/>
  <c r="AY32" i="9"/>
  <c r="Q7" i="9"/>
  <c r="Q13" i="5"/>
  <c r="R26" i="6"/>
  <c r="R30" i="6" s="1"/>
  <c r="R33" i="6" s="1"/>
  <c r="N13" i="7"/>
  <c r="N20" i="7" s="1"/>
  <c r="K7" i="9"/>
  <c r="K13" i="5"/>
  <c r="O32" i="5"/>
  <c r="O14" i="9" s="1"/>
  <c r="AD14" i="9" s="1"/>
  <c r="AS14" i="9" s="1"/>
  <c r="O35" i="5"/>
  <c r="O29" i="5"/>
  <c r="O33" i="5"/>
  <c r="O37" i="5"/>
  <c r="O36" i="5"/>
  <c r="O27" i="5"/>
  <c r="O10" i="9" s="1"/>
  <c r="AD10" i="9" s="1"/>
  <c r="AS10" i="9" s="1"/>
  <c r="O28" i="5"/>
  <c r="O11" i="9" s="1"/>
  <c r="AD11" i="9" s="1"/>
  <c r="AS11" i="9" s="1"/>
  <c r="O31" i="5"/>
  <c r="O13" i="9" s="1"/>
  <c r="AD13" i="9" s="1"/>
  <c r="AS13" i="9" s="1"/>
  <c r="AD7" i="9"/>
  <c r="O40" i="9"/>
  <c r="O41" i="9" s="1"/>
  <c r="S36" i="5"/>
  <c r="S29" i="5"/>
  <c r="S31" i="5"/>
  <c r="S13" i="9" s="1"/>
  <c r="AH13" i="9" s="1"/>
  <c r="AW13" i="9" s="1"/>
  <c r="S33" i="5"/>
  <c r="S27" i="5"/>
  <c r="S10" i="9" s="1"/>
  <c r="AH10" i="9" s="1"/>
  <c r="AW10" i="9" s="1"/>
  <c r="S35" i="5"/>
  <c r="S37" i="5"/>
  <c r="S32" i="5"/>
  <c r="S14" i="9" s="1"/>
  <c r="AH14" i="9" s="1"/>
  <c r="AW14" i="9" s="1"/>
  <c r="S28" i="5"/>
  <c r="S11" i="9" s="1"/>
  <c r="AH11" i="9" s="1"/>
  <c r="AW11" i="9" s="1"/>
  <c r="AH7" i="9"/>
  <c r="S40" i="9"/>
  <c r="S41" i="9" s="1"/>
  <c r="V26" i="6"/>
  <c r="V30" i="6" s="1"/>
  <c r="R13" i="7"/>
  <c r="R20" i="7" s="1"/>
  <c r="G37" i="5"/>
  <c r="G28" i="5"/>
  <c r="G35" i="5"/>
  <c r="G32" i="5"/>
  <c r="G31" i="5"/>
  <c r="G29" i="5"/>
  <c r="G36" i="5"/>
  <c r="G33" i="5"/>
  <c r="G27" i="5"/>
  <c r="F13" i="7"/>
  <c r="F20" i="7" s="1"/>
  <c r="J26" i="6"/>
  <c r="J30" i="6" s="1"/>
  <c r="J33" i="6" s="1"/>
  <c r="U33" i="5"/>
  <c r="U29" i="5"/>
  <c r="U35" i="5"/>
  <c r="U31" i="5"/>
  <c r="U13" i="9" s="1"/>
  <c r="AJ13" i="9" s="1"/>
  <c r="AY13" i="9" s="1"/>
  <c r="U27" i="5"/>
  <c r="U10" i="9" s="1"/>
  <c r="AJ10" i="9" s="1"/>
  <c r="AY10" i="9" s="1"/>
  <c r="U32" i="5"/>
  <c r="U14" i="9" s="1"/>
  <c r="AJ14" i="9" s="1"/>
  <c r="AY14" i="9" s="1"/>
  <c r="U28" i="5"/>
  <c r="U11" i="9" s="1"/>
  <c r="AJ11" i="9" s="1"/>
  <c r="AY11" i="9" s="1"/>
  <c r="U36" i="5"/>
  <c r="U37" i="5"/>
  <c r="X26" i="6"/>
  <c r="X30" i="6" s="1"/>
  <c r="U40" i="9"/>
  <c r="U41" i="9" s="1"/>
  <c r="AJ7" i="9"/>
  <c r="I29" i="5"/>
  <c r="I32" i="5"/>
  <c r="I14" i="9" s="1"/>
  <c r="X14" i="9" s="1"/>
  <c r="AM14" i="9" s="1"/>
  <c r="I31" i="5"/>
  <c r="I13" i="9" s="1"/>
  <c r="X13" i="9" s="1"/>
  <c r="AM13" i="9" s="1"/>
  <c r="I33" i="5"/>
  <c r="I37" i="5"/>
  <c r="I35" i="5"/>
  <c r="I28" i="5"/>
  <c r="I11" i="9" s="1"/>
  <c r="X11" i="9" s="1"/>
  <c r="AM11" i="9" s="1"/>
  <c r="I27" i="5"/>
  <c r="I10" i="9" s="1"/>
  <c r="X10" i="9" s="1"/>
  <c r="AM10" i="9" s="1"/>
  <c r="I36" i="5"/>
  <c r="L26" i="6"/>
  <c r="L30" i="6" s="1"/>
  <c r="L33" i="6" s="1"/>
  <c r="H13" i="7"/>
  <c r="H20" i="7" s="1"/>
  <c r="M13" i="5"/>
  <c r="M7" i="9"/>
  <c r="I40" i="9"/>
  <c r="I41" i="9" s="1"/>
  <c r="X7" i="9"/>
  <c r="W35" i="5"/>
  <c r="W36" i="5"/>
  <c r="W28" i="5"/>
  <c r="G11" i="9" s="1"/>
  <c r="W29" i="5"/>
  <c r="W33" i="5"/>
  <c r="W37" i="5"/>
  <c r="W32" i="5"/>
  <c r="G14" i="9" s="1"/>
  <c r="W27" i="5"/>
  <c r="G10" i="9" s="1"/>
  <c r="W31" i="5"/>
  <c r="G13" i="9" s="1"/>
  <c r="V89" i="6" l="1"/>
  <c r="M47" i="8"/>
  <c r="Q47" i="8" s="1"/>
  <c r="S47" i="8" s="1"/>
  <c r="U47" i="8" s="1"/>
  <c r="O47" i="8"/>
  <c r="U25" i="8"/>
  <c r="U26" i="8" s="1"/>
  <c r="S26" i="8"/>
  <c r="V32" i="6"/>
  <c r="V33" i="6" s="1"/>
  <c r="V53" i="6" s="1"/>
  <c r="V55" i="6" s="1"/>
  <c r="L19" i="4"/>
  <c r="P19" i="4" s="1"/>
  <c r="T13" i="7"/>
  <c r="T20" i="7" s="1"/>
  <c r="U61" i="3"/>
  <c r="U63" i="3"/>
  <c r="X63" i="3" s="1"/>
  <c r="X60" i="3"/>
  <c r="U60" i="2"/>
  <c r="U51" i="2"/>
  <c r="U49" i="2"/>
  <c r="X48" i="2"/>
  <c r="AQ20" i="9"/>
  <c r="AQ22" i="9" s="1"/>
  <c r="AB22" i="9"/>
  <c r="Q20" i="9"/>
  <c r="AD20" i="9"/>
  <c r="O22" i="9"/>
  <c r="K14" i="10"/>
  <c r="P13" i="10"/>
  <c r="N14" i="10"/>
  <c r="N22" i="10"/>
  <c r="X13" i="10"/>
  <c r="X14" i="10" s="1"/>
  <c r="D22" i="10"/>
  <c r="AM25" i="9"/>
  <c r="X34" i="9"/>
  <c r="X36" i="9" s="1"/>
  <c r="M25" i="9"/>
  <c r="Z25" i="9"/>
  <c r="K34" i="9"/>
  <c r="K36" i="9" s="1"/>
  <c r="P17" i="10"/>
  <c r="P23" i="10"/>
  <c r="Z16" i="10"/>
  <c r="Z17" i="10" s="1"/>
  <c r="F23" i="10"/>
  <c r="K23" i="10"/>
  <c r="V133" i="6"/>
  <c r="X131" i="6"/>
  <c r="X87" i="6" s="1"/>
  <c r="X89" i="6" s="1"/>
  <c r="X86" i="6"/>
  <c r="X119" i="6"/>
  <c r="X32" i="6" s="1"/>
  <c r="X33" i="6" s="1"/>
  <c r="X123" i="6"/>
  <c r="AH40" i="9"/>
  <c r="AH41" i="9" s="1"/>
  <c r="AW7" i="9"/>
  <c r="AW26" i="9" s="1"/>
  <c r="J53" i="6"/>
  <c r="J55" i="6" s="1"/>
  <c r="J37" i="6"/>
  <c r="J39" i="6" s="1"/>
  <c r="N26" i="6"/>
  <c r="N30" i="6" s="1"/>
  <c r="N33" i="6" s="1"/>
  <c r="J13" i="7"/>
  <c r="J20" i="7" s="1"/>
  <c r="AB7" i="9"/>
  <c r="M40" i="9"/>
  <c r="M41" i="9" s="1"/>
  <c r="K37" i="5"/>
  <c r="K35" i="5"/>
  <c r="K32" i="5"/>
  <c r="K14" i="9" s="1"/>
  <c r="Z14" i="9" s="1"/>
  <c r="AO14" i="9" s="1"/>
  <c r="K33" i="5"/>
  <c r="K36" i="5"/>
  <c r="K27" i="5"/>
  <c r="K10" i="9" s="1"/>
  <c r="Z10" i="9" s="1"/>
  <c r="AO10" i="9" s="1"/>
  <c r="K29" i="5"/>
  <c r="K28" i="5"/>
  <c r="K11" i="9" s="1"/>
  <c r="Z11" i="9" s="1"/>
  <c r="AO11" i="9" s="1"/>
  <c r="K31" i="5"/>
  <c r="K13" i="9" s="1"/>
  <c r="Z13" i="9" s="1"/>
  <c r="AO13" i="9" s="1"/>
  <c r="N42" i="4"/>
  <c r="P42" i="4" s="1"/>
  <c r="P48" i="4" s="1"/>
  <c r="L13" i="7"/>
  <c r="L20" i="7" s="1"/>
  <c r="S59" i="8"/>
  <c r="Q59" i="8"/>
  <c r="U59" i="8"/>
  <c r="P26" i="6"/>
  <c r="P30" i="6" s="1"/>
  <c r="P33" i="6" s="1"/>
  <c r="M59" i="8"/>
  <c r="O59" i="8"/>
  <c r="Z7" i="9"/>
  <c r="K40" i="9"/>
  <c r="K41" i="9" s="1"/>
  <c r="AJ40" i="9"/>
  <c r="AJ41" i="9" s="1"/>
  <c r="AY7" i="9"/>
  <c r="AY26" i="9" s="1"/>
  <c r="AS7" i="9"/>
  <c r="AS26" i="9" s="1"/>
  <c r="AD40" i="9"/>
  <c r="AD41" i="9" s="1"/>
  <c r="R37" i="6"/>
  <c r="R39" i="6" s="1"/>
  <c r="R53" i="6"/>
  <c r="R55" i="6" s="1"/>
  <c r="P13" i="7"/>
  <c r="P20" i="7" s="1"/>
  <c r="T26" i="6"/>
  <c r="T30" i="6" s="1"/>
  <c r="T33" i="6" s="1"/>
  <c r="M28" i="5"/>
  <c r="M11" i="9" s="1"/>
  <c r="AB11" i="9" s="1"/>
  <c r="AQ11" i="9" s="1"/>
  <c r="M32" i="5"/>
  <c r="M14" i="9" s="1"/>
  <c r="AB14" i="9" s="1"/>
  <c r="AQ14" i="9" s="1"/>
  <c r="M35" i="5"/>
  <c r="M27" i="5"/>
  <c r="M10" i="9" s="1"/>
  <c r="AB10" i="9" s="1"/>
  <c r="AQ10" i="9" s="1"/>
  <c r="M29" i="5"/>
  <c r="M36" i="5"/>
  <c r="M37" i="5"/>
  <c r="M31" i="5"/>
  <c r="M13" i="9" s="1"/>
  <c r="AB13" i="9" s="1"/>
  <c r="AQ13" i="9" s="1"/>
  <c r="M33" i="5"/>
  <c r="X40" i="9"/>
  <c r="X41" i="9" s="1"/>
  <c r="AM7" i="9"/>
  <c r="AM26" i="9" s="1"/>
  <c r="Q31" i="5"/>
  <c r="Q13" i="9" s="1"/>
  <c r="AF13" i="9" s="1"/>
  <c r="AU13" i="9" s="1"/>
  <c r="Q32" i="5"/>
  <c r="Q14" i="9" s="1"/>
  <c r="AF14" i="9" s="1"/>
  <c r="AU14" i="9" s="1"/>
  <c r="Q28" i="5"/>
  <c r="Q11" i="9" s="1"/>
  <c r="AF11" i="9" s="1"/>
  <c r="AU11" i="9" s="1"/>
  <c r="Q36" i="5"/>
  <c r="Q27" i="5"/>
  <c r="Q10" i="9" s="1"/>
  <c r="AF10" i="9" s="1"/>
  <c r="AU10" i="9" s="1"/>
  <c r="Q35" i="5"/>
  <c r="Q33" i="5"/>
  <c r="Q29" i="5"/>
  <c r="Q37" i="5"/>
  <c r="L53" i="6"/>
  <c r="L55" i="6" s="1"/>
  <c r="L37" i="6"/>
  <c r="L39" i="6" s="1"/>
  <c r="I43" i="9"/>
  <c r="I44" i="9" s="1"/>
  <c r="I49" i="9"/>
  <c r="I50" i="9" s="1"/>
  <c r="Q40" i="9"/>
  <c r="Q41" i="9" s="1"/>
  <c r="AF7" i="9"/>
  <c r="V37" i="6" l="1"/>
  <c r="V39" i="6" s="1"/>
  <c r="X133" i="6"/>
  <c r="AM34" i="9"/>
  <c r="O25" i="9"/>
  <c r="AB25" i="9"/>
  <c r="M34" i="9"/>
  <c r="M36" i="9" s="1"/>
  <c r="M49" i="9" s="1"/>
  <c r="M50" i="9" s="1"/>
  <c r="P14" i="10"/>
  <c r="P22" i="10"/>
  <c r="Z13" i="10"/>
  <c r="Z14" i="10" s="1"/>
  <c r="F22" i="10"/>
  <c r="K22" i="10"/>
  <c r="AS20" i="9"/>
  <c r="AS22" i="9" s="1"/>
  <c r="AD22" i="9"/>
  <c r="AF20" i="9"/>
  <c r="Q22" i="9"/>
  <c r="S20" i="9"/>
  <c r="AO25" i="9"/>
  <c r="Z34" i="9"/>
  <c r="Z36" i="9" s="1"/>
  <c r="U61" i="8"/>
  <c r="X51" i="2"/>
  <c r="U61" i="2"/>
  <c r="U63" i="2"/>
  <c r="X63" i="2" s="1"/>
  <c r="X60" i="2"/>
  <c r="X53" i="6"/>
  <c r="X55" i="6" s="1"/>
  <c r="X57" i="6" s="1"/>
  <c r="X60" i="6" s="1"/>
  <c r="X37" i="6"/>
  <c r="X39" i="6" s="1"/>
  <c r="P37" i="6"/>
  <c r="P39" i="6" s="1"/>
  <c r="P53" i="6"/>
  <c r="P55" i="6" s="1"/>
  <c r="AQ7" i="9"/>
  <c r="AQ26" i="9" s="1"/>
  <c r="AB40" i="9"/>
  <c r="AB41" i="9" s="1"/>
  <c r="AO7" i="9"/>
  <c r="AO26" i="9" s="1"/>
  <c r="Z40" i="9"/>
  <c r="Z41" i="9" s="1"/>
  <c r="AU7" i="9"/>
  <c r="AU26" i="9" s="1"/>
  <c r="AF40" i="9"/>
  <c r="AF41" i="9" s="1"/>
  <c r="X43" i="9"/>
  <c r="X44" i="9" s="1"/>
  <c r="X49" i="9"/>
  <c r="X50" i="9" s="1"/>
  <c r="J42" i="6"/>
  <c r="J47" i="6" s="1"/>
  <c r="J57" i="6"/>
  <c r="J60" i="6" s="1"/>
  <c r="K43" i="9"/>
  <c r="K44" i="9" s="1"/>
  <c r="K49" i="9"/>
  <c r="K50" i="9" s="1"/>
  <c r="T37" i="6"/>
  <c r="T39" i="6" s="1"/>
  <c r="T53" i="6"/>
  <c r="T55" i="6" s="1"/>
  <c r="AM36" i="9"/>
  <c r="AM49" i="9" s="1"/>
  <c r="AM50" i="9" s="1"/>
  <c r="AM43" i="9"/>
  <c r="AM44" i="9" s="1"/>
  <c r="V45" i="6"/>
  <c r="J45" i="6"/>
  <c r="R42" i="6"/>
  <c r="R47" i="6" s="1"/>
  <c r="R57" i="6"/>
  <c r="R60" i="6" s="1"/>
  <c r="I52" i="9"/>
  <c r="I51" i="9"/>
  <c r="I46" i="9"/>
  <c r="I45" i="9"/>
  <c r="N37" i="6"/>
  <c r="N39" i="6" s="1"/>
  <c r="N53" i="6"/>
  <c r="N55" i="6" s="1"/>
  <c r="V42" i="6"/>
  <c r="V47" i="6" s="1"/>
  <c r="V57" i="6"/>
  <c r="V60" i="6" s="1"/>
  <c r="L57" i="6"/>
  <c r="L60" i="6" s="1"/>
  <c r="L42" i="6"/>
  <c r="L47" i="6" s="1"/>
  <c r="AQ25" i="9" l="1"/>
  <c r="AB34" i="9"/>
  <c r="AB36" i="9" s="1"/>
  <c r="AB49" i="9" s="1"/>
  <c r="AB50" i="9" s="1"/>
  <c r="AD25" i="9"/>
  <c r="Q25" i="9"/>
  <c r="O34" i="9"/>
  <c r="M43" i="9"/>
  <c r="M44" i="9" s="1"/>
  <c r="M46" i="9" s="1"/>
  <c r="X42" i="6"/>
  <c r="X47" i="6" s="1"/>
  <c r="U20" i="9"/>
  <c r="AH20" i="9"/>
  <c r="S22" i="9"/>
  <c r="AQ34" i="9"/>
  <c r="AQ43" i="9" s="1"/>
  <c r="AQ44" i="9" s="1"/>
  <c r="AO34" i="9"/>
  <c r="AO43" i="9" s="1"/>
  <c r="AO44" i="9" s="1"/>
  <c r="AF22" i="9"/>
  <c r="AU20" i="9"/>
  <c r="AU22" i="9" s="1"/>
  <c r="V49" i="6"/>
  <c r="J49" i="6"/>
  <c r="Z43" i="9"/>
  <c r="Z44" i="9" s="1"/>
  <c r="Z49" i="9"/>
  <c r="Z50" i="9" s="1"/>
  <c r="AM51" i="9"/>
  <c r="AM52" i="9"/>
  <c r="T42" i="6"/>
  <c r="T47" i="6" s="1"/>
  <c r="T57" i="6"/>
  <c r="T60" i="6" s="1"/>
  <c r="K51" i="9"/>
  <c r="K52" i="9"/>
  <c r="L45" i="6"/>
  <c r="L49" i="6" s="1"/>
  <c r="P57" i="6"/>
  <c r="P42" i="6"/>
  <c r="M51" i="9"/>
  <c r="M52" i="9"/>
  <c r="AM45" i="9"/>
  <c r="AM46" i="9"/>
  <c r="T45" i="6"/>
  <c r="N57" i="6"/>
  <c r="N60" i="6" s="1"/>
  <c r="N42" i="6"/>
  <c r="N47" i="6" s="1"/>
  <c r="R45" i="6"/>
  <c r="R49" i="6" s="1"/>
  <c r="X52" i="9"/>
  <c r="X51" i="9"/>
  <c r="K46" i="9"/>
  <c r="K45" i="9"/>
  <c r="X45" i="9"/>
  <c r="X46" i="9"/>
  <c r="AO36" i="9" l="1"/>
  <c r="AO49" i="9" s="1"/>
  <c r="AO50" i="9" s="1"/>
  <c r="AO52" i="9" s="1"/>
  <c r="AQ36" i="9"/>
  <c r="AQ49" i="9" s="1"/>
  <c r="AQ50" i="9" s="1"/>
  <c r="AQ51" i="9" s="1"/>
  <c r="AH22" i="9"/>
  <c r="AW20" i="9"/>
  <c r="M45" i="9"/>
  <c r="AB43" i="9"/>
  <c r="AB44" i="9" s="1"/>
  <c r="AB45" i="9" s="1"/>
  <c r="AJ20" i="9"/>
  <c r="U22" i="9"/>
  <c r="O36" i="9"/>
  <c r="O49" i="9" s="1"/>
  <c r="O50" i="9" s="1"/>
  <c r="O43" i="9"/>
  <c r="O44" i="9" s="1"/>
  <c r="X45" i="6"/>
  <c r="X49" i="6" s="1"/>
  <c r="S25" i="9"/>
  <c r="AF25" i="9"/>
  <c r="Q34" i="9"/>
  <c r="AS25" i="9"/>
  <c r="AS34" i="9" s="1"/>
  <c r="AD34" i="9"/>
  <c r="AQ45" i="9"/>
  <c r="AQ46" i="9"/>
  <c r="Z46" i="9"/>
  <c r="Z45" i="9"/>
  <c r="L17" i="4"/>
  <c r="P17" i="4" s="1"/>
  <c r="P47" i="6"/>
  <c r="L37" i="4" s="1"/>
  <c r="P37" i="4" s="1"/>
  <c r="AO45" i="9"/>
  <c r="AO46" i="9"/>
  <c r="T49" i="6"/>
  <c r="Z52" i="9"/>
  <c r="Z51" i="9"/>
  <c r="P45" i="6"/>
  <c r="AB52" i="9"/>
  <c r="AB51" i="9"/>
  <c r="P60" i="6"/>
  <c r="M28" i="8"/>
  <c r="AO51" i="9"/>
  <c r="N45" i="6"/>
  <c r="N49" i="6" s="1"/>
  <c r="AB46" i="9" l="1"/>
  <c r="AQ52" i="9"/>
  <c r="AW22" i="9"/>
  <c r="Q36" i="9"/>
  <c r="Q49" i="9" s="1"/>
  <c r="Q50" i="9" s="1"/>
  <c r="Q43" i="9"/>
  <c r="Q44" i="9" s="1"/>
  <c r="AY20" i="9"/>
  <c r="AJ22" i="9"/>
  <c r="AH25" i="9"/>
  <c r="U25" i="9"/>
  <c r="S34" i="9"/>
  <c r="O51" i="9"/>
  <c r="O52" i="9"/>
  <c r="O45" i="9"/>
  <c r="O46" i="9"/>
  <c r="AD36" i="9"/>
  <c r="AD49" i="9" s="1"/>
  <c r="AD50" i="9" s="1"/>
  <c r="AD43" i="9"/>
  <c r="AD44" i="9" s="1"/>
  <c r="AU25" i="9"/>
  <c r="AU34" i="9" s="1"/>
  <c r="AF34" i="9"/>
  <c r="AS36" i="9"/>
  <c r="AS49" i="9" s="1"/>
  <c r="AS50" i="9" s="1"/>
  <c r="AS43" i="9"/>
  <c r="AS44" i="9" s="1"/>
  <c r="M30" i="8"/>
  <c r="M29" i="8"/>
  <c r="O28" i="8"/>
  <c r="P49" i="6"/>
  <c r="L16" i="4" s="1"/>
  <c r="P16" i="4" s="1"/>
  <c r="AD52" i="9" l="1"/>
  <c r="AD51" i="9"/>
  <c r="AD45" i="9"/>
  <c r="AD46" i="9"/>
  <c r="AY22" i="9"/>
  <c r="AS51" i="9"/>
  <c r="AS52" i="9"/>
  <c r="S36" i="9"/>
  <c r="S49" i="9" s="1"/>
  <c r="S50" i="9" s="1"/>
  <c r="S43" i="9"/>
  <c r="S44" i="9" s="1"/>
  <c r="AF36" i="9"/>
  <c r="AF49" i="9" s="1"/>
  <c r="AF50" i="9" s="1"/>
  <c r="AF43" i="9"/>
  <c r="AF44" i="9" s="1"/>
  <c r="AJ25" i="9"/>
  <c r="U34" i="9"/>
  <c r="Q46" i="9"/>
  <c r="Q45" i="9"/>
  <c r="Q51" i="9"/>
  <c r="Q52" i="9"/>
  <c r="AS45" i="9"/>
  <c r="AS46" i="9"/>
  <c r="AW25" i="9"/>
  <c r="AW34" i="9" s="1"/>
  <c r="AH34" i="9"/>
  <c r="AU36" i="9"/>
  <c r="AU49" i="9" s="1"/>
  <c r="AU50" i="9" s="1"/>
  <c r="AU43" i="9"/>
  <c r="AU44" i="9" s="1"/>
  <c r="M31" i="8"/>
  <c r="M36" i="8"/>
  <c r="Q28" i="8"/>
  <c r="O29" i="8"/>
  <c r="O30" i="8"/>
  <c r="AY25" i="9" l="1"/>
  <c r="AY34" i="9" s="1"/>
  <c r="AJ34" i="9"/>
  <c r="U36" i="9"/>
  <c r="U49" i="9" s="1"/>
  <c r="U50" i="9" s="1"/>
  <c r="U43" i="9"/>
  <c r="U44" i="9" s="1"/>
  <c r="S46" i="9"/>
  <c r="S47" i="9" s="1"/>
  <c r="S45" i="9"/>
  <c r="S52" i="9"/>
  <c r="S53" i="9" s="1"/>
  <c r="S51" i="9"/>
  <c r="AF51" i="9"/>
  <c r="AF52" i="9"/>
  <c r="AF53" i="9" s="1"/>
  <c r="AU46" i="9"/>
  <c r="AU47" i="9" s="1"/>
  <c r="AU45" i="9"/>
  <c r="AH36" i="9"/>
  <c r="AH49" i="9" s="1"/>
  <c r="AH50" i="9" s="1"/>
  <c r="AH43" i="9"/>
  <c r="AH44" i="9" s="1"/>
  <c r="AF46" i="9"/>
  <c r="AF47" i="9" s="1"/>
  <c r="AF45" i="9"/>
  <c r="AU51" i="9"/>
  <c r="AU52" i="9"/>
  <c r="AU53" i="9" s="1"/>
  <c r="AW43" i="9"/>
  <c r="AW44" i="9" s="1"/>
  <c r="AW36" i="9"/>
  <c r="AW49" i="9" s="1"/>
  <c r="AW50" i="9" s="1"/>
  <c r="O31" i="8"/>
  <c r="O36" i="8"/>
  <c r="O47" i="9"/>
  <c r="I47" i="9"/>
  <c r="O53" i="9"/>
  <c r="I53" i="9"/>
  <c r="M53" i="9"/>
  <c r="K53" i="9"/>
  <c r="Q53" i="9"/>
  <c r="AD47" i="9"/>
  <c r="AS53" i="9"/>
  <c r="AS47" i="9"/>
  <c r="AM47" i="9"/>
  <c r="AM53" i="9"/>
  <c r="AD53" i="9"/>
  <c r="Q47" i="9"/>
  <c r="X53" i="9"/>
  <c r="X47" i="9"/>
  <c r="M47" i="9"/>
  <c r="K47" i="9"/>
  <c r="Z47" i="9"/>
  <c r="AQ47" i="9"/>
  <c r="AQ53" i="9"/>
  <c r="AB47" i="9"/>
  <c r="AO53" i="9"/>
  <c r="AB53" i="9"/>
  <c r="AO47" i="9"/>
  <c r="Z53" i="9"/>
  <c r="Q30" i="8"/>
  <c r="Q29" i="8"/>
  <c r="S28" i="8"/>
  <c r="M39" i="8"/>
  <c r="M37" i="8"/>
  <c r="AW52" i="9" l="1"/>
  <c r="AW53" i="9" s="1"/>
  <c r="AW51" i="9"/>
  <c r="AH46" i="9"/>
  <c r="AH47" i="9" s="1"/>
  <c r="AH45" i="9"/>
  <c r="U52" i="9"/>
  <c r="U53" i="9" s="1"/>
  <c r="U51" i="9"/>
  <c r="AW46" i="9"/>
  <c r="AW47" i="9" s="1"/>
  <c r="AW45" i="9"/>
  <c r="AH51" i="9"/>
  <c r="AH52" i="9"/>
  <c r="AH53" i="9" s="1"/>
  <c r="U46" i="9"/>
  <c r="U47" i="9" s="1"/>
  <c r="U45" i="9"/>
  <c r="AY36" i="9"/>
  <c r="AY49" i="9" s="1"/>
  <c r="AY50" i="9" s="1"/>
  <c r="AY43" i="9"/>
  <c r="AY44" i="9" s="1"/>
  <c r="AJ36" i="9"/>
  <c r="AJ49" i="9" s="1"/>
  <c r="AJ50" i="9" s="1"/>
  <c r="AJ43" i="9"/>
  <c r="AJ44" i="9" s="1"/>
  <c r="Q36" i="8"/>
  <c r="Q31" i="8"/>
  <c r="M49" i="8"/>
  <c r="M40" i="8"/>
  <c r="U28" i="8"/>
  <c r="S29" i="8"/>
  <c r="S30" i="8"/>
  <c r="O39" i="8"/>
  <c r="O40" i="8" s="1"/>
  <c r="O37" i="8"/>
  <c r="AY46" i="9" l="1"/>
  <c r="AY47" i="9" s="1"/>
  <c r="AY45" i="9"/>
  <c r="AJ52" i="9"/>
  <c r="AJ53" i="9" s="1"/>
  <c r="AJ51" i="9"/>
  <c r="AY52" i="9"/>
  <c r="AY53" i="9" s="1"/>
  <c r="AY51" i="9"/>
  <c r="AJ45" i="9"/>
  <c r="AJ46" i="9"/>
  <c r="AJ47" i="9" s="1"/>
  <c r="S31" i="8"/>
  <c r="S36" i="8"/>
  <c r="U29" i="8"/>
  <c r="U30" i="8"/>
  <c r="M51" i="8"/>
  <c r="M54" i="8" s="1"/>
  <c r="Q39" i="8"/>
  <c r="Q40" i="8" s="1"/>
  <c r="Q37" i="8"/>
  <c r="M55" i="8" l="1"/>
  <c r="M57" i="8"/>
  <c r="M62" i="8" s="1"/>
  <c r="U31" i="8"/>
  <c r="U36" i="8"/>
  <c r="S37" i="8"/>
  <c r="S39" i="8"/>
  <c r="X36" i="8" l="1"/>
  <c r="U37" i="8"/>
  <c r="U39" i="8"/>
  <c r="S40" i="8"/>
  <c r="M64" i="8"/>
  <c r="M63" i="8"/>
  <c r="X39" i="8" l="1"/>
  <c r="U40" i="8"/>
  <c r="F54" i="7" l="1"/>
  <c r="F32" i="7" s="1"/>
  <c r="F55" i="7" s="1"/>
  <c r="F33" i="7"/>
  <c r="F23" i="7" s="1"/>
  <c r="F25" i="7" l="1"/>
  <c r="F49" i="7"/>
  <c r="F56" i="7"/>
  <c r="F31" i="7" s="1"/>
  <c r="F35" i="7" s="1"/>
  <c r="R54" i="7"/>
  <c r="R32" i="7" s="1"/>
  <c r="L54" i="7"/>
  <c r="J54" i="7"/>
  <c r="J32" i="7" s="1"/>
  <c r="J55" i="7" s="1"/>
  <c r="J56" i="7" s="1"/>
  <c r="J31" i="7" s="1"/>
  <c r="T54" i="7"/>
  <c r="L33" i="7"/>
  <c r="L23" i="7" s="1"/>
  <c r="J33" i="7"/>
  <c r="J23" i="7" s="1"/>
  <c r="P33" i="7"/>
  <c r="P23" i="7" s="1"/>
  <c r="P54" i="7"/>
  <c r="N33" i="7"/>
  <c r="N23" i="7" s="1"/>
  <c r="N25" i="7" s="1"/>
  <c r="N54" i="7"/>
  <c r="N32" i="7" s="1"/>
  <c r="H33" i="7"/>
  <c r="H23" i="7" s="1"/>
  <c r="H54" i="7"/>
  <c r="H32" i="7" s="1"/>
  <c r="T33" i="7"/>
  <c r="T23" i="7" s="1"/>
  <c r="T25" i="7" s="1"/>
  <c r="R33" i="7"/>
  <c r="N35" i="4" l="1"/>
  <c r="P35" i="4" s="1"/>
  <c r="J35" i="7"/>
  <c r="H49" i="7"/>
  <c r="H25" i="7"/>
  <c r="P32" i="7"/>
  <c r="P55" i="7" s="1"/>
  <c r="P56" i="7" s="1"/>
  <c r="P31" i="7" s="1"/>
  <c r="P35" i="7" s="1"/>
  <c r="T49" i="7"/>
  <c r="R23" i="7"/>
  <c r="T32" i="7"/>
  <c r="T55" i="7" s="1"/>
  <c r="T56" i="7" s="1"/>
  <c r="T31" i="7" s="1"/>
  <c r="T35" i="7" s="1"/>
  <c r="T37" i="7" s="1"/>
  <c r="N55" i="7"/>
  <c r="N56" i="7" s="1"/>
  <c r="N31" i="7" s="1"/>
  <c r="N35" i="7" s="1"/>
  <c r="N37" i="7" s="1"/>
  <c r="F37" i="7"/>
  <c r="L25" i="7"/>
  <c r="L49" i="7"/>
  <c r="P49" i="7"/>
  <c r="P25" i="7"/>
  <c r="J49" i="7"/>
  <c r="J25" i="7"/>
  <c r="J37" i="7" s="1"/>
  <c r="R55" i="7"/>
  <c r="R56" i="7" s="1"/>
  <c r="R31" i="7" s="1"/>
  <c r="R35" i="7" s="1"/>
  <c r="L32" i="7"/>
  <c r="L55" i="7" s="1"/>
  <c r="L56" i="7" s="1"/>
  <c r="L31" i="7" s="1"/>
  <c r="L35" i="7" s="1"/>
  <c r="H55" i="7"/>
  <c r="H56" i="7" s="1"/>
  <c r="H31" i="7" s="1"/>
  <c r="H35" i="7" s="1"/>
  <c r="N49" i="7"/>
  <c r="L37" i="7" l="1"/>
  <c r="N34" i="4"/>
  <c r="P34" i="4" s="1"/>
  <c r="P39" i="4" s="1"/>
  <c r="P49" i="4" s="1"/>
  <c r="H37" i="7"/>
  <c r="P37" i="7"/>
  <c r="N20" i="4"/>
  <c r="P20" i="4" s="1"/>
  <c r="R49" i="7"/>
  <c r="R25" i="7"/>
  <c r="R37" i="7" s="1"/>
  <c r="N8" i="4"/>
  <c r="P8" i="4" s="1"/>
  <c r="P13" i="4" s="1"/>
  <c r="S43" i="8"/>
  <c r="S49" i="8" s="1"/>
  <c r="Q43" i="8"/>
  <c r="Q49" i="8" s="1"/>
  <c r="U43" i="8"/>
  <c r="U49" i="8" s="1"/>
  <c r="O43" i="8"/>
  <c r="O49" i="8" s="1"/>
  <c r="P22" i="4" l="1"/>
  <c r="P51" i="4" s="1"/>
  <c r="O51" i="8"/>
  <c r="O54" i="8" s="1"/>
  <c r="Q51" i="8"/>
  <c r="Q54" i="8" s="1"/>
  <c r="S51" i="8"/>
  <c r="S54" i="8" s="1"/>
  <c r="U51" i="8"/>
  <c r="U54" i="8" s="1"/>
  <c r="X49" i="8"/>
  <c r="U55" i="8" l="1"/>
  <c r="X54" i="8"/>
  <c r="U57" i="8"/>
  <c r="O57" i="8"/>
  <c r="O62" i="8" s="1"/>
  <c r="O55" i="8"/>
  <c r="S55" i="8"/>
  <c r="S57" i="8"/>
  <c r="S62" i="8" s="1"/>
  <c r="Q57" i="8"/>
  <c r="Q62" i="8" s="1"/>
  <c r="Q55" i="8"/>
  <c r="Q63" i="8" l="1"/>
  <c r="Q64" i="8"/>
  <c r="O64" i="8"/>
  <c r="O63" i="8"/>
  <c r="S64" i="8"/>
  <c r="S63" i="8"/>
  <c r="U62" i="8"/>
  <c r="X57" i="8"/>
  <c r="U64" i="8" l="1"/>
  <c r="U6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MacGregor</author>
    <author>Microsoft Office User</author>
  </authors>
  <commentList>
    <comment ref="T7" authorId="0" shapeId="0" xr:uid="{00000000-0006-0000-0000-000001000000}">
      <text>
        <r>
          <rPr>
            <sz val="8"/>
            <color rgb="FF000000"/>
            <rFont val="Tahoma"/>
            <family val="2"/>
          </rPr>
          <t>This integer value will correspond to a offer price per TargetCo share once we determine what range of offer prices we want to consider for this deal.</t>
        </r>
      </text>
    </comment>
    <comment ref="T8" authorId="0" shapeId="0" xr:uid="{00000000-0006-0000-0000-000002000000}">
      <text>
        <r>
          <rPr>
            <sz val="8"/>
            <color rgb="FF000000"/>
            <rFont val="Tahoma"/>
            <family val="2"/>
          </rPr>
          <t>Consideration paid to TargetCo's shareholders may comprise cash and/or BuyerCo stock.</t>
        </r>
      </text>
    </comment>
    <comment ref="T16" authorId="1" shapeId="0" xr:uid="{B2A621D1-D8D9-5940-B115-EA110159DC47}">
      <text>
        <r>
          <rPr>
            <sz val="10"/>
            <color rgb="FF000000"/>
            <rFont val="Tahoma"/>
            <family val="2"/>
          </rPr>
          <t>Elevated</t>
        </r>
        <r>
          <rPr>
            <sz val="10"/>
            <color rgb="FF000000"/>
            <rFont val="Tahoma"/>
            <family val="2"/>
          </rPr>
          <t xml:space="preserve"> </t>
        </r>
        <r>
          <rPr>
            <sz val="10"/>
            <color rgb="FF000000"/>
            <rFont val="Tahoma"/>
            <family val="2"/>
          </rPr>
          <t>from</t>
        </r>
        <r>
          <rPr>
            <sz val="10"/>
            <color rgb="FF000000"/>
            <rFont val="Tahoma"/>
            <family val="2"/>
          </rPr>
          <t xml:space="preserve"> </t>
        </r>
        <r>
          <rPr>
            <sz val="10"/>
            <color rgb="FF000000"/>
            <rFont val="Tahoma"/>
            <family val="2"/>
          </rPr>
          <t>4.5%,</t>
        </r>
        <r>
          <rPr>
            <sz val="10"/>
            <color rgb="FF000000"/>
            <rFont val="Tahoma"/>
            <family val="2"/>
          </rPr>
          <t xml:space="preserve"> </t>
        </r>
        <r>
          <rPr>
            <sz val="10"/>
            <color rgb="FF000000"/>
            <rFont val="Tahoma"/>
            <family val="2"/>
          </rPr>
          <t>which</t>
        </r>
        <r>
          <rPr>
            <sz val="10"/>
            <color rgb="FF000000"/>
            <rFont val="Tahoma"/>
            <family val="2"/>
          </rPr>
          <t xml:space="preserve"> </t>
        </r>
        <r>
          <rPr>
            <sz val="10"/>
            <color rgb="FF000000"/>
            <rFont val="Tahoma"/>
            <family val="2"/>
          </rPr>
          <t>is</t>
        </r>
        <r>
          <rPr>
            <sz val="10"/>
            <color rgb="FF000000"/>
            <rFont val="Tahoma"/>
            <family val="2"/>
          </rPr>
          <t xml:space="preserve"> </t>
        </r>
        <r>
          <rPr>
            <sz val="10"/>
            <color rgb="FF000000"/>
            <rFont val="Tahoma"/>
            <family val="2"/>
          </rPr>
          <t>the</t>
        </r>
        <r>
          <rPr>
            <sz val="10"/>
            <color rgb="FF000000"/>
            <rFont val="Tahoma"/>
            <family val="2"/>
          </rPr>
          <t xml:space="preserve"> </t>
        </r>
        <r>
          <rPr>
            <sz val="10"/>
            <color rgb="FF000000"/>
            <rFont val="Tahoma"/>
            <family val="2"/>
          </rPr>
          <t>current</t>
        </r>
        <r>
          <rPr>
            <sz val="10"/>
            <color rgb="FF000000"/>
            <rFont val="Tahoma"/>
            <family val="2"/>
          </rPr>
          <t xml:space="preserve"> </t>
        </r>
        <r>
          <rPr>
            <sz val="10"/>
            <color rgb="FF000000"/>
            <rFont val="Tahoma"/>
            <family val="2"/>
          </rPr>
          <t>debt</t>
        </r>
        <r>
          <rPr>
            <sz val="10"/>
            <color rgb="FF000000"/>
            <rFont val="Tahoma"/>
            <family val="2"/>
          </rPr>
          <t xml:space="preserve"> </t>
        </r>
        <r>
          <rPr>
            <sz val="10"/>
            <color rgb="FF000000"/>
            <rFont val="Tahoma"/>
            <family val="2"/>
          </rPr>
          <t>cost</t>
        </r>
        <r>
          <rPr>
            <sz val="10"/>
            <color rgb="FF000000"/>
            <rFont val="Tahoma"/>
            <family val="2"/>
          </rPr>
          <t xml:space="preserve"> </t>
        </r>
        <r>
          <rPr>
            <sz val="10"/>
            <color rgb="FF000000"/>
            <rFont val="Tahoma"/>
            <family val="2"/>
          </rPr>
          <t>of</t>
        </r>
        <r>
          <rPr>
            <sz val="10"/>
            <color rgb="FF000000"/>
            <rFont val="Tahoma"/>
            <family val="2"/>
          </rPr>
          <t xml:space="preserve"> </t>
        </r>
        <r>
          <rPr>
            <sz val="10"/>
            <color rgb="FF000000"/>
            <rFont val="Tahoma"/>
            <family val="2"/>
          </rPr>
          <t>the</t>
        </r>
        <r>
          <rPr>
            <sz val="10"/>
            <color rgb="FF000000"/>
            <rFont val="Tahoma"/>
            <family val="2"/>
          </rPr>
          <t xml:space="preserve"> </t>
        </r>
        <r>
          <rPr>
            <sz val="10"/>
            <color rgb="FF000000"/>
            <rFont val="Tahoma"/>
            <family val="2"/>
          </rPr>
          <t>acquiring</t>
        </r>
        <r>
          <rPr>
            <sz val="10"/>
            <color rgb="FF000000"/>
            <rFont val="Tahoma"/>
            <family val="2"/>
          </rPr>
          <t xml:space="preserve"> </t>
        </r>
        <r>
          <rPr>
            <sz val="10"/>
            <color rgb="FF000000"/>
            <rFont val="Tahoma"/>
            <family val="2"/>
          </rPr>
          <t>company.</t>
        </r>
        <r>
          <rPr>
            <sz val="10"/>
            <color rgb="FF000000"/>
            <rFont val="Tahoma"/>
            <family val="2"/>
          </rPr>
          <t xml:space="preserve"> </t>
        </r>
        <r>
          <rPr>
            <sz val="10"/>
            <color rgb="FF000000"/>
            <rFont val="Tahoma"/>
            <family val="2"/>
          </rPr>
          <t>This</t>
        </r>
        <r>
          <rPr>
            <sz val="10"/>
            <color rgb="FF000000"/>
            <rFont val="Tahoma"/>
            <family val="2"/>
          </rPr>
          <t xml:space="preserve"> </t>
        </r>
        <r>
          <rPr>
            <sz val="10"/>
            <color rgb="FF000000"/>
            <rFont val="Tahoma"/>
            <family val="2"/>
          </rPr>
          <t>is</t>
        </r>
        <r>
          <rPr>
            <sz val="10"/>
            <color rgb="FF000000"/>
            <rFont val="Tahoma"/>
            <family val="2"/>
          </rPr>
          <t xml:space="preserve"> </t>
        </r>
        <r>
          <rPr>
            <sz val="10"/>
            <color rgb="FF000000"/>
            <rFont val="Tahoma"/>
            <family val="2"/>
          </rPr>
          <t>due</t>
        </r>
        <r>
          <rPr>
            <sz val="10"/>
            <color rgb="FF000000"/>
            <rFont val="Tahoma"/>
            <family val="2"/>
          </rPr>
          <t xml:space="preserve"> </t>
        </r>
        <r>
          <rPr>
            <sz val="10"/>
            <color rgb="FF000000"/>
            <rFont val="Tahoma"/>
            <family val="2"/>
          </rPr>
          <t>to</t>
        </r>
        <r>
          <rPr>
            <sz val="10"/>
            <color rgb="FF000000"/>
            <rFont val="Tahoma"/>
            <family val="2"/>
          </rPr>
          <t xml:space="preserve"> </t>
        </r>
        <r>
          <rPr>
            <sz val="10"/>
            <color rgb="FF000000"/>
            <rFont val="Tahoma"/>
            <family val="2"/>
          </rPr>
          <t>the</t>
        </r>
        <r>
          <rPr>
            <sz val="10"/>
            <color rgb="FF000000"/>
            <rFont val="Tahoma"/>
            <family val="2"/>
          </rPr>
          <t xml:space="preserve"> </t>
        </r>
        <r>
          <rPr>
            <sz val="10"/>
            <color rgb="FF000000"/>
            <rFont val="Tahoma"/>
            <family val="2"/>
          </rPr>
          <t>large</t>
        </r>
        <r>
          <rPr>
            <sz val="10"/>
            <color rgb="FF000000"/>
            <rFont val="Tahoma"/>
            <family val="2"/>
          </rPr>
          <t xml:space="preserve"> </t>
        </r>
        <r>
          <rPr>
            <sz val="10"/>
            <color rgb="FF000000"/>
            <rFont val="Tahoma"/>
            <family val="2"/>
          </rPr>
          <t>amount</t>
        </r>
        <r>
          <rPr>
            <sz val="10"/>
            <color rgb="FF000000"/>
            <rFont val="Tahoma"/>
            <family val="2"/>
          </rPr>
          <t xml:space="preserve"> </t>
        </r>
        <r>
          <rPr>
            <sz val="10"/>
            <color rgb="FF000000"/>
            <rFont val="Tahoma"/>
            <family val="2"/>
          </rPr>
          <t>of</t>
        </r>
        <r>
          <rPr>
            <sz val="10"/>
            <color rgb="FF000000"/>
            <rFont val="Tahoma"/>
            <family val="2"/>
          </rPr>
          <t xml:space="preserve"> </t>
        </r>
        <r>
          <rPr>
            <sz val="10"/>
            <color rgb="FF000000"/>
            <rFont val="Tahoma"/>
            <family val="2"/>
          </rPr>
          <t>fund</t>
        </r>
        <r>
          <rPr>
            <sz val="10"/>
            <color rgb="FF000000"/>
            <rFont val="Tahoma"/>
            <family val="2"/>
          </rPr>
          <t xml:space="preserve"> </t>
        </r>
        <r>
          <rPr>
            <sz val="10"/>
            <color rgb="FF000000"/>
            <rFont val="Tahoma"/>
            <family val="2"/>
          </rPr>
          <t>raised</t>
        </r>
        <r>
          <rPr>
            <sz val="10"/>
            <color rgb="FF000000"/>
            <rFont val="Tahoma"/>
            <family val="2"/>
          </rPr>
          <t xml:space="preserve"> </t>
        </r>
        <r>
          <rPr>
            <sz val="10"/>
            <color rgb="FF000000"/>
            <rFont val="Tahoma"/>
            <family val="2"/>
          </rPr>
          <t>through</t>
        </r>
        <r>
          <rPr>
            <sz val="10"/>
            <color rgb="FF000000"/>
            <rFont val="Tahoma"/>
            <family val="2"/>
          </rPr>
          <t xml:space="preserve"> </t>
        </r>
        <r>
          <rPr>
            <sz val="10"/>
            <color rgb="FF000000"/>
            <rFont val="Tahoma"/>
            <family val="2"/>
          </rPr>
          <t xml:space="preserve">debt.
</t>
        </r>
        <r>
          <rPr>
            <sz val="10"/>
            <color rgb="FF000000"/>
            <rFont val="Tahoma"/>
            <family val="2"/>
          </rPr>
          <t xml:space="preserve">
</t>
        </r>
      </text>
    </comment>
    <comment ref="T17" authorId="0" shapeId="0" xr:uid="{00000000-0006-0000-0000-000003000000}">
      <text>
        <r>
          <rPr>
            <sz val="8"/>
            <color rgb="FF000000"/>
            <rFont val="Tahoma"/>
            <family val="2"/>
          </rPr>
          <t>The period over which debt used to acquire TargetCo must be repaid.</t>
        </r>
      </text>
    </comment>
    <comment ref="T20" authorId="0" shapeId="0" xr:uid="{00000000-0006-0000-0000-000004000000}">
      <text>
        <r>
          <rPr>
            <sz val="8"/>
            <color rgb="FF000000"/>
            <rFont val="Tahoma"/>
            <family val="2"/>
          </rPr>
          <t>The rate at which interest would accrue on any cash balance.</t>
        </r>
      </text>
    </comment>
    <comment ref="T21" authorId="0" shapeId="0" xr:uid="{00000000-0006-0000-0000-000005000000}">
      <text>
        <r>
          <rPr>
            <sz val="8"/>
            <color rgb="FF000000"/>
            <rFont val="Tahoma"/>
            <family val="2"/>
          </rPr>
          <t>This is the minimum amount of cash that the combined company is expected to need to fund its operations.</t>
        </r>
      </text>
    </comment>
    <comment ref="L32" authorId="1" shapeId="0" xr:uid="{C54956F7-6502-3E45-B3C5-CC51777B8F60}">
      <text>
        <r>
          <rPr>
            <sz val="10"/>
            <color rgb="FF000000"/>
            <rFont val="Tahoma"/>
            <family val="2"/>
          </rPr>
          <t>time</t>
        </r>
        <r>
          <rPr>
            <sz val="10"/>
            <color rgb="FF000000"/>
            <rFont val="Tahoma"/>
            <family val="2"/>
          </rPr>
          <t xml:space="preserve"> </t>
        </r>
        <r>
          <rPr>
            <sz val="10"/>
            <color rgb="FF000000"/>
            <rFont val="Tahoma"/>
            <family val="2"/>
          </rPr>
          <t>frame</t>
        </r>
        <r>
          <rPr>
            <sz val="10"/>
            <color rgb="FF000000"/>
            <rFont val="Tahoma"/>
            <family val="2"/>
          </rPr>
          <t xml:space="preserve"> </t>
        </r>
        <r>
          <rPr>
            <sz val="10"/>
            <color rgb="FF000000"/>
            <rFont val="Tahoma"/>
            <family val="2"/>
          </rPr>
          <t>needs</t>
        </r>
        <r>
          <rPr>
            <sz val="10"/>
            <color rgb="FF000000"/>
            <rFont val="Tahoma"/>
            <family val="2"/>
          </rPr>
          <t xml:space="preserve"> </t>
        </r>
        <r>
          <rPr>
            <sz val="10"/>
            <color rgb="FF000000"/>
            <rFont val="Tahoma"/>
            <family val="2"/>
          </rPr>
          <t>to</t>
        </r>
        <r>
          <rPr>
            <sz val="10"/>
            <color rgb="FF000000"/>
            <rFont val="Tahoma"/>
            <family val="2"/>
          </rPr>
          <t xml:space="preserve"> </t>
        </r>
        <r>
          <rPr>
            <sz val="10"/>
            <color rgb="FF000000"/>
            <rFont val="Tahoma"/>
            <family val="2"/>
          </rPr>
          <t>be</t>
        </r>
        <r>
          <rPr>
            <sz val="10"/>
            <color rgb="FF000000"/>
            <rFont val="Tahoma"/>
            <family val="2"/>
          </rPr>
          <t xml:space="preserve"> </t>
        </r>
        <r>
          <rPr>
            <sz val="10"/>
            <color rgb="FF000000"/>
            <rFont val="Tahoma"/>
            <family val="2"/>
          </rPr>
          <t>aligned</t>
        </r>
        <r>
          <rPr>
            <sz val="10"/>
            <color rgb="FF000000"/>
            <rFont val="Tahoma"/>
            <family val="2"/>
          </rPr>
          <t xml:space="preserve">
</t>
        </r>
      </text>
    </comment>
    <comment ref="T39" authorId="0" shapeId="0" xr:uid="{00000000-0006-0000-0000-000006000000}">
      <text>
        <r>
          <rPr>
            <sz val="8"/>
            <color rgb="FF000000"/>
            <rFont val="Tahoma"/>
            <family val="2"/>
          </rPr>
          <t>Always use the acquirer's tax rate.  We will plug in this number after building the acquirer's P&amp;L.</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Ryan MacGregor</author>
    <author>Microsoft Office User</author>
  </authors>
  <commentList>
    <comment ref="H4" authorId="0" shapeId="0" xr:uid="{00000000-0006-0000-0A00-000001000000}">
      <text>
        <r>
          <rPr>
            <sz val="8"/>
            <color indexed="8"/>
            <rFont val="Tahoma"/>
            <family val="2"/>
          </rPr>
          <t>Normally, the DCF uses calendar, rather than fiscal, years.  We use fiscal years here to keep the example fairly simple.</t>
        </r>
      </text>
    </comment>
    <comment ref="H15" authorId="0" shapeId="0" xr:uid="{00000000-0006-0000-0A00-000002000000}">
      <text>
        <r>
          <rPr>
            <sz val="8"/>
            <color rgb="FF000000"/>
            <rFont val="Tahoma"/>
            <family val="2"/>
          </rPr>
          <t>We use the target's, rather than the acquirer's, tax rate here because we are valuing the target as a standalone company in the DCF analysis.  Normally, this would be taken from the calendarized P&amp;L.</t>
        </r>
      </text>
    </comment>
    <comment ref="H29" authorId="1" shapeId="0" xr:uid="{D060F7FE-359D-B84E-B3F9-ECD8DB4AD644}">
      <text>
        <r>
          <rPr>
            <sz val="10"/>
            <color rgb="FF000000"/>
            <rFont val="Tahoma"/>
            <family val="2"/>
          </rPr>
          <t xml:space="preserve">Based on recently report on terminal EBITDA multiple by sector, luxruy fashion sector has a ratio of 12.5x.
</t>
        </r>
        <r>
          <rPr>
            <sz val="10"/>
            <color rgb="FF000000"/>
            <rFont val="Tahoma"/>
            <family val="2"/>
          </rPr>
          <t xml:space="preserve"> </t>
        </r>
      </text>
    </comment>
    <comment ref="D30" authorId="1" shapeId="0" xr:uid="{8644DA1D-2A3D-F54D-9EAC-C4C727DABF41}">
      <text>
        <r>
          <rPr>
            <sz val="10"/>
            <color rgb="FF000000"/>
            <rFont val="Tahoma"/>
            <family val="2"/>
          </rPr>
          <t>An easy WACC from Bloomberg</t>
        </r>
      </text>
    </comment>
    <comment ref="V39" authorId="0" shapeId="0" xr:uid="{00000000-0006-0000-0A00-000003000000}">
      <text>
        <r>
          <rPr>
            <sz val="8"/>
            <color rgb="FF000000"/>
            <rFont val="Tahoma"/>
            <family val="2"/>
          </rPr>
          <t>Fully diluted shares outstanding</t>
        </r>
      </text>
    </comment>
    <comment ref="H45" authorId="1" shapeId="0" xr:uid="{4C82C581-6D05-194D-8518-0604D5BA13C3}">
      <text>
        <r>
          <rPr>
            <sz val="10"/>
            <color rgb="FF000000"/>
            <rFont val="Tahoma"/>
            <family val="2"/>
          </rPr>
          <t>Based</t>
        </r>
        <r>
          <rPr>
            <sz val="10"/>
            <color rgb="FF000000"/>
            <rFont val="Tahoma"/>
            <family val="2"/>
          </rPr>
          <t xml:space="preserve"> </t>
        </r>
        <r>
          <rPr>
            <sz val="10"/>
            <color rgb="FF000000"/>
            <rFont val="Tahoma"/>
            <family val="2"/>
          </rPr>
          <t>on</t>
        </r>
        <r>
          <rPr>
            <sz val="10"/>
            <color rgb="FF000000"/>
            <rFont val="Tahoma"/>
            <family val="2"/>
          </rPr>
          <t xml:space="preserve"> </t>
        </r>
        <r>
          <rPr>
            <sz val="10"/>
            <color rgb="FF000000"/>
            <rFont val="Tahoma"/>
            <family val="2"/>
          </rPr>
          <t>recent</t>
        </r>
        <r>
          <rPr>
            <sz val="10"/>
            <color rgb="FF000000"/>
            <rFont val="Tahoma"/>
            <family val="2"/>
          </rPr>
          <t xml:space="preserve"> </t>
        </r>
        <r>
          <rPr>
            <sz val="10"/>
            <color rgb="FF000000"/>
            <rFont val="Tahoma"/>
            <family val="2"/>
          </rPr>
          <t>report</t>
        </r>
        <r>
          <rPr>
            <sz val="10"/>
            <color rgb="FF000000"/>
            <rFont val="Tahoma"/>
            <family val="2"/>
          </rPr>
          <t xml:space="preserve"> </t>
        </r>
        <r>
          <rPr>
            <sz val="10"/>
            <color rgb="FF000000"/>
            <rFont val="Tahoma"/>
            <family val="2"/>
          </rPr>
          <t>on</t>
        </r>
        <r>
          <rPr>
            <sz val="10"/>
            <color rgb="FF000000"/>
            <rFont val="Tahoma"/>
            <family val="2"/>
          </rPr>
          <t xml:space="preserve"> </t>
        </r>
        <r>
          <rPr>
            <sz val="10"/>
            <color rgb="FF000000"/>
            <rFont val="Tahoma"/>
            <family val="2"/>
          </rPr>
          <t>growth</t>
        </r>
        <r>
          <rPr>
            <sz val="10"/>
            <color rgb="FF000000"/>
            <rFont val="Tahoma"/>
            <family val="2"/>
          </rPr>
          <t xml:space="preserve"> </t>
        </r>
        <r>
          <rPr>
            <sz val="10"/>
            <color rgb="FF000000"/>
            <rFont val="Tahoma"/>
            <family val="2"/>
          </rPr>
          <t>rate</t>
        </r>
        <r>
          <rPr>
            <sz val="10"/>
            <color rgb="FF000000"/>
            <rFont val="Tahoma"/>
            <family val="2"/>
          </rPr>
          <t xml:space="preserve"> </t>
        </r>
        <r>
          <rPr>
            <sz val="10"/>
            <color rgb="FF000000"/>
            <rFont val="Tahoma"/>
            <family val="2"/>
          </rPr>
          <t>by</t>
        </r>
        <r>
          <rPr>
            <sz val="10"/>
            <color rgb="FF000000"/>
            <rFont val="Tahoma"/>
            <family val="2"/>
          </rPr>
          <t xml:space="preserve"> </t>
        </r>
        <r>
          <rPr>
            <sz val="10"/>
            <color rgb="FF000000"/>
            <rFont val="Tahoma"/>
            <family val="2"/>
          </rPr>
          <t>sector,</t>
        </r>
        <r>
          <rPr>
            <sz val="10"/>
            <color rgb="FF000000"/>
            <rFont val="Tahoma"/>
            <family val="2"/>
          </rPr>
          <t xml:space="preserve"> </t>
        </r>
        <r>
          <rPr>
            <sz val="10"/>
            <color rgb="FF000000"/>
            <rFont val="Tahoma"/>
            <family val="2"/>
          </rPr>
          <t>the</t>
        </r>
        <r>
          <rPr>
            <sz val="10"/>
            <color rgb="FF000000"/>
            <rFont val="Tahoma"/>
            <family val="2"/>
          </rPr>
          <t xml:space="preserve"> </t>
        </r>
        <r>
          <rPr>
            <sz val="10"/>
            <color rgb="FF000000"/>
            <rFont val="Tahoma"/>
            <family val="2"/>
          </rPr>
          <t>luxury</t>
        </r>
        <r>
          <rPr>
            <sz val="10"/>
            <color rgb="FF000000"/>
            <rFont val="Tahoma"/>
            <family val="2"/>
          </rPr>
          <t xml:space="preserve"> </t>
        </r>
        <r>
          <rPr>
            <sz val="10"/>
            <color rgb="FF000000"/>
            <rFont val="Tahoma"/>
            <family val="2"/>
          </rPr>
          <t>fashion</t>
        </r>
        <r>
          <rPr>
            <sz val="10"/>
            <color rgb="FF000000"/>
            <rFont val="Tahoma"/>
            <family val="2"/>
          </rPr>
          <t xml:space="preserve"> </t>
        </r>
        <r>
          <rPr>
            <sz val="10"/>
            <color rgb="FF000000"/>
            <rFont val="Tahoma"/>
            <family val="2"/>
          </rPr>
          <t>sector</t>
        </r>
        <r>
          <rPr>
            <sz val="10"/>
            <color rgb="FF000000"/>
            <rFont val="Tahoma"/>
            <family val="2"/>
          </rPr>
          <t xml:space="preserve"> </t>
        </r>
        <r>
          <rPr>
            <sz val="10"/>
            <color rgb="FF000000"/>
            <rFont val="Tahoma"/>
            <family val="2"/>
          </rPr>
          <t>has</t>
        </r>
        <r>
          <rPr>
            <sz val="10"/>
            <color rgb="FF000000"/>
            <rFont val="Tahoma"/>
            <family val="2"/>
          </rPr>
          <t xml:space="preserve"> </t>
        </r>
        <r>
          <rPr>
            <sz val="10"/>
            <color rgb="FF000000"/>
            <rFont val="Tahoma"/>
            <family val="2"/>
          </rPr>
          <t>a</t>
        </r>
        <r>
          <rPr>
            <sz val="10"/>
            <color rgb="FF000000"/>
            <rFont val="Tahoma"/>
            <family val="2"/>
          </rPr>
          <t xml:space="preserve"> </t>
        </r>
        <r>
          <rPr>
            <sz val="10"/>
            <color rgb="FF000000"/>
            <rFont val="Tahoma"/>
            <family val="2"/>
          </rPr>
          <t>growth</t>
        </r>
        <r>
          <rPr>
            <sz val="10"/>
            <color rgb="FF000000"/>
            <rFont val="Tahoma"/>
            <family val="2"/>
          </rPr>
          <t xml:space="preserve"> </t>
        </r>
        <r>
          <rPr>
            <sz val="10"/>
            <color rgb="FF000000"/>
            <rFont val="Tahoma"/>
            <family val="2"/>
          </rPr>
          <t>rate</t>
        </r>
        <r>
          <rPr>
            <sz val="10"/>
            <color rgb="FF000000"/>
            <rFont val="Tahoma"/>
            <family val="2"/>
          </rPr>
          <t xml:space="preserve"> </t>
        </r>
        <r>
          <rPr>
            <sz val="10"/>
            <color rgb="FF000000"/>
            <rFont val="Tahoma"/>
            <family val="2"/>
          </rPr>
          <t>of</t>
        </r>
        <r>
          <rPr>
            <sz val="10"/>
            <color rgb="FF000000"/>
            <rFont val="Tahoma"/>
            <family val="2"/>
          </rPr>
          <t xml:space="preserve"> </t>
        </r>
        <r>
          <rPr>
            <sz val="10"/>
            <color rgb="FF000000"/>
            <rFont val="Tahoma"/>
            <family val="2"/>
          </rPr>
          <t xml:space="preserve">3.4%.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Ryan MacGregor</author>
  </authors>
  <commentList>
    <comment ref="X26" authorId="0" shapeId="0" xr:uid="{00000000-0006-0000-0100-000001000000}">
      <text>
        <r>
          <rPr>
            <sz val="8"/>
            <color rgb="FF000000"/>
            <rFont val="Tahoma"/>
            <family val="2"/>
          </rPr>
          <t>If the cash consideration is assumed to be either 0% or 100% of the total, you must first plug in 50% for "pct_cash" to get the values in this row, copy/paste the values (without equations) in place, then set "pct_cash" back to 0% or 100% as desired.  This is because the equation in these cells cannot handle the default 50% cash/stock mix when "pct_cash" is set to 0% or 100%.</t>
        </r>
      </text>
    </comment>
    <comment ref="I27" authorId="0" shapeId="0" xr:uid="{00000000-0006-0000-0100-000002000000}">
      <text>
        <r>
          <rPr>
            <sz val="8"/>
            <color indexed="8"/>
            <rFont val="Tahoma"/>
            <family val="2"/>
          </rPr>
          <t>Assume that the only cash outflow in an all-stock transaction, the fees, can be paid for without raising new debt.</t>
        </r>
      </text>
    </comment>
    <comment ref="AM27" authorId="0" shapeId="0" xr:uid="{00000000-0006-0000-0100-000003000000}">
      <text>
        <r>
          <rPr>
            <sz val="8"/>
            <color rgb="FF000000"/>
            <rFont val="Tahoma"/>
            <family val="2"/>
          </rPr>
          <t>To get these values, first plug in the exact same equations used in cells AA27:AM27.  Next, set "pct_cash" to 100% on the Assumptions tab.  Then, copy/paste in place the values (without equations) in cells AP27:BB27.  Lastly, reset "pct_cash" on the Assumptions tab to its prior value.  Each time certain assumptions change, such as "pct_cash", remember to repeat this process.  These cumbersome steps are necessary because there is no easy way to formulaically compute these values.</t>
        </r>
      </text>
    </comment>
    <comment ref="I32" authorId="0" shapeId="0" xr:uid="{00000000-0006-0000-0100-000004000000}">
      <text>
        <r>
          <rPr>
            <sz val="8"/>
            <color rgb="FF000000"/>
            <rFont val="Tahoma"/>
            <family val="2"/>
          </rPr>
          <t>Assume the transaction closes in FY09 and the write-down occurs in that year.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S10" authorId="0" shapeId="0" xr:uid="{F246EBD3-C9E6-FE4A-BC87-673AB9F8C6F5}">
      <text>
        <r>
          <rPr>
            <sz val="10"/>
            <color rgb="FF000000"/>
            <rFont val="Arial"/>
            <family val="2"/>
          </rPr>
          <t>Synergy after a merger typically does not occur immediately in the first year.</t>
        </r>
        <r>
          <rPr>
            <sz val="10"/>
            <color rgb="FF000000"/>
            <rFont val="Arial"/>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Ryan MacGregor</author>
  </authors>
  <commentList>
    <comment ref="F29" authorId="0" shapeId="0" xr:uid="{00000000-0006-0000-0400-000001000000}">
      <text>
        <r>
          <rPr>
            <sz val="8"/>
            <color rgb="FF000000"/>
            <rFont val="Tahoma"/>
            <family val="2"/>
          </rPr>
          <t>By linking directly to the target's options consideration, we assumed that the target's options are rolled over with acquirer options.  If the FV of the replacement options exceeds the FV of the Target's options assumed, the difference should be immediately recognized as compensation expense.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Ryan MacGregor</author>
    <author>Microsoft Office User</author>
  </authors>
  <commentList>
    <comment ref="J14" authorId="0" shapeId="0" xr:uid="{00000000-0006-0000-0500-000001000000}">
      <text>
        <r>
          <rPr>
            <sz val="8"/>
            <color rgb="FF000000"/>
            <rFont val="Tahoma"/>
            <family val="2"/>
          </rPr>
          <t>In millions.</t>
        </r>
      </text>
    </comment>
    <comment ref="J21" authorId="1" shapeId="0" xr:uid="{B01935C5-973F-8C48-94FF-027C1B331B12}">
      <text>
        <r>
          <rPr>
            <sz val="10"/>
            <color rgb="FF000000"/>
            <rFont val="Tahoma"/>
            <family val="2"/>
          </rPr>
          <t>In</t>
        </r>
        <r>
          <rPr>
            <sz val="10"/>
            <color rgb="FF000000"/>
            <rFont val="Tahoma"/>
            <family val="2"/>
          </rPr>
          <t xml:space="preserve"> </t>
        </r>
        <r>
          <rPr>
            <sz val="10"/>
            <color rgb="FF000000"/>
            <rFont val="Tahoma"/>
            <family val="2"/>
          </rPr>
          <t xml:space="preserve">millions.
</t>
        </r>
      </text>
    </comment>
    <comment ref="J140" authorId="0" shapeId="0" xr:uid="{00000000-0006-0000-0500-000003000000}">
      <text>
        <r>
          <rPr>
            <sz val="8"/>
            <color rgb="FF000000"/>
            <rFont val="Tahoma"/>
            <family val="2"/>
          </rPr>
          <t>Dividend yield equals a company's most recent full-year dividend payout divided by the average share price over that period.</t>
        </r>
      </text>
    </comment>
    <comment ref="J141" authorId="0" shapeId="0" xr:uid="{00000000-0006-0000-0500-000004000000}">
      <text>
        <r>
          <rPr>
            <sz val="8"/>
            <color rgb="FF000000"/>
            <rFont val="Tahoma"/>
            <family val="2"/>
          </rPr>
          <t>4.0% is a commonly used value for the risk-free rate.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Ryan MacGregor</author>
  </authors>
  <commentList>
    <comment ref="N46" authorId="0" shapeId="0" xr:uid="{00000000-0006-0000-0600-000001000000}">
      <text>
        <r>
          <rPr>
            <sz val="8"/>
            <color rgb="FF000000"/>
            <rFont val="Tahoma"/>
            <family val="2"/>
          </rPr>
          <t>Under the new accounting rules (e.g. FAS 141r), advisory fees are expensed as incurred, which we interpret here to mean "immediately".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M11" authorId="0" shapeId="0" xr:uid="{F0FE7E80-8428-174F-A4B5-A1AA52921C46}">
      <text>
        <r>
          <rPr>
            <sz val="10"/>
            <color rgb="FF000000"/>
            <rFont val="Arial"/>
            <family val="2"/>
          </rPr>
          <t>Synergy after a merger typically does not occur immediately in the first year.</t>
        </r>
      </text>
    </comment>
    <comment ref="M17" authorId="0" shapeId="0" xr:uid="{59A536A4-2AE1-3840-AD72-91885CCAD3EE}">
      <text>
        <r>
          <rPr>
            <sz val="10"/>
            <color rgb="FF000000"/>
            <rFont val="Arial"/>
            <family val="2"/>
          </rPr>
          <t xml:space="preserve">Synergy after a merger typically does not occur immediately in the first year.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Ryan MacGregor</author>
  </authors>
  <commentList>
    <comment ref="M5" authorId="0" shapeId="0" xr:uid="{00000000-0006-0000-0800-000001000000}">
      <text>
        <r>
          <rPr>
            <sz val="8"/>
            <color rgb="FF000000"/>
            <rFont val="Tahoma"/>
            <family val="2"/>
          </rPr>
          <t xml:space="preserve">Source: </t>
        </r>
        <r>
          <rPr>
            <sz val="8"/>
            <color rgb="FF000000"/>
            <rFont val="Tahoma"/>
            <family val="2"/>
          </rPr>
          <t>Bloomberg</t>
        </r>
        <r>
          <rPr>
            <sz val="8"/>
            <color rgb="FF000000"/>
            <rFont val="Tahoma"/>
            <family val="2"/>
          </rPr>
          <t xml:space="preserve"> </t>
        </r>
        <r>
          <rPr>
            <sz val="8"/>
            <color rgb="FF000000"/>
            <rFont val="Tahoma"/>
            <family val="2"/>
          </rPr>
          <t>Consensus</t>
        </r>
        <r>
          <rPr>
            <sz val="8"/>
            <color rgb="FF000000"/>
            <rFont val="Tahoma"/>
            <family val="2"/>
          </rPr>
          <t xml:space="preserve"> </t>
        </r>
        <r>
          <rPr>
            <sz val="8"/>
            <color rgb="FF000000"/>
            <rFont val="Tahoma"/>
            <family val="2"/>
          </rPr>
          <t xml:space="preserve">Data
</t>
        </r>
      </text>
    </comment>
    <comment ref="O5" authorId="0" shapeId="0" xr:uid="{00000000-0006-0000-0800-000002000000}">
      <text>
        <r>
          <rPr>
            <sz val="8"/>
            <color rgb="FF000000"/>
            <rFont val="Tahoma"/>
            <family val="2"/>
          </rPr>
          <t xml:space="preserve">Source: </t>
        </r>
        <r>
          <rPr>
            <sz val="8"/>
            <color rgb="FF000000"/>
            <rFont val="Tahoma"/>
            <family val="2"/>
          </rPr>
          <t>Bloomberg</t>
        </r>
        <r>
          <rPr>
            <sz val="8"/>
            <color rgb="FF000000"/>
            <rFont val="Tahoma"/>
            <family val="2"/>
          </rPr>
          <t xml:space="preserve"> </t>
        </r>
        <r>
          <rPr>
            <sz val="8"/>
            <color rgb="FF000000"/>
            <rFont val="Tahoma"/>
            <family val="2"/>
          </rPr>
          <t>Consensus</t>
        </r>
        <r>
          <rPr>
            <sz val="8"/>
            <color rgb="FF000000"/>
            <rFont val="Tahoma"/>
            <family val="2"/>
          </rPr>
          <t xml:space="preserve"> </t>
        </r>
        <r>
          <rPr>
            <sz val="8"/>
            <color rgb="FF000000"/>
            <rFont val="Tahoma"/>
            <family val="2"/>
          </rPr>
          <t>Data</t>
        </r>
      </text>
    </comment>
    <comment ref="Q5" authorId="0" shapeId="0" xr:uid="{00000000-0006-0000-0800-000003000000}">
      <text>
        <r>
          <rPr>
            <sz val="8"/>
            <color rgb="FF000000"/>
            <rFont val="Tahoma"/>
            <family val="2"/>
          </rPr>
          <t xml:space="preserve">Source: </t>
        </r>
        <r>
          <rPr>
            <sz val="8"/>
            <color rgb="FF000000"/>
            <rFont val="Tahoma"/>
            <family val="2"/>
          </rPr>
          <t>self-estimate</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M7" authorId="0" shapeId="0" xr:uid="{333B8A6B-5A3F-414F-883B-1FA2FD890FE3}">
      <text>
        <r>
          <rPr>
            <sz val="10"/>
            <color rgb="FF000000"/>
            <rFont val="Tahoma"/>
            <family val="2"/>
          </rPr>
          <t>Data</t>
        </r>
        <r>
          <rPr>
            <sz val="10"/>
            <color rgb="FF000000"/>
            <rFont val="Tahoma"/>
            <family val="2"/>
          </rPr>
          <t xml:space="preserve"> </t>
        </r>
        <r>
          <rPr>
            <sz val="10"/>
            <color rgb="FF000000"/>
            <rFont val="Tahoma"/>
            <family val="2"/>
          </rPr>
          <t>source:</t>
        </r>
        <r>
          <rPr>
            <sz val="10"/>
            <color rgb="FF000000"/>
            <rFont val="Tahoma"/>
            <family val="2"/>
          </rPr>
          <t xml:space="preserve"> </t>
        </r>
        <r>
          <rPr>
            <sz val="10"/>
            <color rgb="FF000000"/>
            <rFont val="Tahoma"/>
            <family val="2"/>
          </rPr>
          <t>Bloomberg</t>
        </r>
        <r>
          <rPr>
            <sz val="10"/>
            <color rgb="FF000000"/>
            <rFont val="Tahoma"/>
            <family val="2"/>
          </rPr>
          <t xml:space="preserve"> </t>
        </r>
        <r>
          <rPr>
            <sz val="10"/>
            <color rgb="FF000000"/>
            <rFont val="Tahoma"/>
            <family val="2"/>
          </rPr>
          <t>Consensus</t>
        </r>
        <r>
          <rPr>
            <sz val="10"/>
            <color rgb="FF000000"/>
            <rFont val="Tahoma"/>
            <family val="2"/>
          </rPr>
          <t xml:space="preserve"> </t>
        </r>
        <r>
          <rPr>
            <sz val="10"/>
            <color rgb="FF000000"/>
            <rFont val="Tahoma"/>
            <family val="2"/>
          </rPr>
          <t xml:space="preserve">Data
</t>
        </r>
        <r>
          <rPr>
            <sz val="10"/>
            <color rgb="FF000000"/>
            <rFont val="Tahoma"/>
            <family val="2"/>
          </rPr>
          <t xml:space="preserve">
Result </t>
        </r>
        <r>
          <rPr>
            <sz val="10"/>
            <color rgb="FF000000"/>
            <rFont val="Tahoma"/>
            <family val="2"/>
          </rPr>
          <t>adjusted</t>
        </r>
        <r>
          <rPr>
            <sz val="10"/>
            <color rgb="FF000000"/>
            <rFont val="Tahoma"/>
            <family val="2"/>
          </rPr>
          <t xml:space="preserve"> </t>
        </r>
        <r>
          <rPr>
            <sz val="10"/>
            <color rgb="FF000000"/>
            <rFont val="Tahoma"/>
            <family val="2"/>
          </rPr>
          <t>by</t>
        </r>
        <r>
          <rPr>
            <sz val="10"/>
            <color rgb="FF000000"/>
            <rFont val="Tahoma"/>
            <family val="2"/>
          </rPr>
          <t xml:space="preserve"> </t>
        </r>
        <r>
          <rPr>
            <sz val="10"/>
            <color rgb="FF000000"/>
            <rFont val="Tahoma"/>
            <family val="2"/>
          </rPr>
          <t>re-</t>
        </r>
        <r>
          <rPr>
            <sz val="10"/>
            <color rgb="FF000000"/>
            <rFont val="Tahoma"/>
            <family val="2"/>
          </rPr>
          <t xml:space="preserve">aligning date timeframes by stripping annuals </t>
        </r>
        <r>
          <rPr>
            <sz val="10"/>
            <color rgb="FF000000"/>
            <rFont val="Tahoma"/>
            <family val="2"/>
          </rPr>
          <t>in</t>
        </r>
        <r>
          <rPr>
            <sz val="10"/>
            <color rgb="FF000000"/>
            <rFont val="Tahoma"/>
            <family val="2"/>
          </rPr>
          <t xml:space="preserve">to quarters.
</t>
        </r>
      </text>
    </comment>
    <comment ref="O7" authorId="0" shapeId="0" xr:uid="{00A80584-73C1-7044-9583-02FDAAFBEB94}">
      <text>
        <r>
          <rPr>
            <sz val="10"/>
            <color rgb="FF000000"/>
            <rFont val="Arial"/>
            <family val="2"/>
          </rPr>
          <t>Data</t>
        </r>
        <r>
          <rPr>
            <sz val="10"/>
            <color rgb="FF000000"/>
            <rFont val="Arial"/>
            <family val="2"/>
          </rPr>
          <t xml:space="preserve"> </t>
        </r>
        <r>
          <rPr>
            <sz val="10"/>
            <color rgb="FF000000"/>
            <rFont val="Arial"/>
            <family val="2"/>
          </rPr>
          <t>source:</t>
        </r>
        <r>
          <rPr>
            <sz val="10"/>
            <color rgb="FF000000"/>
            <rFont val="Arial"/>
            <family val="2"/>
          </rPr>
          <t xml:space="preserve"> </t>
        </r>
        <r>
          <rPr>
            <sz val="10"/>
            <color rgb="FF000000"/>
            <rFont val="Arial"/>
            <family val="2"/>
          </rPr>
          <t>Bloomberg</t>
        </r>
        <r>
          <rPr>
            <sz val="10"/>
            <color rgb="FF000000"/>
            <rFont val="Arial"/>
            <family val="2"/>
          </rPr>
          <t xml:space="preserve"> </t>
        </r>
        <r>
          <rPr>
            <sz val="10"/>
            <color rgb="FF000000"/>
            <rFont val="Arial"/>
            <family val="2"/>
          </rPr>
          <t>Consensus</t>
        </r>
        <r>
          <rPr>
            <sz val="10"/>
            <color rgb="FF000000"/>
            <rFont val="Arial"/>
            <family val="2"/>
          </rPr>
          <t xml:space="preserve"> </t>
        </r>
        <r>
          <rPr>
            <sz val="10"/>
            <color rgb="FF000000"/>
            <rFont val="Arial"/>
            <family val="2"/>
          </rPr>
          <t>Data
Result adjusted</t>
        </r>
        <r>
          <rPr>
            <sz val="10"/>
            <color rgb="FF000000"/>
            <rFont val="Arial"/>
            <family val="2"/>
          </rPr>
          <t xml:space="preserve"> </t>
        </r>
        <r>
          <rPr>
            <sz val="10"/>
            <color rgb="FF000000"/>
            <rFont val="Arial"/>
            <family val="2"/>
          </rPr>
          <t>by re-aligning date timeframes by stripping annuals into quarters.</t>
        </r>
        <r>
          <rPr>
            <sz val="10"/>
            <color rgb="FF000000"/>
            <rFont val="Arial"/>
            <family val="2"/>
          </rPr>
          <t xml:space="preserve">
</t>
        </r>
      </text>
    </comment>
    <comment ref="Q7" authorId="0" shapeId="0" xr:uid="{2C75E02E-1CAF-C147-96BB-CB7521DB6314}">
      <text>
        <r>
          <rPr>
            <sz val="10"/>
            <color rgb="FF000000"/>
            <rFont val="Tahoma"/>
            <family val="2"/>
          </rPr>
          <t>Source:</t>
        </r>
        <r>
          <rPr>
            <sz val="10"/>
            <color rgb="FF000000"/>
            <rFont val="Tahoma"/>
            <family val="2"/>
          </rPr>
          <t xml:space="preserve"> </t>
        </r>
        <r>
          <rPr>
            <sz val="10"/>
            <color rgb="FF000000"/>
            <rFont val="Tahoma"/>
            <family val="2"/>
          </rPr>
          <t>self-estimate</t>
        </r>
      </text>
    </comment>
  </commentList>
</comments>
</file>

<file path=xl/sharedStrings.xml><?xml version="1.0" encoding="utf-8"?>
<sst xmlns="http://schemas.openxmlformats.org/spreadsheetml/2006/main" count="589" uniqueCount="333">
  <si>
    <t>Transaction Assumptions</t>
  </si>
  <si>
    <t>($ in millions, except per share data)</t>
  </si>
  <si>
    <t>Summary Financial Data</t>
  </si>
  <si>
    <t>Acquirer</t>
  </si>
  <si>
    <t>Target</t>
  </si>
  <si>
    <t>Code Name</t>
  </si>
  <si>
    <t>Ticker</t>
  </si>
  <si>
    <t>Current Price</t>
  </si>
  <si>
    <t>52-Week High</t>
  </si>
  <si>
    <t>52-Week Low</t>
  </si>
  <si>
    <t>Basic Shares Outstanding</t>
  </si>
  <si>
    <t>Treasury Method Shares</t>
  </si>
  <si>
    <t>In-the-Money Convertible Shares</t>
  </si>
  <si>
    <t>Fully Diluted Shares Outstanding</t>
  </si>
  <si>
    <t>Equity Value</t>
  </si>
  <si>
    <t>Net Debt</t>
  </si>
  <si>
    <t>Enterprise Value</t>
  </si>
  <si>
    <t>Convert 1</t>
  </si>
  <si>
    <t>Convert 2</t>
  </si>
  <si>
    <t>Face Value</t>
  </si>
  <si>
    <t>Conversion Price</t>
  </si>
  <si>
    <t>NA</t>
  </si>
  <si>
    <t>Convertible Shares</t>
  </si>
  <si>
    <t>Interest Rate</t>
  </si>
  <si>
    <t>In the Money?</t>
  </si>
  <si>
    <t>LTM Date</t>
  </si>
  <si>
    <t>Last Fiscal Year End</t>
  </si>
  <si>
    <t>Research Report Analyst</t>
  </si>
  <si>
    <t>Research Report Date</t>
  </si>
  <si>
    <t>Options Data</t>
  </si>
  <si>
    <t>Number of</t>
  </si>
  <si>
    <t>Average</t>
  </si>
  <si>
    <t>Cumulative</t>
  </si>
  <si>
    <t>Treasury</t>
  </si>
  <si>
    <t>Options (m)</t>
  </si>
  <si>
    <t>Strike</t>
  </si>
  <si>
    <t>Strike ($m)</t>
  </si>
  <si>
    <t>Avg. Strike</t>
  </si>
  <si>
    <t>Shares</t>
  </si>
  <si>
    <t>Tranche 1</t>
  </si>
  <si>
    <t>Tranche 2</t>
  </si>
  <si>
    <t>Tranche 3</t>
  </si>
  <si>
    <t>Tranche 4</t>
  </si>
  <si>
    <t>Tranche 5</t>
  </si>
  <si>
    <t>Tranche 6</t>
  </si>
  <si>
    <t>Tranche 7</t>
  </si>
  <si>
    <t>Tranche 8</t>
  </si>
  <si>
    <t>Tranche 9</t>
  </si>
  <si>
    <t>Tranche 10</t>
  </si>
  <si>
    <t>Total</t>
  </si>
  <si>
    <t>M&amp;A Assumptions</t>
  </si>
  <si>
    <t>Consideration</t>
  </si>
  <si>
    <t>Transaction Price</t>
  </si>
  <si>
    <t>Percent Cash Consideration</t>
  </si>
  <si>
    <t>Deal Structure</t>
  </si>
  <si>
    <t>Target LT Debt: 0=refinanced, 1=assumed</t>
  </si>
  <si>
    <t>Acquisition Type: 0=stock, 1=asset</t>
  </si>
  <si>
    <t>Section 338 Election?</t>
  </si>
  <si>
    <t>Acquisition Debt</t>
  </si>
  <si>
    <t>Interest Rate on Debt</t>
  </si>
  <si>
    <t>Amortization Period for New Debt (yrs)</t>
  </si>
  <si>
    <t>Cash</t>
  </si>
  <si>
    <t>Interest Rate on Cash</t>
  </si>
  <si>
    <t>Minimum Cash Balance</t>
  </si>
  <si>
    <t>Fees &amp; Expenses</t>
  </si>
  <si>
    <t>Advisory Fees</t>
  </si>
  <si>
    <t>Financing Fees</t>
  </si>
  <si>
    <t>Synergies</t>
  </si>
  <si>
    <t>Include Synergies?</t>
  </si>
  <si>
    <t>Cost Synergies</t>
  </si>
  <si>
    <t>SG&amp;A Synergies</t>
  </si>
  <si>
    <t>Purchase Price Allocation</t>
  </si>
  <si>
    <t xml:space="preserve">% of Excess PP Allocated to Intangibles </t>
  </si>
  <si>
    <t>Amortization Period (yrs)</t>
  </si>
  <si>
    <t>Step-Up of Target's Fixed Assets</t>
  </si>
  <si>
    <t>Depreciation Period (yrs)</t>
  </si>
  <si>
    <t>Other</t>
  </si>
  <si>
    <t>Tax Rate</t>
  </si>
  <si>
    <t>Calendar Year or Fiscal Year?</t>
  </si>
  <si>
    <t>FY</t>
  </si>
  <si>
    <t>Cash or GAAP?</t>
  </si>
  <si>
    <t>Total Revenue</t>
  </si>
  <si>
    <t>% Growth</t>
  </si>
  <si>
    <t>COGS</t>
  </si>
  <si>
    <t>% of Sales</t>
  </si>
  <si>
    <t>Gross Profit</t>
  </si>
  <si>
    <t>% Margin</t>
  </si>
  <si>
    <t>SG&amp;A</t>
  </si>
  <si>
    <t>EBITDA</t>
  </si>
  <si>
    <t>Depreciation</t>
  </si>
  <si>
    <t>Amortization</t>
  </si>
  <si>
    <t>Total D&amp;A</t>
  </si>
  <si>
    <t>Stock-Based Comp</t>
  </si>
  <si>
    <t>EBIT</t>
  </si>
  <si>
    <t>EBITA</t>
  </si>
  <si>
    <t>Interest (Income) / Expense</t>
  </si>
  <si>
    <t>Equity (Income)</t>
  </si>
  <si>
    <t>Minority Interest</t>
  </si>
  <si>
    <t>Other (Income) / Expense</t>
  </si>
  <si>
    <t>Income Before Taxes</t>
  </si>
  <si>
    <t>Provision for Tax</t>
  </si>
  <si>
    <t>% Tax Rate</t>
  </si>
  <si>
    <t>Cash Net Income</t>
  </si>
  <si>
    <t>Cash Diluted EPS</t>
  </si>
  <si>
    <t>Diluted Shares Out</t>
  </si>
  <si>
    <t>Cash to GAAP Reconciliation:</t>
  </si>
  <si>
    <t>One-Time Charges</t>
  </si>
  <si>
    <t>GAAP Net Income</t>
  </si>
  <si>
    <t>GAAP Diluted EPS</t>
  </si>
  <si>
    <t>Capex</t>
  </si>
  <si>
    <t>CAGR</t>
  </si>
  <si>
    <t>Pro Forma Balance Sheet</t>
  </si>
  <si>
    <t>Assets</t>
  </si>
  <si>
    <t>Current Assets</t>
  </si>
  <si>
    <t>Cash and Equivalents</t>
  </si>
  <si>
    <t>Accounts Receivable</t>
  </si>
  <si>
    <t>Inventory</t>
  </si>
  <si>
    <t>Deferred Income Taxes</t>
  </si>
  <si>
    <t>Other Current Assets</t>
  </si>
  <si>
    <t>Total Current Assets</t>
  </si>
  <si>
    <t>Net PP&amp;E</t>
  </si>
  <si>
    <t>Goodwill</t>
  </si>
  <si>
    <t>Intangibles</t>
  </si>
  <si>
    <t>Investments/Restricted Cash</t>
  </si>
  <si>
    <t>Unearned Compensation</t>
  </si>
  <si>
    <t>Deferred Financing Fees</t>
  </si>
  <si>
    <t>Other Assets</t>
  </si>
  <si>
    <t>Total Assets</t>
  </si>
  <si>
    <t>Liabilities and Stockholders' Equity</t>
  </si>
  <si>
    <t>Current Liabilities</t>
  </si>
  <si>
    <t>Accounts Payable</t>
  </si>
  <si>
    <t>Accrued Expenses</t>
  </si>
  <si>
    <t>Income Taxes Payable</t>
  </si>
  <si>
    <t>Deferred Revenue</t>
  </si>
  <si>
    <t>Other Current Liabilities</t>
  </si>
  <si>
    <t>Current Portion of Long-Term Debt</t>
  </si>
  <si>
    <t>Total Current Liabilities</t>
  </si>
  <si>
    <t>Revolver</t>
  </si>
  <si>
    <t>Non-Convertible Debt</t>
  </si>
  <si>
    <t>Convertible Debt</t>
  </si>
  <si>
    <t>Other Long-Term Liabilities</t>
  </si>
  <si>
    <t>Total Liabilities</t>
  </si>
  <si>
    <t>Preferred Stock, par value</t>
  </si>
  <si>
    <t>Common Stock, par value</t>
  </si>
  <si>
    <t>APIC</t>
  </si>
  <si>
    <t>Treasury Stock</t>
  </si>
  <si>
    <t>Accum. &amp; Other Comp. Income (Loss)</t>
  </si>
  <si>
    <t>Retained Earnings</t>
  </si>
  <si>
    <t>Total Stockholders' Equity</t>
  </si>
  <si>
    <t>Total Liabilities and Stockholders' Equity</t>
  </si>
  <si>
    <t>Check</t>
  </si>
  <si>
    <t>Purchase Price Ratio Analysis</t>
  </si>
  <si>
    <t>Common Stock</t>
  </si>
  <si>
    <t>Stock Options</t>
  </si>
  <si>
    <t>ITM Convertible Securities</t>
  </si>
  <si>
    <t>Total Diluted Equity Value</t>
  </si>
  <si>
    <t>Total Enterprise Value</t>
  </si>
  <si>
    <t>Premiums Analysis:</t>
  </si>
  <si>
    <t>7-Day Trading Average</t>
  </si>
  <si>
    <t>30-Day Trading Average</t>
  </si>
  <si>
    <t>60-Day Trading Average</t>
  </si>
  <si>
    <t>90-Day Trading Average</t>
  </si>
  <si>
    <t>Multiples Analysis:</t>
  </si>
  <si>
    <t>Purchase Price Allocation and Accounting Adjustments</t>
  </si>
  <si>
    <t>Current</t>
  </si>
  <si>
    <t>Price</t>
  </si>
  <si>
    <t>Options Calculations</t>
  </si>
  <si>
    <t>Unvested Black Scholes Value</t>
  </si>
  <si>
    <t>Stock Price</t>
  </si>
  <si>
    <t>Strike Price</t>
  </si>
  <si>
    <t>Expiration (yrs)</t>
  </si>
  <si>
    <t>Volatility</t>
  </si>
  <si>
    <t>Dividend Yield</t>
  </si>
  <si>
    <t>Risk-Free Rate</t>
  </si>
  <si>
    <t>d1</t>
  </si>
  <si>
    <t>d2</t>
  </si>
  <si>
    <t>N(d1)</t>
  </si>
  <si>
    <t>N(d2)</t>
  </si>
  <si>
    <t>Black Scholes Value Per Option</t>
  </si>
  <si>
    <t>Vested Black Scholes Value</t>
  </si>
  <si>
    <t>Fair Value of Options Issued by Acquirer</t>
  </si>
  <si>
    <t>Unvested Options</t>
  </si>
  <si>
    <t>Weighted Average Strike</t>
  </si>
  <si>
    <t>Weighted Average Remaining Term (yrs)</t>
  </si>
  <si>
    <t>Options Outstanding</t>
  </si>
  <si>
    <t>Fair Value of Unvested Options</t>
  </si>
  <si>
    <t>Vested Options</t>
  </si>
  <si>
    <t>Fair Value of Vested Options</t>
  </si>
  <si>
    <t>Intrinsic Value at Transaction Price of:</t>
  </si>
  <si>
    <t>Options</t>
  </si>
  <si>
    <t>Ex. Price</t>
  </si>
  <si>
    <t>Vesting Period</t>
  </si>
  <si>
    <t>Life</t>
  </si>
  <si>
    <t>Remaining</t>
  </si>
  <si>
    <t>Unearned Compensation Entry</t>
  </si>
  <si>
    <t>Vest. Per.</t>
  </si>
  <si>
    <t>Annual Compensation Expense</t>
  </si>
  <si>
    <t>Sources &amp; Uses of Funds</t>
  </si>
  <si>
    <t>Sources &amp; Uses</t>
  </si>
  <si>
    <t>Uses</t>
  </si>
  <si>
    <t>Total Equity Consideration</t>
  </si>
  <si>
    <t>Total Levered Consideration</t>
  </si>
  <si>
    <t>Acquirer Refinanced Debt</t>
  </si>
  <si>
    <t>Total Uses</t>
  </si>
  <si>
    <t>Sources</t>
  </si>
  <si>
    <t>Cash Consideration</t>
  </si>
  <si>
    <t>Total Sources</t>
  </si>
  <si>
    <t>Cash Schedule</t>
  </si>
  <si>
    <t>Cash Available</t>
  </si>
  <si>
    <t>Total Cash Available</t>
  </si>
  <si>
    <t>Cash Needed</t>
  </si>
  <si>
    <t>Cash Needed Before Revolver</t>
  </si>
  <si>
    <t>Total Cash Needed</t>
  </si>
  <si>
    <t>Purchase Price Calculation</t>
  </si>
  <si>
    <t>Common Equity Consideration</t>
  </si>
  <si>
    <t>Fair Value of Preferred Stock</t>
  </si>
  <si>
    <t>Total Purchase Price</t>
  </si>
  <si>
    <t>Adjusted Purchase Price</t>
  </si>
  <si>
    <t>Less:  Target Book Value of Net Assets</t>
  </si>
  <si>
    <t>Excess Purchase Price to Allocate</t>
  </si>
  <si>
    <t>Write-Up of Tangible Assets</t>
  </si>
  <si>
    <t>Write-Up of Identifiable Intangible Assets</t>
  </si>
  <si>
    <t>Write-Off of Target's Existing Goodwill</t>
  </si>
  <si>
    <t>Write-Off of Target's Existing DTL</t>
  </si>
  <si>
    <t>Allocation to Goodwill (Before DTL Allocation)</t>
  </si>
  <si>
    <t>DTL From Write-Up of Assets</t>
  </si>
  <si>
    <t>DTL From Deferred Compensation</t>
  </si>
  <si>
    <t>Total Goodwill Created</t>
  </si>
  <si>
    <t>Amortization of Identifiable Intangibles</t>
  </si>
  <si>
    <t>Excess of Purchase Price Over Book Value</t>
  </si>
  <si>
    <t>% Allocated to Identifiable Intangibles</t>
  </si>
  <si>
    <t>Write-Up of Intangible Assets</t>
  </si>
  <si>
    <t>Annual Incremental Amortization Expense</t>
  </si>
  <si>
    <t>Marginal Tax Rate</t>
  </si>
  <si>
    <t>After-Tax Annual Amortization Expense</t>
  </si>
  <si>
    <t>Depreciation of Fixed Asset Write-Up</t>
  </si>
  <si>
    <t>Annual Incremental Depreciation Expense</t>
  </si>
  <si>
    <t>After-Tax Annual Depreciation Expense</t>
  </si>
  <si>
    <t>Deferred Stock-Based Compensation Expense (FIN 44)</t>
  </si>
  <si>
    <t>Intrinsic Value of Unvested Options</t>
  </si>
  <si>
    <t>Write-Up for Deferred Compensation</t>
  </si>
  <si>
    <t>Margin Tax Rate</t>
  </si>
  <si>
    <t>After-Tax Annual Compensation Expense</t>
  </si>
  <si>
    <t>Deferred Revenue Write-Down</t>
  </si>
  <si>
    <t>% Fair Value to Book Value</t>
  </si>
  <si>
    <t>Deferred Revenue Period (yrs)</t>
  </si>
  <si>
    <t>Annual Deferred Revenue Write-Down</t>
  </si>
  <si>
    <t>After-Tax Annual Write-Down Expense</t>
  </si>
  <si>
    <t>Transaction Value Per Share</t>
  </si>
  <si>
    <t>Adjustments</t>
  </si>
  <si>
    <t>Write-Up</t>
  </si>
  <si>
    <t>Pro Forma</t>
  </si>
  <si>
    <t>Financing</t>
  </si>
  <si>
    <t>Pro Forma Income Statement</t>
  </si>
  <si>
    <t>COGS Synergies</t>
  </si>
  <si>
    <t>Existing Depreciation</t>
  </si>
  <si>
    <t>New Depreciation</t>
  </si>
  <si>
    <t>Existing Amortization</t>
  </si>
  <si>
    <t>New Amortization</t>
  </si>
  <si>
    <t>Other Transaction Adjustments</t>
  </si>
  <si>
    <t>PF Cash Net Income</t>
  </si>
  <si>
    <t>PF Cash Diluted EPS</t>
  </si>
  <si>
    <t>$ Accretion / (Dilution)</t>
  </si>
  <si>
    <t>% Accretion / (Dilution)</t>
  </si>
  <si>
    <t>Incremental Pre-Tax Synergies to Breakeven</t>
  </si>
  <si>
    <t>Accretion / Dilution Analysis</t>
  </si>
  <si>
    <t>Standalone</t>
  </si>
  <si>
    <t>All Stock</t>
  </si>
  <si>
    <t>Equity Purchase Price</t>
  </si>
  <si>
    <t>Multiples Analysis</t>
  </si>
  <si>
    <t>After-Tax Acquisition Adjustments</t>
  </si>
  <si>
    <t>Interest Lost on Cash Used</t>
  </si>
  <si>
    <t>Incremental Interest on New Debt</t>
  </si>
  <si>
    <t>Interest Gained on Conversion of Convert(s)</t>
  </si>
  <si>
    <t>Deferred Stock-Based Compensation</t>
  </si>
  <si>
    <t>Amortization of Indentifiable Intangibles</t>
  </si>
  <si>
    <t>Depreciation of Acquired Tangible Assets</t>
  </si>
  <si>
    <t>Write-Down of Deferred Revenue</t>
  </si>
  <si>
    <t>After-Tax Synergies</t>
  </si>
  <si>
    <t>Dilutes Shares - Treasury Method</t>
  </si>
  <si>
    <t>Total Shares Post-Transaction</t>
  </si>
  <si>
    <t>$ Accretion / Dilution</t>
  </si>
  <si>
    <t>% Accretion / Dilution</t>
  </si>
  <si>
    <t>Pre-Tax Synergies to Breakeven</t>
  </si>
  <si>
    <t>% of Combined Opex (Excl. Syngergies)</t>
  </si>
  <si>
    <t>All Cash</t>
  </si>
  <si>
    <t>Contribution Analysis</t>
  </si>
  <si>
    <r>
      <t xml:space="preserve">Combined </t>
    </r>
    <r>
      <rPr>
        <b/>
        <vertAlign val="superscript"/>
        <sz val="10"/>
        <rFont val="Arial"/>
        <family val="2"/>
      </rPr>
      <t>(1)</t>
    </r>
  </si>
  <si>
    <r>
      <t xml:space="preserve">Pro Forma </t>
    </r>
    <r>
      <rPr>
        <b/>
        <vertAlign val="superscript"/>
        <sz val="10"/>
        <rFont val="Arial"/>
        <family val="2"/>
      </rPr>
      <t>(2)</t>
    </r>
  </si>
  <si>
    <t>Revenue</t>
  </si>
  <si>
    <t>Contribution</t>
  </si>
  <si>
    <t>(1) Excludes acquisition accounting and financing adjustments and synergies.</t>
  </si>
  <si>
    <t>(2) Excludes acquisition accounting and financing adjustments.</t>
  </si>
  <si>
    <t>Less:  Depreciation</t>
  </si>
  <si>
    <t>Unlevered Net Income</t>
  </si>
  <si>
    <t>Plus:  Depreciation</t>
  </si>
  <si>
    <t>Less:  Capital Expenditures</t>
  </si>
  <si>
    <t>Less:  Change in Working Capital</t>
  </si>
  <si>
    <t>Free Cash Flow</t>
  </si>
  <si>
    <r>
      <t xml:space="preserve">Total Equity Value </t>
    </r>
    <r>
      <rPr>
        <b/>
        <vertAlign val="superscript"/>
        <sz val="10"/>
        <rFont val="Arial"/>
        <family val="2"/>
      </rPr>
      <t>(1)</t>
    </r>
  </si>
  <si>
    <t>Terminal EBITDA Multiple</t>
  </si>
  <si>
    <t>Discount</t>
  </si>
  <si>
    <t>Rate</t>
  </si>
  <si>
    <t>(WACC)</t>
  </si>
  <si>
    <t>Implied Perpetuity Growth Rate</t>
  </si>
  <si>
    <r>
      <t xml:space="preserve">Total Price Per Share </t>
    </r>
    <r>
      <rPr>
        <b/>
        <vertAlign val="superscript"/>
        <sz val="10"/>
        <rFont val="Arial"/>
        <family val="2"/>
      </rPr>
      <t>(2)</t>
    </r>
  </si>
  <si>
    <t>FDSO</t>
  </si>
  <si>
    <t>Terminal Perpetuity Growth Rate</t>
  </si>
  <si>
    <t>Implied Terminal EBITDA Multiple</t>
  </si>
  <si>
    <t>Bath &amp; Body Works, Inc.</t>
  </si>
  <si>
    <t>BBWI</t>
  </si>
  <si>
    <t>Tapestry, Inc.</t>
  </si>
  <si>
    <t>TPR</t>
  </si>
  <si>
    <t>Diluted Shares Outstanding</t>
  </si>
  <si>
    <t>Long Term Debt</t>
  </si>
  <si>
    <t>Noncontrolling Interest</t>
  </si>
  <si>
    <t>Cost</t>
  </si>
  <si>
    <t>SGA</t>
  </si>
  <si>
    <t>Pessimistic</t>
  </si>
  <si>
    <t>pessimestic</t>
  </si>
  <si>
    <t>Normal</t>
  </si>
  <si>
    <t>optimisitic</t>
  </si>
  <si>
    <t>EPS 2025</t>
  </si>
  <si>
    <t xml:space="preserve">Cost synergy normal scenario </t>
  </si>
  <si>
    <t xml:space="preserve">SGA Synergy normal scenario </t>
  </si>
  <si>
    <t>$</t>
  </si>
  <si>
    <t>Synergy Sensitivity Analysis</t>
  </si>
  <si>
    <t>Effective</t>
  </si>
  <si>
    <t>EPS Accretion %</t>
  </si>
  <si>
    <t>Bath &amp; Body Works Effective Tax Rate</t>
  </si>
  <si>
    <t>Tapestry</t>
  </si>
  <si>
    <t>Total Price Per Share at g=3.4% and WACC = 9.4%</t>
  </si>
  <si>
    <t>Effective Tax Rates Analysis from 2025 onward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</si>
</sst>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7">
    <numFmt numFmtId="164" formatCode="&quot;$&quot;#,##0.00_);\(&quot;$&quot;#,##0.00\)"/>
    <numFmt numFmtId="165" formatCode="&quot;$&quot;#,##0.00_);[Red]\(&quot;$&quot;#,##0.00\)"/>
    <numFmt numFmtId="166" formatCode="_(&quot;$&quot;* #,##0.00_);_(&quot;$&quot;* \(#,##0.00\);_(&quot;$&quot;* &quot;-&quot;??_);_(@_)"/>
    <numFmt numFmtId="167" formatCode="_(* #,##0.00_);_(* \(#,##0.00\);_(* &quot;-&quot;??_);_(@_)"/>
    <numFmt numFmtId="168" formatCode="0.0%_);\(0.0%\);0.0%_);@_)"/>
    <numFmt numFmtId="169" formatCode="&quot;$&quot;#,##0.00_);\(&quot;$&quot;#,##0.00\);&quot;$&quot;#,##0.00_);@_)"/>
    <numFmt numFmtId="170" formatCode="&quot;yes&quot;;&quot;ERROR&quot;;&quot;no&quot;;&quot;ERROR&quot;"/>
    <numFmt numFmtId="171" formatCode="#,##0.000_);\(#,##0.000\);#,##0.000_);@_)"/>
    <numFmt numFmtId="172" formatCode="#,##0_);\(#,##0\);#,##0_);@_)"/>
    <numFmt numFmtId="173" formatCode="&quot;$&quot;#,##0.0_);\(&quot;$&quot;#,##0.0\);&quot;$&quot;#,##0.0_);@_)"/>
    <numFmt numFmtId="174" formatCode="#,##0.0_);\(#,##0.0\);#,##0.0_);@_)"/>
    <numFmt numFmtId="175" formatCode="#,##0.00_);\(#,##0.00\);#,##0.00_);@_)"/>
    <numFmt numFmtId="176" formatCode="#,##0.0_);\(#,##0.0\)"/>
    <numFmt numFmtId="177" formatCode="0000\A"/>
    <numFmt numFmtId="178" formatCode="&quot;$&quot;#,##0.0_);\(&quot;$&quot;#,##0.0\)"/>
    <numFmt numFmtId="179" formatCode="0000\P"/>
    <numFmt numFmtId="180" formatCode="0000&quot;E&quot;"/>
    <numFmt numFmtId="181" formatCode="0.00\x_);\(0.00\x\);0.00\x_);@_)"/>
    <numFmt numFmtId="182" formatCode="0.0\x_);\(0.0\x\);0.0\x_);@_)"/>
    <numFmt numFmtId="183" formatCode="0.00_);\(0.00\)"/>
    <numFmt numFmtId="184" formatCode="#,##0.0000_);\(#,##0.0000\);#,##0.0000_);@_)"/>
    <numFmt numFmtId="185" formatCode="#,##0.000_);\(#,##0.000\)"/>
    <numFmt numFmtId="186" formatCode="#,##0.00000000000000"/>
    <numFmt numFmtId="187" formatCode="#,##0.00000_);\(#,##0.00000\);#,##0.00000_);@_)"/>
    <numFmt numFmtId="188" formatCode="0.0000000%"/>
    <numFmt numFmtId="189" formatCode="0.0%"/>
    <numFmt numFmtId="190" formatCode="0.00%_);\(0.00%\);0.00%_);@_)"/>
  </numFmts>
  <fonts count="41" x14ac:knownFonts="1">
    <font>
      <sz val="10"/>
      <name val="Arial"/>
    </font>
    <font>
      <sz val="10"/>
      <name val="Arial"/>
      <family val="2"/>
    </font>
    <font>
      <sz val="10"/>
      <name val="Arial"/>
      <family val="2"/>
    </font>
    <font>
      <sz val="18"/>
      <color indexed="8"/>
      <name val="Arial"/>
      <family val="2"/>
    </font>
    <font>
      <i/>
      <sz val="8"/>
      <name val="Arial"/>
      <family val="2"/>
    </font>
    <font>
      <b/>
      <sz val="10"/>
      <color indexed="9"/>
      <name val="Arial"/>
      <family val="2"/>
    </font>
    <font>
      <sz val="10"/>
      <color indexed="9"/>
      <name val="Arial"/>
      <family val="2"/>
    </font>
    <font>
      <b/>
      <sz val="10"/>
      <color indexed="12"/>
      <name val="Arial"/>
      <family val="2"/>
    </font>
    <font>
      <b/>
      <sz val="10"/>
      <name val="Arial"/>
      <family val="2"/>
    </font>
    <font>
      <sz val="10"/>
      <color indexed="12"/>
      <name val="Arial"/>
      <family val="2"/>
    </font>
    <font>
      <sz val="10"/>
      <color indexed="8"/>
      <name val="Arial"/>
      <family val="2"/>
    </font>
    <font>
      <b/>
      <sz val="10"/>
      <color indexed="8"/>
      <name val="Arial"/>
      <family val="2"/>
    </font>
    <font>
      <sz val="8"/>
      <name val="Arial"/>
      <family val="2"/>
    </font>
    <font>
      <b/>
      <u/>
      <sz val="10"/>
      <name val="Arial"/>
      <family val="2"/>
    </font>
    <font>
      <i/>
      <sz val="10"/>
      <color indexed="12"/>
      <name val="Arial"/>
      <family val="2"/>
    </font>
    <font>
      <sz val="10"/>
      <color indexed="12"/>
      <name val="Arial"/>
      <family val="2"/>
    </font>
    <font>
      <i/>
      <sz val="10"/>
      <color indexed="12"/>
      <name val="Arial"/>
      <family val="2"/>
    </font>
    <font>
      <i/>
      <sz val="10"/>
      <color indexed="17"/>
      <name val="Arial"/>
      <family val="2"/>
    </font>
    <font>
      <sz val="8"/>
      <color indexed="8"/>
      <name val="Tahoma"/>
      <family val="2"/>
    </font>
    <font>
      <i/>
      <sz val="16"/>
      <color indexed="8"/>
      <name val="Arial"/>
      <family val="2"/>
    </font>
    <font>
      <i/>
      <sz val="10"/>
      <name val="Arial"/>
      <family val="2"/>
    </font>
    <font>
      <b/>
      <sz val="10"/>
      <color indexed="17"/>
      <name val="Arial"/>
      <family val="2"/>
    </font>
    <font>
      <i/>
      <sz val="10"/>
      <color indexed="8"/>
      <name val="Arial"/>
      <family val="2"/>
    </font>
    <font>
      <i/>
      <sz val="9"/>
      <name val="Arial"/>
      <family val="2"/>
    </font>
    <font>
      <sz val="10"/>
      <name val="Arial"/>
      <family val="2"/>
    </font>
    <font>
      <sz val="10"/>
      <color indexed="10"/>
      <name val="Arial"/>
      <family val="2"/>
    </font>
    <font>
      <sz val="10"/>
      <color indexed="17"/>
      <name val="Arial"/>
      <family val="2"/>
    </font>
    <font>
      <sz val="10"/>
      <color indexed="8"/>
      <name val="Arial"/>
      <family val="2"/>
    </font>
    <font>
      <sz val="10"/>
      <color indexed="17"/>
      <name val="Arial"/>
      <family val="2"/>
    </font>
    <font>
      <b/>
      <i/>
      <sz val="10"/>
      <name val="Arial"/>
      <family val="2"/>
    </font>
    <font>
      <b/>
      <i/>
      <sz val="10"/>
      <color indexed="8"/>
      <name val="Arial"/>
      <family val="2"/>
    </font>
    <font>
      <i/>
      <sz val="10"/>
      <name val="Arial"/>
      <family val="2"/>
    </font>
    <font>
      <b/>
      <sz val="10"/>
      <name val="Arial"/>
      <family val="2"/>
    </font>
    <font>
      <b/>
      <vertAlign val="superscript"/>
      <sz val="10"/>
      <name val="Arial"/>
      <family val="2"/>
    </font>
    <font>
      <sz val="8"/>
      <color rgb="FF000000"/>
      <name val="Tahoma"/>
      <family val="2"/>
    </font>
    <font>
      <sz val="10"/>
      <color rgb="FF000000"/>
      <name val="Tahoma"/>
      <family val="2"/>
    </font>
    <font>
      <sz val="10"/>
      <color rgb="FF000000"/>
      <name val="Arial"/>
      <family val="2"/>
    </font>
    <font>
      <sz val="10"/>
      <color theme="1"/>
      <name val="Arial"/>
      <family val="2"/>
    </font>
    <font>
      <b/>
      <i/>
      <sz val="11"/>
      <name val="Arial"/>
      <family val="2"/>
    </font>
    <font>
      <i/>
      <sz val="11"/>
      <name val="Arial"/>
      <family val="2"/>
    </font>
    <font>
      <b/>
      <u/>
      <sz val="12"/>
      <name val="Arial"/>
      <family val="2"/>
    </font>
  </fonts>
  <fills count="6">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theme="0"/>
        <bgColor indexed="64"/>
      </patternFill>
    </fill>
    <fill>
      <patternFill patternType="solid">
        <fgColor theme="0" tint="-0.14999847407452621"/>
        <bgColor indexed="64"/>
      </patternFill>
    </fill>
  </fills>
  <borders count="20">
    <border>
      <left/>
      <right/>
      <top/>
      <bottom/>
      <diagonal/>
    </border>
    <border>
      <left/>
      <right/>
      <top/>
      <bottom style="medium">
        <color indexed="64"/>
      </bottom>
      <diagonal/>
    </border>
    <border>
      <left/>
      <right/>
      <top/>
      <bottom style="medium">
        <color indexed="22"/>
      </bottom>
      <diagonal/>
    </border>
    <border>
      <left/>
      <right/>
      <top style="medium">
        <color indexed="22"/>
      </top>
      <bottom/>
      <diagonal/>
    </border>
    <border>
      <left/>
      <right/>
      <top style="medium">
        <color indexed="22"/>
      </top>
      <bottom style="double">
        <color indexed="22"/>
      </bottom>
      <diagonal/>
    </border>
    <border>
      <left/>
      <right/>
      <top style="medium">
        <color indexed="22"/>
      </top>
      <bottom style="medium">
        <color indexed="22"/>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diagonal/>
    </border>
    <border>
      <left/>
      <right/>
      <top style="medium">
        <color indexed="64"/>
      </top>
      <bottom style="medium">
        <color indexed="64"/>
      </bottom>
      <diagonal/>
    </border>
    <border>
      <left/>
      <right style="thin">
        <color indexed="22"/>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s>
  <cellStyleXfs count="4">
    <xf numFmtId="0" fontId="0" fillId="0" borderId="0"/>
    <xf numFmtId="167"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cellStyleXfs>
  <cellXfs count="345">
    <xf numFmtId="0" fontId="0" fillId="0" borderId="0" xfId="0"/>
    <xf numFmtId="0" fontId="3" fillId="0" borderId="1" xfId="0" applyFont="1" applyBorder="1"/>
    <xf numFmtId="0" fontId="0" fillId="0" borderId="1" xfId="0" applyBorder="1"/>
    <xf numFmtId="0" fontId="4" fillId="0" borderId="0" xfId="0" applyFont="1"/>
    <xf numFmtId="0" fontId="5" fillId="2" borderId="0" xfId="0" applyFont="1" applyFill="1" applyAlignment="1">
      <alignment horizontal="centerContinuous"/>
    </xf>
    <xf numFmtId="0" fontId="6" fillId="2" borderId="0" xfId="0" applyFont="1" applyFill="1" applyAlignment="1">
      <alignment horizontal="centerContinuous"/>
    </xf>
    <xf numFmtId="0" fontId="7" fillId="0" borderId="0" xfId="0" applyFont="1"/>
    <xf numFmtId="0" fontId="8" fillId="0" borderId="2" xfId="0" applyFont="1" applyBorder="1" applyAlignment="1">
      <alignment horizontal="centerContinuous"/>
    </xf>
    <xf numFmtId="0" fontId="0" fillId="0" borderId="0" xfId="0" applyAlignment="1">
      <alignment horizontal="centerContinuous"/>
    </xf>
    <xf numFmtId="14" fontId="9" fillId="0" borderId="0" xfId="0" applyNumberFormat="1" applyFont="1"/>
    <xf numFmtId="169" fontId="9" fillId="0" borderId="0" xfId="0" applyNumberFormat="1" applyFont="1"/>
    <xf numFmtId="14" fontId="10" fillId="0" borderId="0" xfId="0" applyNumberFormat="1" applyFont="1"/>
    <xf numFmtId="171" fontId="9" fillId="0" borderId="0" xfId="0" applyNumberFormat="1" applyFont="1"/>
    <xf numFmtId="171" fontId="0" fillId="0" borderId="0" xfId="0" applyNumberFormat="1"/>
    <xf numFmtId="171" fontId="10" fillId="0" borderId="0" xfId="0" applyNumberFormat="1" applyFont="1"/>
    <xf numFmtId="171" fontId="10" fillId="0" borderId="3" xfId="0" applyNumberFormat="1" applyFont="1" applyBorder="1"/>
    <xf numFmtId="173" fontId="10" fillId="0" borderId="0" xfId="0" applyNumberFormat="1" applyFont="1"/>
    <xf numFmtId="174" fontId="9" fillId="0" borderId="0" xfId="0" applyNumberFormat="1" applyFont="1"/>
    <xf numFmtId="0" fontId="9" fillId="0" borderId="0" xfId="0" applyFont="1"/>
    <xf numFmtId="0" fontId="8" fillId="0" borderId="0" xfId="0" applyFont="1"/>
    <xf numFmtId="173" fontId="11" fillId="0" borderId="4" xfId="0" applyNumberFormat="1" applyFont="1" applyBorder="1"/>
    <xf numFmtId="0" fontId="0" fillId="0" borderId="2" xfId="0" applyBorder="1" applyAlignment="1">
      <alignment horizontal="center"/>
    </xf>
    <xf numFmtId="0" fontId="0" fillId="0" borderId="0" xfId="0" applyAlignment="1">
      <alignment horizontal="center"/>
    </xf>
    <xf numFmtId="173" fontId="9" fillId="0" borderId="0" xfId="0" applyNumberFormat="1" applyFont="1"/>
    <xf numFmtId="169" fontId="0" fillId="0" borderId="0" xfId="0" applyNumberFormat="1"/>
    <xf numFmtId="169" fontId="9" fillId="0" borderId="0" xfId="0" applyNumberFormat="1" applyFont="1" applyAlignment="1">
      <alignment horizontal="right"/>
    </xf>
    <xf numFmtId="168" fontId="9" fillId="0" borderId="0" xfId="0" applyNumberFormat="1" applyFont="1"/>
    <xf numFmtId="170" fontId="10" fillId="0" borderId="0" xfId="0" applyNumberFormat="1" applyFont="1"/>
    <xf numFmtId="170" fontId="2" fillId="0" borderId="0" xfId="0" applyNumberFormat="1" applyFont="1"/>
    <xf numFmtId="14" fontId="9" fillId="0" borderId="0" xfId="0" applyNumberFormat="1" applyFont="1" applyAlignment="1">
      <alignment horizontal="centerContinuous"/>
    </xf>
    <xf numFmtId="14" fontId="0" fillId="0" borderId="0" xfId="0" applyNumberFormat="1" applyAlignment="1">
      <alignment horizontal="centerContinuous"/>
    </xf>
    <xf numFmtId="0" fontId="0" fillId="0" borderId="2" xfId="0" applyBorder="1" applyAlignment="1">
      <alignment horizontal="centerContinuous"/>
    </xf>
    <xf numFmtId="169" fontId="10" fillId="0" borderId="0" xfId="0" applyNumberFormat="1" applyFont="1"/>
    <xf numFmtId="175" fontId="9" fillId="0" borderId="0" xfId="0" applyNumberFormat="1" applyFont="1"/>
    <xf numFmtId="176" fontId="10" fillId="0" borderId="0" xfId="0" applyNumberFormat="1" applyFont="1"/>
    <xf numFmtId="175" fontId="10" fillId="0" borderId="0" xfId="0" applyNumberFormat="1" applyFont="1"/>
    <xf numFmtId="0" fontId="8" fillId="0" borderId="0" xfId="0" applyFont="1" applyAlignment="1">
      <alignment horizontal="right"/>
    </xf>
    <xf numFmtId="171" fontId="11" fillId="0" borderId="3" xfId="0" applyNumberFormat="1" applyFont="1" applyBorder="1"/>
    <xf numFmtId="0" fontId="9" fillId="0" borderId="0" xfId="0" applyFont="1" applyAlignment="1">
      <alignment horizontal="centerContinuous"/>
    </xf>
    <xf numFmtId="0" fontId="13" fillId="0" borderId="0" xfId="0" applyFont="1"/>
    <xf numFmtId="0" fontId="9" fillId="0" borderId="0" xfId="0" applyFont="1" applyAlignment="1">
      <alignment horizontal="center"/>
    </xf>
    <xf numFmtId="168" fontId="14" fillId="0" borderId="0" xfId="0" applyNumberFormat="1" applyFont="1"/>
    <xf numFmtId="170" fontId="9" fillId="0" borderId="0" xfId="0" applyNumberFormat="1" applyFont="1" applyAlignment="1">
      <alignment horizontal="center"/>
    </xf>
    <xf numFmtId="10" fontId="14" fillId="0" borderId="0" xfId="0" applyNumberFormat="1" applyFont="1"/>
    <xf numFmtId="172" fontId="9" fillId="0" borderId="0" xfId="0" applyNumberFormat="1" applyFont="1"/>
    <xf numFmtId="0" fontId="10" fillId="0" borderId="0" xfId="0" applyFont="1"/>
    <xf numFmtId="173" fontId="15" fillId="0" borderId="0" xfId="0" applyNumberFormat="1" applyFont="1"/>
    <xf numFmtId="168" fontId="16" fillId="0" borderId="0" xfId="0" applyNumberFormat="1" applyFont="1"/>
    <xf numFmtId="172" fontId="15" fillId="0" borderId="0" xfId="0" applyNumberFormat="1" applyFont="1"/>
    <xf numFmtId="168" fontId="17" fillId="0" borderId="0" xfId="0" applyNumberFormat="1" applyFont="1"/>
    <xf numFmtId="0" fontId="8" fillId="0" borderId="0" xfId="0" applyFont="1" applyAlignment="1">
      <alignment horizontal="centerContinuous"/>
    </xf>
    <xf numFmtId="0" fontId="19" fillId="0" borderId="1" xfId="0" applyFont="1" applyBorder="1"/>
    <xf numFmtId="0" fontId="20" fillId="0" borderId="0" xfId="0" applyFont="1"/>
    <xf numFmtId="173" fontId="8" fillId="0" borderId="0" xfId="0" applyNumberFormat="1" applyFont="1"/>
    <xf numFmtId="173" fontId="7" fillId="0" borderId="0" xfId="0" applyNumberFormat="1" applyFont="1"/>
    <xf numFmtId="0" fontId="20" fillId="0" borderId="0" xfId="0" applyFont="1" applyAlignment="1">
      <alignment horizontal="right"/>
    </xf>
    <xf numFmtId="168" fontId="22" fillId="0" borderId="0" xfId="0" applyNumberFormat="1" applyFont="1"/>
    <xf numFmtId="174" fontId="0" fillId="0" borderId="0" xfId="0" applyNumberFormat="1"/>
    <xf numFmtId="168" fontId="22" fillId="0" borderId="0" xfId="0" applyNumberFormat="1" applyFont="1" applyAlignment="1">
      <alignment horizontal="right"/>
    </xf>
    <xf numFmtId="173" fontId="10" fillId="0" borderId="3" xfId="0" applyNumberFormat="1" applyFont="1" applyBorder="1"/>
    <xf numFmtId="0" fontId="0" fillId="0" borderId="6" xfId="0" applyBorder="1"/>
    <xf numFmtId="0" fontId="0" fillId="0" borderId="7" xfId="0" applyBorder="1"/>
    <xf numFmtId="173" fontId="11" fillId="0" borderId="0" xfId="0" applyNumberFormat="1" applyFont="1"/>
    <xf numFmtId="0" fontId="8" fillId="0" borderId="8" xfId="0" applyFont="1" applyBorder="1"/>
    <xf numFmtId="0" fontId="20" fillId="0" borderId="8" xfId="0" applyFont="1" applyBorder="1"/>
    <xf numFmtId="0" fontId="0" fillId="0" borderId="8" xfId="0" applyBorder="1"/>
    <xf numFmtId="174" fontId="0" fillId="0" borderId="8" xfId="0" applyNumberFormat="1" applyBorder="1"/>
    <xf numFmtId="0" fontId="0" fillId="0" borderId="9" xfId="0" applyBorder="1"/>
    <xf numFmtId="0" fontId="0" fillId="0" borderId="10" xfId="0" applyBorder="1"/>
    <xf numFmtId="0" fontId="1" fillId="0" borderId="0" xfId="0" applyFont="1"/>
    <xf numFmtId="167" fontId="9" fillId="0" borderId="0" xfId="1" applyFont="1"/>
    <xf numFmtId="0" fontId="8" fillId="0" borderId="11" xfId="0" applyFont="1" applyBorder="1"/>
    <xf numFmtId="169" fontId="11" fillId="0" borderId="11" xfId="0" applyNumberFormat="1" applyFont="1" applyBorder="1"/>
    <xf numFmtId="0" fontId="8" fillId="0" borderId="12" xfId="0" applyFont="1" applyBorder="1"/>
    <xf numFmtId="174" fontId="10" fillId="0" borderId="0" xfId="0" applyNumberFormat="1" applyFont="1"/>
    <xf numFmtId="173" fontId="0" fillId="0" borderId="0" xfId="0" applyNumberFormat="1"/>
    <xf numFmtId="178" fontId="10" fillId="0" borderId="3" xfId="0" applyNumberFormat="1" applyFont="1" applyBorder="1"/>
    <xf numFmtId="0" fontId="0" fillId="0" borderId="13" xfId="0" applyBorder="1"/>
    <xf numFmtId="0" fontId="8" fillId="0" borderId="0" xfId="0" applyFont="1" applyAlignment="1">
      <alignment horizontal="left"/>
    </xf>
    <xf numFmtId="177" fontId="21" fillId="0" borderId="0" xfId="0" applyNumberFormat="1" applyFont="1" applyAlignment="1">
      <alignment horizontal="center"/>
    </xf>
    <xf numFmtId="179" fontId="11" fillId="0" borderId="2" xfId="0" applyNumberFormat="1" applyFont="1" applyBorder="1" applyAlignment="1">
      <alignment horizontal="center"/>
    </xf>
    <xf numFmtId="167" fontId="0" fillId="0" borderId="0" xfId="1" applyFont="1"/>
    <xf numFmtId="0" fontId="8" fillId="0" borderId="0" xfId="0" applyFont="1" applyAlignment="1">
      <alignment horizontal="center"/>
    </xf>
    <xf numFmtId="179" fontId="11" fillId="0" borderId="0" xfId="0" applyNumberFormat="1" applyFont="1" applyAlignment="1">
      <alignment horizontal="center"/>
    </xf>
    <xf numFmtId="180" fontId="11" fillId="0" borderId="2" xfId="0" applyNumberFormat="1" applyFont="1" applyBorder="1" applyAlignment="1">
      <alignment horizontal="center"/>
    </xf>
    <xf numFmtId="14" fontId="8" fillId="0" borderId="2" xfId="0" applyNumberFormat="1" applyFont="1" applyBorder="1" applyAlignment="1">
      <alignment horizontal="center"/>
    </xf>
    <xf numFmtId="167" fontId="10" fillId="0" borderId="0" xfId="1" applyFont="1"/>
    <xf numFmtId="167" fontId="1" fillId="0" borderId="0" xfId="1" applyFont="1" applyFill="1" applyBorder="1" applyAlignment="1" applyProtection="1"/>
    <xf numFmtId="173" fontId="11" fillId="0" borderId="3" xfId="0" applyNumberFormat="1" applyFont="1" applyBorder="1"/>
    <xf numFmtId="168" fontId="14" fillId="0" borderId="0" xfId="0" applyNumberFormat="1" applyFont="1" applyAlignment="1">
      <alignment horizontal="right"/>
    </xf>
    <xf numFmtId="0" fontId="23" fillId="0" borderId="0" xfId="0" applyFont="1"/>
    <xf numFmtId="0" fontId="24" fillId="0" borderId="0" xfId="0" applyFont="1"/>
    <xf numFmtId="177" fontId="21" fillId="0" borderId="2" xfId="0" applyNumberFormat="1" applyFont="1" applyBorder="1" applyAlignment="1">
      <alignment horizontal="center"/>
    </xf>
    <xf numFmtId="174" fontId="9" fillId="0" borderId="0" xfId="1" applyNumberFormat="1" applyFont="1"/>
    <xf numFmtId="171" fontId="25" fillId="0" borderId="0" xfId="0" applyNumberFormat="1" applyFont="1"/>
    <xf numFmtId="171" fontId="1" fillId="0" borderId="0" xfId="0" applyNumberFormat="1" applyFont="1"/>
    <xf numFmtId="178" fontId="0" fillId="0" borderId="0" xfId="0" applyNumberFormat="1"/>
    <xf numFmtId="169" fontId="26" fillId="0" borderId="0" xfId="0" applyNumberFormat="1" applyFont="1"/>
    <xf numFmtId="0" fontId="21" fillId="0" borderId="0" xfId="0" applyFont="1" applyAlignment="1">
      <alignment horizontal="center"/>
    </xf>
    <xf numFmtId="14" fontId="21" fillId="0" borderId="2" xfId="0" applyNumberFormat="1" applyFont="1" applyBorder="1" applyAlignment="1">
      <alignment horizontal="center"/>
    </xf>
    <xf numFmtId="0" fontId="26" fillId="0" borderId="0" xfId="0" applyFont="1"/>
    <xf numFmtId="174" fontId="26" fillId="0" borderId="0" xfId="0" applyNumberFormat="1" applyFont="1"/>
    <xf numFmtId="171" fontId="22" fillId="0" borderId="0" xfId="0" applyNumberFormat="1" applyFont="1"/>
    <xf numFmtId="0" fontId="21" fillId="3" borderId="0" xfId="0" applyFont="1" applyFill="1" applyAlignment="1">
      <alignment horizontal="center"/>
    </xf>
    <xf numFmtId="169" fontId="21" fillId="3" borderId="14" xfId="0" applyNumberFormat="1" applyFont="1" applyFill="1" applyBorder="1" applyAlignment="1">
      <alignment horizontal="center"/>
    </xf>
    <xf numFmtId="173" fontId="21" fillId="0" borderId="0" xfId="0" applyNumberFormat="1" applyFont="1" applyAlignment="1">
      <alignment horizontal="center"/>
    </xf>
    <xf numFmtId="169" fontId="11" fillId="0" borderId="2" xfId="0" applyNumberFormat="1" applyFont="1" applyBorder="1" applyAlignment="1">
      <alignment horizontal="center"/>
    </xf>
    <xf numFmtId="169" fontId="11" fillId="0" borderId="0" xfId="0" applyNumberFormat="1" applyFont="1"/>
    <xf numFmtId="4" fontId="11" fillId="0" borderId="0" xfId="0" applyNumberFormat="1" applyFont="1"/>
    <xf numFmtId="169" fontId="11" fillId="0" borderId="0" xfId="0" applyNumberFormat="1" applyFont="1" applyAlignment="1">
      <alignment horizontal="center"/>
    </xf>
    <xf numFmtId="169" fontId="21" fillId="3" borderId="14" xfId="0" applyNumberFormat="1" applyFont="1" applyFill="1" applyBorder="1"/>
    <xf numFmtId="0" fontId="0" fillId="3" borderId="0" xfId="0" applyFill="1"/>
    <xf numFmtId="173" fontId="26" fillId="3" borderId="0" xfId="0" applyNumberFormat="1" applyFont="1" applyFill="1"/>
    <xf numFmtId="173" fontId="26" fillId="0" borderId="0" xfId="0" applyNumberFormat="1" applyFont="1"/>
    <xf numFmtId="174" fontId="26" fillId="3" borderId="0" xfId="0" applyNumberFormat="1" applyFont="1" applyFill="1"/>
    <xf numFmtId="173" fontId="11" fillId="3" borderId="13" xfId="0" applyNumberFormat="1" applyFont="1" applyFill="1" applyBorder="1"/>
    <xf numFmtId="173" fontId="8" fillId="0" borderId="3" xfId="0" applyNumberFormat="1" applyFont="1" applyBorder="1"/>
    <xf numFmtId="173" fontId="8" fillId="3" borderId="13" xfId="0" applyNumberFormat="1" applyFont="1" applyFill="1" applyBorder="1"/>
    <xf numFmtId="0" fontId="25" fillId="0" borderId="0" xfId="0" applyFont="1"/>
    <xf numFmtId="0" fontId="21" fillId="0" borderId="2" xfId="0" applyFont="1" applyBorder="1" applyAlignment="1">
      <alignment horizontal="center"/>
    </xf>
    <xf numFmtId="0" fontId="8" fillId="3" borderId="0" xfId="0" applyFont="1" applyFill="1" applyAlignment="1">
      <alignment horizontal="center"/>
    </xf>
    <xf numFmtId="168" fontId="22" fillId="3" borderId="0" xfId="0" applyNumberFormat="1" applyFont="1" applyFill="1"/>
    <xf numFmtId="175" fontId="26" fillId="0" borderId="0" xfId="0" applyNumberFormat="1" applyFont="1"/>
    <xf numFmtId="181" fontId="10" fillId="3" borderId="0" xfId="0" applyNumberFormat="1" applyFont="1" applyFill="1"/>
    <xf numFmtId="181" fontId="0" fillId="0" borderId="0" xfId="0" applyNumberFormat="1"/>
    <xf numFmtId="182" fontId="10" fillId="3" borderId="0" xfId="0" applyNumberFormat="1" applyFont="1" applyFill="1"/>
    <xf numFmtId="182" fontId="0" fillId="0" borderId="0" xfId="0" applyNumberFormat="1"/>
    <xf numFmtId="164" fontId="26" fillId="0" borderId="0" xfId="2" applyNumberFormat="1" applyFont="1"/>
    <xf numFmtId="183" fontId="26" fillId="0" borderId="0" xfId="0" applyNumberFormat="1" applyFont="1"/>
    <xf numFmtId="182" fontId="0" fillId="3" borderId="0" xfId="0" applyNumberFormat="1" applyFill="1"/>
    <xf numFmtId="0" fontId="8" fillId="0" borderId="2" xfId="0" applyFont="1" applyBorder="1" applyAlignment="1">
      <alignment horizontal="center"/>
    </xf>
    <xf numFmtId="169" fontId="21" fillId="0" borderId="2" xfId="0" applyNumberFormat="1" applyFont="1" applyBorder="1" applyAlignment="1">
      <alignment horizontal="center"/>
    </xf>
    <xf numFmtId="0" fontId="0" fillId="2" borderId="0" xfId="0" applyFill="1" applyAlignment="1">
      <alignment horizontal="centerContinuous"/>
    </xf>
    <xf numFmtId="184" fontId="10" fillId="0" borderId="0" xfId="0" applyNumberFormat="1" applyFont="1"/>
    <xf numFmtId="169" fontId="11" fillId="0" borderId="3" xfId="0" applyNumberFormat="1" applyFont="1" applyBorder="1"/>
    <xf numFmtId="169" fontId="21" fillId="0" borderId="0" xfId="0" applyNumberFormat="1" applyFont="1" applyAlignment="1">
      <alignment horizontal="center"/>
    </xf>
    <xf numFmtId="173" fontId="27" fillId="0" borderId="3" xfId="0" applyNumberFormat="1" applyFont="1" applyBorder="1"/>
    <xf numFmtId="0" fontId="0" fillId="0" borderId="0" xfId="0" applyAlignment="1">
      <alignment horizontal="left"/>
    </xf>
    <xf numFmtId="174" fontId="11" fillId="0" borderId="0" xfId="0" applyNumberFormat="1" applyFont="1"/>
    <xf numFmtId="174" fontId="26" fillId="0" borderId="0" xfId="1" applyNumberFormat="1" applyFont="1"/>
    <xf numFmtId="174" fontId="0" fillId="0" borderId="0" xfId="1" applyNumberFormat="1" applyFont="1"/>
    <xf numFmtId="174" fontId="10" fillId="0" borderId="0" xfId="1" applyNumberFormat="1" applyFont="1"/>
    <xf numFmtId="174" fontId="1" fillId="0" borderId="0" xfId="1" applyNumberFormat="1" applyFont="1" applyFill="1" applyBorder="1" applyAlignment="1"/>
    <xf numFmtId="173" fontId="27" fillId="0" borderId="0" xfId="0" applyNumberFormat="1" applyFont="1"/>
    <xf numFmtId="173" fontId="1" fillId="0" borderId="0" xfId="0" applyNumberFormat="1" applyFont="1"/>
    <xf numFmtId="174" fontId="28" fillId="0" borderId="0" xfId="0" applyNumberFormat="1" applyFont="1"/>
    <xf numFmtId="174" fontId="27" fillId="0" borderId="0" xfId="0" applyNumberFormat="1" applyFont="1"/>
    <xf numFmtId="168" fontId="20" fillId="0" borderId="0" xfId="0" applyNumberFormat="1" applyFont="1"/>
    <xf numFmtId="0" fontId="8" fillId="0" borderId="1" xfId="0" applyFont="1" applyBorder="1"/>
    <xf numFmtId="0" fontId="8" fillId="0" borderId="13" xfId="0" applyFont="1" applyBorder="1"/>
    <xf numFmtId="0" fontId="28" fillId="0" borderId="0" xfId="0" applyFont="1"/>
    <xf numFmtId="179" fontId="21" fillId="0" borderId="0" xfId="0" applyNumberFormat="1" applyFont="1" applyAlignment="1">
      <alignment horizontal="center"/>
    </xf>
    <xf numFmtId="180" fontId="21" fillId="0" borderId="2" xfId="0" applyNumberFormat="1" applyFont="1" applyBorder="1" applyAlignment="1">
      <alignment horizontal="center"/>
    </xf>
    <xf numFmtId="173" fontId="21" fillId="0" borderId="0" xfId="0" applyNumberFormat="1" applyFont="1"/>
    <xf numFmtId="167" fontId="26" fillId="0" borderId="0" xfId="1" applyFont="1"/>
    <xf numFmtId="167" fontId="15" fillId="0" borderId="0" xfId="1" applyFont="1" applyBorder="1" applyAlignment="1">
      <alignment horizontal="right"/>
    </xf>
    <xf numFmtId="167" fontId="24" fillId="0" borderId="0" xfId="1" applyFont="1" applyBorder="1"/>
    <xf numFmtId="167" fontId="27" fillId="0" borderId="0" xfId="1" applyFont="1" applyBorder="1" applyAlignment="1">
      <alignment horizontal="right"/>
    </xf>
    <xf numFmtId="174" fontId="28" fillId="0" borderId="0" xfId="0" applyNumberFormat="1" applyFont="1" applyAlignment="1">
      <alignment horizontal="right"/>
    </xf>
    <xf numFmtId="174" fontId="27" fillId="0" borderId="0" xfId="0" applyNumberFormat="1" applyFont="1" applyAlignment="1">
      <alignment horizontal="right"/>
    </xf>
    <xf numFmtId="0" fontId="24" fillId="0" borderId="8" xfId="0" applyFont="1" applyBorder="1"/>
    <xf numFmtId="174" fontId="10" fillId="0" borderId="3" xfId="0" applyNumberFormat="1" applyFont="1" applyBorder="1"/>
    <xf numFmtId="167" fontId="26" fillId="0" borderId="0" xfId="1" applyFont="1" applyBorder="1"/>
    <xf numFmtId="167" fontId="0" fillId="0" borderId="0" xfId="1" applyFont="1" applyBorder="1"/>
    <xf numFmtId="174" fontId="26" fillId="0" borderId="0" xfId="1" applyNumberFormat="1" applyFont="1" applyBorder="1"/>
    <xf numFmtId="169" fontId="10" fillId="3" borderId="0" xfId="0" applyNumberFormat="1" applyFont="1" applyFill="1"/>
    <xf numFmtId="0" fontId="29" fillId="3" borderId="0" xfId="0" applyFont="1" applyFill="1"/>
    <xf numFmtId="168" fontId="30" fillId="3" borderId="0" xfId="0" applyNumberFormat="1" applyFont="1" applyFill="1"/>
    <xf numFmtId="185" fontId="26" fillId="0" borderId="0" xfId="0" applyNumberFormat="1" applyFont="1"/>
    <xf numFmtId="169" fontId="26" fillId="0" borderId="0" xfId="0" applyNumberFormat="1" applyFont="1" applyAlignment="1">
      <alignment horizontal="center"/>
    </xf>
    <xf numFmtId="173" fontId="21" fillId="0" borderId="2" xfId="0" applyNumberFormat="1" applyFont="1" applyBorder="1" applyAlignment="1">
      <alignment horizontal="center"/>
    </xf>
    <xf numFmtId="181" fontId="26" fillId="0" borderId="0" xfId="0" applyNumberFormat="1" applyFont="1"/>
    <xf numFmtId="182" fontId="26" fillId="0" borderId="0" xfId="0" applyNumberFormat="1" applyFont="1"/>
    <xf numFmtId="171" fontId="26" fillId="0" borderId="0" xfId="0" applyNumberFormat="1" applyFont="1"/>
    <xf numFmtId="169" fontId="10" fillId="0" borderId="3" xfId="0" applyNumberFormat="1" applyFont="1" applyBorder="1"/>
    <xf numFmtId="167" fontId="9" fillId="0" borderId="0" xfId="1" applyFont="1" applyBorder="1"/>
    <xf numFmtId="167" fontId="10" fillId="0" borderId="0" xfId="1" applyFont="1" applyBorder="1"/>
    <xf numFmtId="174" fontId="8" fillId="0" borderId="0" xfId="0" applyNumberFormat="1" applyFont="1"/>
    <xf numFmtId="0" fontId="29" fillId="0" borderId="0" xfId="0" applyFont="1"/>
    <xf numFmtId="168" fontId="31" fillId="0" borderId="0" xfId="0" applyNumberFormat="1" applyFont="1"/>
    <xf numFmtId="0" fontId="0" fillId="0" borderId="15" xfId="0" applyBorder="1"/>
    <xf numFmtId="169" fontId="1" fillId="0" borderId="0" xfId="0" applyNumberFormat="1" applyFont="1" applyAlignment="1">
      <alignment horizontal="center"/>
    </xf>
    <xf numFmtId="173" fontId="32" fillId="0" borderId="2" xfId="0" applyNumberFormat="1" applyFont="1" applyBorder="1" applyAlignment="1">
      <alignment horizontal="center"/>
    </xf>
    <xf numFmtId="181" fontId="1" fillId="0" borderId="0" xfId="0" applyNumberFormat="1" applyFont="1"/>
    <xf numFmtId="182" fontId="1" fillId="0" borderId="0" xfId="0" applyNumberFormat="1" applyFont="1"/>
    <xf numFmtId="167" fontId="1" fillId="0" borderId="0" xfId="1" applyFont="1" applyBorder="1"/>
    <xf numFmtId="174" fontId="1" fillId="0" borderId="0" xfId="0" applyNumberFormat="1" applyFont="1"/>
    <xf numFmtId="174" fontId="0" fillId="0" borderId="15" xfId="0" applyNumberFormat="1" applyBorder="1"/>
    <xf numFmtId="0" fontId="29" fillId="3" borderId="15" xfId="0" applyFont="1" applyFill="1" applyBorder="1"/>
    <xf numFmtId="168" fontId="20" fillId="0" borderId="15" xfId="0" applyNumberFormat="1" applyFont="1" applyBorder="1"/>
    <xf numFmtId="173" fontId="21" fillId="0" borderId="15" xfId="0" applyNumberFormat="1" applyFont="1" applyBorder="1" applyAlignment="1">
      <alignment horizontal="center"/>
    </xf>
    <xf numFmtId="181" fontId="26" fillId="0" borderId="15" xfId="0" applyNumberFormat="1" applyFont="1" applyBorder="1"/>
    <xf numFmtId="182" fontId="26" fillId="0" borderId="15" xfId="0" applyNumberFormat="1" applyFont="1" applyBorder="1"/>
    <xf numFmtId="173" fontId="10" fillId="0" borderId="15" xfId="0" applyNumberFormat="1" applyFont="1" applyBorder="1"/>
    <xf numFmtId="171" fontId="10" fillId="0" borderId="15" xfId="0" applyNumberFormat="1" applyFont="1" applyBorder="1"/>
    <xf numFmtId="169" fontId="10" fillId="0" borderId="15" xfId="0" applyNumberFormat="1" applyFont="1" applyBorder="1"/>
    <xf numFmtId="174" fontId="10" fillId="0" borderId="15" xfId="0" applyNumberFormat="1" applyFont="1" applyBorder="1"/>
    <xf numFmtId="167" fontId="10" fillId="0" borderId="15" xfId="0" applyNumberFormat="1" applyFont="1" applyBorder="1"/>
    <xf numFmtId="167" fontId="10" fillId="0" borderId="0" xfId="0" applyNumberFormat="1" applyFont="1"/>
    <xf numFmtId="171" fontId="26" fillId="0" borderId="15" xfId="0" applyNumberFormat="1" applyFont="1" applyBorder="1"/>
    <xf numFmtId="168" fontId="30" fillId="3" borderId="15" xfId="0" applyNumberFormat="1" applyFont="1" applyFill="1" applyBorder="1"/>
    <xf numFmtId="173" fontId="26" fillId="0" borderId="15" xfId="0" applyNumberFormat="1" applyFont="1" applyBorder="1"/>
    <xf numFmtId="168" fontId="17" fillId="0" borderId="15" xfId="0" applyNumberFormat="1" applyFont="1" applyBorder="1"/>
    <xf numFmtId="0" fontId="21" fillId="0" borderId="2" xfId="0" applyFont="1" applyBorder="1" applyAlignment="1">
      <alignment horizontal="centerContinuous"/>
    </xf>
    <xf numFmtId="1" fontId="21" fillId="0" borderId="2" xfId="0" applyNumberFormat="1" applyFont="1" applyBorder="1" applyAlignment="1">
      <alignment horizontal="center"/>
    </xf>
    <xf numFmtId="1" fontId="8" fillId="0" borderId="2" xfId="0" applyNumberFormat="1" applyFont="1" applyBorder="1" applyAlignment="1">
      <alignment horizontal="center"/>
    </xf>
    <xf numFmtId="165" fontId="10" fillId="0" borderId="0" xfId="0" applyNumberFormat="1" applyFont="1"/>
    <xf numFmtId="0" fontId="24" fillId="0" borderId="2" xfId="0" applyFont="1" applyBorder="1" applyAlignment="1">
      <alignment horizontal="centerContinuous"/>
    </xf>
    <xf numFmtId="182" fontId="9" fillId="0" borderId="0" xfId="0" applyNumberFormat="1" applyFont="1"/>
    <xf numFmtId="182" fontId="10" fillId="0" borderId="0" xfId="0" applyNumberFormat="1" applyFont="1"/>
    <xf numFmtId="0" fontId="0" fillId="0" borderId="0" xfId="0" applyAlignment="1">
      <alignment horizontal="right"/>
    </xf>
    <xf numFmtId="173" fontId="10" fillId="0" borderId="6" xfId="0" applyNumberFormat="1" applyFont="1" applyBorder="1"/>
    <xf numFmtId="173" fontId="0" fillId="0" borderId="6" xfId="0" applyNumberFormat="1" applyBorder="1"/>
    <xf numFmtId="173" fontId="10" fillId="0" borderId="7" xfId="0" applyNumberFormat="1" applyFont="1" applyBorder="1"/>
    <xf numFmtId="168" fontId="10" fillId="0" borderId="0" xfId="0" applyNumberFormat="1" applyFont="1"/>
    <xf numFmtId="168" fontId="1" fillId="0" borderId="0" xfId="0" applyNumberFormat="1" applyFont="1"/>
    <xf numFmtId="173" fontId="10" fillId="0" borderId="8" xfId="0" applyNumberFormat="1" applyFont="1" applyBorder="1"/>
    <xf numFmtId="173" fontId="10" fillId="0" borderId="9" xfId="0" applyNumberFormat="1" applyFont="1" applyBorder="1"/>
    <xf numFmtId="173" fontId="0" fillId="0" borderId="9" xfId="0" applyNumberFormat="1" applyBorder="1"/>
    <xf numFmtId="173" fontId="10" fillId="0" borderId="10" xfId="0" applyNumberFormat="1" applyFont="1" applyBorder="1"/>
    <xf numFmtId="168" fontId="10" fillId="0" borderId="6" xfId="0" applyNumberFormat="1" applyFont="1" applyBorder="1"/>
    <xf numFmtId="168" fontId="0" fillId="0" borderId="6" xfId="0" applyNumberFormat="1" applyBorder="1"/>
    <xf numFmtId="168" fontId="10" fillId="0" borderId="7" xfId="0" applyNumberFormat="1" applyFont="1" applyBorder="1"/>
    <xf numFmtId="169" fontId="10" fillId="0" borderId="6" xfId="0" applyNumberFormat="1" applyFont="1" applyBorder="1"/>
    <xf numFmtId="169" fontId="0" fillId="0" borderId="6" xfId="0" applyNumberFormat="1" applyBorder="1"/>
    <xf numFmtId="169" fontId="10" fillId="0" borderId="7" xfId="0" applyNumberFormat="1" applyFont="1" applyBorder="1"/>
    <xf numFmtId="168" fontId="0" fillId="0" borderId="0" xfId="0" applyNumberFormat="1"/>
    <xf numFmtId="168" fontId="10" fillId="0" borderId="8" xfId="0" applyNumberFormat="1" applyFont="1" applyBorder="1"/>
    <xf numFmtId="169" fontId="10" fillId="0" borderId="8" xfId="0" applyNumberFormat="1" applyFont="1" applyBorder="1"/>
    <xf numFmtId="168" fontId="10" fillId="0" borderId="9" xfId="0" applyNumberFormat="1" applyFont="1" applyBorder="1"/>
    <xf numFmtId="168" fontId="0" fillId="0" borderId="9" xfId="0" applyNumberFormat="1" applyBorder="1"/>
    <xf numFmtId="168" fontId="10" fillId="0" borderId="10" xfId="0" applyNumberFormat="1" applyFont="1" applyBorder="1"/>
    <xf numFmtId="169" fontId="10" fillId="0" borderId="9" xfId="0" applyNumberFormat="1" applyFont="1" applyBorder="1"/>
    <xf numFmtId="169" fontId="0" fillId="0" borderId="9" xfId="0" applyNumberFormat="1" applyBorder="1"/>
    <xf numFmtId="169" fontId="10" fillId="0" borderId="10" xfId="0" applyNumberFormat="1" applyFont="1" applyBorder="1"/>
    <xf numFmtId="173" fontId="10" fillId="0" borderId="16" xfId="0" applyNumberFormat="1" applyFont="1" applyBorder="1"/>
    <xf numFmtId="173" fontId="10" fillId="0" borderId="17" xfId="0" applyNumberFormat="1" applyFont="1" applyBorder="1"/>
    <xf numFmtId="173" fontId="10" fillId="0" borderId="18" xfId="0" applyNumberFormat="1" applyFont="1" applyBorder="1"/>
    <xf numFmtId="182" fontId="10" fillId="0" borderId="16" xfId="0" applyNumberFormat="1" applyFont="1" applyBorder="1"/>
    <xf numFmtId="182" fontId="10" fillId="0" borderId="6" xfId="0" applyNumberFormat="1" applyFont="1" applyBorder="1"/>
    <xf numFmtId="182" fontId="0" fillId="0" borderId="6" xfId="0" applyNumberFormat="1" applyBorder="1"/>
    <xf numFmtId="182" fontId="10" fillId="0" borderId="7" xfId="0" applyNumberFormat="1" applyFont="1" applyBorder="1"/>
    <xf numFmtId="169" fontId="10" fillId="0" borderId="16" xfId="0" applyNumberFormat="1" applyFont="1" applyBorder="1"/>
    <xf numFmtId="186" fontId="0" fillId="0" borderId="0" xfId="0" applyNumberFormat="1"/>
    <xf numFmtId="182" fontId="10" fillId="0" borderId="17" xfId="0" applyNumberFormat="1" applyFont="1" applyBorder="1"/>
    <xf numFmtId="182" fontId="10" fillId="0" borderId="8" xfId="0" applyNumberFormat="1" applyFont="1" applyBorder="1"/>
    <xf numFmtId="169" fontId="10" fillId="0" borderId="17" xfId="0" applyNumberFormat="1" applyFont="1" applyBorder="1"/>
    <xf numFmtId="182" fontId="10" fillId="0" borderId="18" xfId="0" applyNumberFormat="1" applyFont="1" applyBorder="1"/>
    <xf numFmtId="182" fontId="0" fillId="0" borderId="9" xfId="0" applyNumberFormat="1" applyBorder="1"/>
    <xf numFmtId="182" fontId="10" fillId="0" borderId="9" xfId="0" applyNumberFormat="1" applyFont="1" applyBorder="1"/>
    <xf numFmtId="182" fontId="10" fillId="0" borderId="10" xfId="0" applyNumberFormat="1" applyFont="1" applyBorder="1"/>
    <xf numFmtId="169" fontId="10" fillId="0" borderId="18" xfId="0" applyNumberFormat="1" applyFont="1" applyBorder="1"/>
    <xf numFmtId="0" fontId="0" fillId="4" borderId="1" xfId="0" applyFill="1" applyBorder="1"/>
    <xf numFmtId="0" fontId="0" fillId="4" borderId="0" xfId="0" applyFill="1"/>
    <xf numFmtId="0" fontId="8" fillId="5" borderId="2" xfId="0" applyFont="1" applyFill="1" applyBorder="1" applyAlignment="1">
      <alignment horizontal="centerContinuous"/>
    </xf>
    <xf numFmtId="177" fontId="11" fillId="5" borderId="2" xfId="0" applyNumberFormat="1" applyFont="1" applyFill="1" applyBorder="1" applyAlignment="1">
      <alignment horizontal="center"/>
    </xf>
    <xf numFmtId="0" fontId="0" fillId="5" borderId="0" xfId="0" applyFill="1"/>
    <xf numFmtId="177" fontId="21" fillId="5" borderId="5" xfId="0" applyNumberFormat="1" applyFont="1" applyFill="1" applyBorder="1" applyAlignment="1">
      <alignment horizontal="center"/>
    </xf>
    <xf numFmtId="173" fontId="7" fillId="5" borderId="0" xfId="0" applyNumberFormat="1" applyFont="1" applyFill="1"/>
    <xf numFmtId="173" fontId="8" fillId="5" borderId="0" xfId="0" applyNumberFormat="1" applyFont="1" applyFill="1"/>
    <xf numFmtId="0" fontId="20" fillId="5" borderId="0" xfId="0" applyFont="1" applyFill="1" applyAlignment="1">
      <alignment horizontal="right"/>
    </xf>
    <xf numFmtId="0" fontId="20" fillId="5" borderId="0" xfId="0" applyFont="1" applyFill="1"/>
    <xf numFmtId="168" fontId="22" fillId="5" borderId="0" xfId="0" applyNumberFormat="1" applyFont="1" applyFill="1"/>
    <xf numFmtId="174" fontId="9" fillId="5" borderId="0" xfId="0" applyNumberFormat="1" applyFont="1" applyFill="1"/>
    <xf numFmtId="174" fontId="0" fillId="5" borderId="0" xfId="0" applyNumberFormat="1" applyFill="1"/>
    <xf numFmtId="168" fontId="22" fillId="5" borderId="0" xfId="0" applyNumberFormat="1" applyFont="1" applyFill="1" applyAlignment="1">
      <alignment horizontal="right"/>
    </xf>
    <xf numFmtId="173" fontId="10" fillId="5" borderId="3" xfId="0" applyNumberFormat="1" applyFont="1" applyFill="1" applyBorder="1"/>
    <xf numFmtId="0" fontId="0" fillId="5" borderId="6" xfId="0" applyFill="1" applyBorder="1"/>
    <xf numFmtId="173" fontId="11" fillId="5" borderId="0" xfId="0" applyNumberFormat="1" applyFont="1" applyFill="1"/>
    <xf numFmtId="0" fontId="8" fillId="5" borderId="0" xfId="0" applyFont="1" applyFill="1"/>
    <xf numFmtId="178" fontId="10" fillId="5" borderId="3" xfId="0" applyNumberFormat="1" applyFont="1" applyFill="1" applyBorder="1"/>
    <xf numFmtId="0" fontId="0" fillId="5" borderId="9" xfId="0" applyFill="1" applyBorder="1"/>
    <xf numFmtId="167" fontId="9" fillId="5" borderId="0" xfId="1" applyFont="1" applyFill="1"/>
    <xf numFmtId="169" fontId="11" fillId="5" borderId="11" xfId="0" applyNumberFormat="1" applyFont="1" applyFill="1" applyBorder="1"/>
    <xf numFmtId="0" fontId="8" fillId="5" borderId="11" xfId="0" applyFont="1" applyFill="1" applyBorder="1"/>
    <xf numFmtId="171" fontId="9" fillId="5" borderId="0" xfId="0" applyNumberFormat="1" applyFont="1" applyFill="1"/>
    <xf numFmtId="171" fontId="0" fillId="5" borderId="0" xfId="0" applyNumberFormat="1" applyFill="1"/>
    <xf numFmtId="173" fontId="10" fillId="5" borderId="0" xfId="0" applyNumberFormat="1" applyFont="1" applyFill="1"/>
    <xf numFmtId="174" fontId="10" fillId="5" borderId="0" xfId="0" applyNumberFormat="1" applyFont="1" applyFill="1"/>
    <xf numFmtId="173" fontId="9" fillId="5" borderId="0" xfId="0" applyNumberFormat="1" applyFont="1" applyFill="1"/>
    <xf numFmtId="173" fontId="0" fillId="5" borderId="0" xfId="0" applyNumberFormat="1" applyFill="1"/>
    <xf numFmtId="0" fontId="2" fillId="0" borderId="0" xfId="0" applyFont="1"/>
    <xf numFmtId="0" fontId="2" fillId="0" borderId="2" xfId="0" applyFont="1" applyBorder="1" applyAlignment="1">
      <alignment horizontal="centerContinuous"/>
    </xf>
    <xf numFmtId="166" fontId="9" fillId="0" borderId="0" xfId="2" applyFont="1"/>
    <xf numFmtId="169" fontId="21" fillId="3" borderId="0" xfId="0" applyNumberFormat="1" applyFont="1" applyFill="1" applyAlignment="1">
      <alignment horizontal="center"/>
    </xf>
    <xf numFmtId="169" fontId="21" fillId="3" borderId="0" xfId="0" applyNumberFormat="1" applyFont="1" applyFill="1"/>
    <xf numFmtId="10" fontId="0" fillId="0" borderId="0" xfId="0" applyNumberFormat="1"/>
    <xf numFmtId="10" fontId="2" fillId="0" borderId="0" xfId="0" applyNumberFormat="1" applyFont="1"/>
    <xf numFmtId="168" fontId="9" fillId="0" borderId="0" xfId="0" applyNumberFormat="1" applyFont="1" applyAlignment="1">
      <alignment horizontal="right"/>
    </xf>
    <xf numFmtId="0" fontId="2" fillId="0" borderId="0" xfId="0" applyFont="1" applyAlignment="1">
      <alignment horizontal="right"/>
    </xf>
    <xf numFmtId="164" fontId="20" fillId="0" borderId="0" xfId="0" applyNumberFormat="1" applyFont="1"/>
    <xf numFmtId="184" fontId="0" fillId="0" borderId="0" xfId="0" applyNumberFormat="1"/>
    <xf numFmtId="187" fontId="0" fillId="0" borderId="0" xfId="0" applyNumberFormat="1"/>
    <xf numFmtId="9" fontId="0" fillId="0" borderId="0" xfId="3" applyFont="1"/>
    <xf numFmtId="10" fontId="20" fillId="0" borderId="0" xfId="0" applyNumberFormat="1" applyFont="1"/>
    <xf numFmtId="177" fontId="8" fillId="5" borderId="2" xfId="0" applyNumberFormat="1" applyFont="1" applyFill="1" applyBorder="1" applyAlignment="1">
      <alignment horizontal="center"/>
    </xf>
    <xf numFmtId="0" fontId="24" fillId="5" borderId="0" xfId="0" applyFont="1" applyFill="1"/>
    <xf numFmtId="177" fontId="21" fillId="5" borderId="2" xfId="0" applyNumberFormat="1" applyFont="1" applyFill="1" applyBorder="1" applyAlignment="1">
      <alignment horizontal="center"/>
    </xf>
    <xf numFmtId="178" fontId="0" fillId="5" borderId="0" xfId="0" applyNumberFormat="1" applyFill="1"/>
    <xf numFmtId="168" fontId="17" fillId="5" borderId="0" xfId="0" applyNumberFormat="1" applyFont="1" applyFill="1"/>
    <xf numFmtId="164" fontId="0" fillId="0" borderId="0" xfId="0" applyNumberFormat="1"/>
    <xf numFmtId="164" fontId="1" fillId="0" borderId="0" xfId="0" applyNumberFormat="1" applyFont="1"/>
    <xf numFmtId="166" fontId="0" fillId="0" borderId="0" xfId="0" applyNumberFormat="1"/>
    <xf numFmtId="14" fontId="9" fillId="0" borderId="0" xfId="0" applyNumberFormat="1" applyFont="1" applyAlignment="1">
      <alignment horizontal="center"/>
    </xf>
    <xf numFmtId="171" fontId="37" fillId="0" borderId="0" xfId="0" applyNumberFormat="1" applyFont="1"/>
    <xf numFmtId="0" fontId="29" fillId="0" borderId="19" xfId="0" applyFont="1" applyBorder="1"/>
    <xf numFmtId="188" fontId="20" fillId="0" borderId="0" xfId="0" applyNumberFormat="1" applyFont="1"/>
    <xf numFmtId="0" fontId="8" fillId="0" borderId="19" xfId="0" applyFont="1" applyBorder="1"/>
    <xf numFmtId="0" fontId="0" fillId="0" borderId="19" xfId="0" applyBorder="1"/>
    <xf numFmtId="0" fontId="20" fillId="0" borderId="19" xfId="0" applyFont="1" applyBorder="1"/>
    <xf numFmtId="174" fontId="0" fillId="0" borderId="19" xfId="0" applyNumberFormat="1" applyBorder="1"/>
    <xf numFmtId="174" fontId="1" fillId="0" borderId="19" xfId="0" applyNumberFormat="1" applyFont="1" applyBorder="1"/>
    <xf numFmtId="0" fontId="1" fillId="0" borderId="19" xfId="0" applyFont="1" applyBorder="1"/>
    <xf numFmtId="189" fontId="0" fillId="0" borderId="19" xfId="3" applyNumberFormat="1" applyFont="1" applyBorder="1"/>
    <xf numFmtId="166" fontId="8" fillId="0" borderId="19" xfId="2" applyFont="1" applyBorder="1" applyAlignment="1">
      <alignment horizontal="right"/>
    </xf>
    <xf numFmtId="0" fontId="8" fillId="0" borderId="19" xfId="0" applyFont="1" applyBorder="1" applyAlignment="1">
      <alignment horizontal="right"/>
    </xf>
    <xf numFmtId="0" fontId="38" fillId="0" borderId="0" xfId="0" applyFont="1"/>
    <xf numFmtId="0" fontId="39" fillId="0" borderId="0" xfId="0" applyFont="1"/>
    <xf numFmtId="0" fontId="40" fillId="0" borderId="0" xfId="0" applyFont="1"/>
    <xf numFmtId="0" fontId="1" fillId="0" borderId="0" xfId="0" applyFont="1" applyAlignment="1">
      <alignment horizontal="right"/>
    </xf>
    <xf numFmtId="189" fontId="9" fillId="0" borderId="0" xfId="3" applyNumberFormat="1" applyFont="1"/>
    <xf numFmtId="0" fontId="1" fillId="0" borderId="2" xfId="0" applyFont="1" applyBorder="1" applyAlignment="1">
      <alignment horizontal="centerContinuous"/>
    </xf>
    <xf numFmtId="189" fontId="10" fillId="0" borderId="0" xfId="3" applyNumberFormat="1" applyFont="1"/>
    <xf numFmtId="189" fontId="0" fillId="0" borderId="0" xfId="0" applyNumberFormat="1"/>
    <xf numFmtId="189" fontId="0" fillId="0" borderId="6" xfId="3" applyNumberFormat="1" applyFont="1" applyBorder="1"/>
    <xf numFmtId="189" fontId="10" fillId="0" borderId="6" xfId="3" applyNumberFormat="1" applyFont="1" applyBorder="1"/>
    <xf numFmtId="189" fontId="0" fillId="0" borderId="0" xfId="3" applyNumberFormat="1" applyFont="1" applyBorder="1"/>
    <xf numFmtId="189" fontId="10" fillId="0" borderId="0" xfId="3" applyNumberFormat="1" applyFont="1" applyBorder="1"/>
    <xf numFmtId="189" fontId="0" fillId="0" borderId="9" xfId="3" applyNumberFormat="1" applyFont="1" applyBorder="1"/>
    <xf numFmtId="189" fontId="10" fillId="0" borderId="9" xfId="3" applyNumberFormat="1" applyFont="1" applyBorder="1"/>
    <xf numFmtId="189" fontId="1" fillId="0" borderId="6" xfId="3" applyNumberFormat="1" applyFont="1" applyBorder="1"/>
    <xf numFmtId="190" fontId="30" fillId="3" borderId="0" xfId="0" applyNumberFormat="1" applyFont="1" applyFill="1"/>
    <xf numFmtId="189" fontId="1" fillId="0" borderId="0" xfId="3" applyNumberFormat="1" applyFont="1" applyBorder="1"/>
    <xf numFmtId="189" fontId="1" fillId="0" borderId="9" xfId="3" applyNumberFormat="1" applyFont="1" applyBorder="1"/>
    <xf numFmtId="10" fontId="1" fillId="0" borderId="0" xfId="0" applyNumberFormat="1" applyFont="1"/>
    <xf numFmtId="10" fontId="0" fillId="0" borderId="8" xfId="0" applyNumberFormat="1" applyBorder="1"/>
    <xf numFmtId="0" fontId="0" fillId="0" borderId="16" xfId="0" applyBorder="1"/>
    <xf numFmtId="0" fontId="0" fillId="0" borderId="17" xfId="0" applyBorder="1"/>
    <xf numFmtId="0" fontId="0" fillId="0" borderId="18" xfId="0" applyBorder="1"/>
    <xf numFmtId="166" fontId="0" fillId="0" borderId="0" xfId="2" applyFont="1" applyBorder="1"/>
    <xf numFmtId="166" fontId="0" fillId="0" borderId="6" xfId="2" applyFont="1" applyBorder="1"/>
    <xf numFmtId="166" fontId="0" fillId="0" borderId="7" xfId="2" applyFont="1" applyBorder="1"/>
    <xf numFmtId="166" fontId="0" fillId="0" borderId="8" xfId="2" applyFont="1" applyBorder="1"/>
    <xf numFmtId="166" fontId="0" fillId="0" borderId="9" xfId="2" applyFont="1" applyBorder="1"/>
    <xf numFmtId="166" fontId="0" fillId="0" borderId="10" xfId="2" applyFont="1" applyBorder="1"/>
  </cellXfs>
  <cellStyles count="4">
    <cellStyle name="Comma" xfId="1" builtinId="3"/>
    <cellStyle name="Currency" xfId="2" builtinId="4"/>
    <cellStyle name="Normal" xfId="0" builtinId="0"/>
    <cellStyle name="Percent" xfId="3" builtinId="5"/>
  </cellStyles>
  <dxfs count="3">
    <dxf>
      <font>
        <i val="0"/>
        <condense val="0"/>
        <extend val="0"/>
        <color indexed="10"/>
      </font>
    </dxf>
    <dxf>
      <font>
        <i val="0"/>
        <condense val="0"/>
        <extend val="0"/>
        <color indexed="10"/>
      </font>
    </dxf>
    <dxf>
      <font>
        <i val="0"/>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Z:\Documents%20and%20Settings\Administrator\My%20Documents\M&amp;A%20Mode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ssumptions"/>
      <sheetName val="Merger --&gt;&gt;"/>
      <sheetName val="Contribution"/>
      <sheetName val="Acc-Dil"/>
      <sheetName val="PPR"/>
      <sheetName val="S&amp;U"/>
      <sheetName val="GAAP"/>
      <sheetName val="Pro Forma --&gt;&gt;"/>
      <sheetName val="BS"/>
      <sheetName val="IS"/>
      <sheetName val="Inputs --&gt;&gt;"/>
      <sheetName val="Acquirer"/>
      <sheetName val="Target"/>
      <sheetName val="Valuation --&gt;&gt;"/>
      <sheetName val="LBO"/>
      <sheetName val="DC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34">
          <cell r="AF34">
            <v>2.7799999999999998E-2</v>
          </cell>
        </row>
      </sheetData>
      <sheetData sheetId="15"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67"/>
  <sheetViews>
    <sheetView showGridLines="0" workbookViewId="0">
      <selection activeCell="T8" sqref="T8"/>
    </sheetView>
  </sheetViews>
  <sheetFormatPr defaultColWidth="8.81640625" defaultRowHeight="12.5" x14ac:dyDescent="0.25"/>
  <cols>
    <col min="1" max="1" width="1.6328125" customWidth="1"/>
    <col min="2" max="2" width="9.6328125" customWidth="1"/>
    <col min="3" max="3" width="1.6328125" customWidth="1"/>
    <col min="4" max="4" width="9.6328125" customWidth="1"/>
    <col min="5" max="5" width="1.6328125" customWidth="1"/>
    <col min="6" max="6" width="9.6328125" customWidth="1"/>
    <col min="7" max="7" width="1.6328125" customWidth="1"/>
    <col min="8" max="8" width="12" customWidth="1"/>
    <col min="9" max="9" width="1.6328125" customWidth="1"/>
    <col min="10" max="10" width="9.6328125" customWidth="1"/>
    <col min="11" max="11" width="1.6328125" customWidth="1"/>
    <col min="12" max="12" width="12.36328125" customWidth="1"/>
    <col min="13" max="13" width="1.6328125" customWidth="1"/>
    <col min="14" max="14" width="9.6328125" customWidth="1"/>
    <col min="15" max="15" width="1.6328125" customWidth="1"/>
    <col min="20" max="20" width="9.6328125" bestFit="1" customWidth="1"/>
  </cols>
  <sheetData>
    <row r="1" spans="1:21" ht="24" customHeight="1" thickBot="1" x14ac:dyDescent="0.5">
      <c r="A1" s="1" t="s">
        <v>0</v>
      </c>
      <c r="B1" s="2"/>
      <c r="C1" s="2"/>
      <c r="D1" s="2"/>
      <c r="E1" s="2"/>
      <c r="F1" s="2"/>
      <c r="G1" s="2"/>
      <c r="H1" s="2"/>
      <c r="I1" s="2"/>
      <c r="J1" s="2"/>
      <c r="K1" s="2"/>
      <c r="L1" s="2"/>
      <c r="M1" s="2"/>
      <c r="N1" s="2"/>
      <c r="O1" s="2"/>
      <c r="P1" s="2"/>
      <c r="Q1" s="2"/>
      <c r="R1" s="2"/>
      <c r="S1" s="2"/>
      <c r="T1" s="2"/>
    </row>
    <row r="2" spans="1:21" x14ac:dyDescent="0.25">
      <c r="A2" s="3" t="s">
        <v>1</v>
      </c>
    </row>
    <row r="4" spans="1:21" ht="13" x14ac:dyDescent="0.3">
      <c r="A4" s="4" t="s">
        <v>2</v>
      </c>
      <c r="B4" s="5"/>
      <c r="C4" s="5"/>
      <c r="D4" s="5"/>
      <c r="E4" s="5"/>
      <c r="F4" s="5"/>
      <c r="G4" s="5"/>
      <c r="H4" s="5"/>
      <c r="I4" s="5"/>
      <c r="J4" s="5"/>
      <c r="K4" s="5"/>
      <c r="L4" s="5"/>
      <c r="M4" s="5"/>
      <c r="N4" s="5"/>
      <c r="P4" s="4" t="s">
        <v>50</v>
      </c>
      <c r="Q4" s="5"/>
      <c r="R4" s="5"/>
      <c r="S4" s="5"/>
      <c r="T4" s="5"/>
    </row>
    <row r="6" spans="1:21" ht="13.5" customHeight="1" thickBot="1" x14ac:dyDescent="0.35">
      <c r="A6" s="6"/>
      <c r="H6" s="7" t="s">
        <v>3</v>
      </c>
      <c r="I6" s="7"/>
      <c r="J6" s="7"/>
      <c r="L6" s="7" t="s">
        <v>4</v>
      </c>
      <c r="M6" s="7"/>
      <c r="N6" s="7"/>
      <c r="P6" s="39" t="s">
        <v>51</v>
      </c>
    </row>
    <row r="7" spans="1:21" x14ac:dyDescent="0.25">
      <c r="L7" s="8"/>
      <c r="M7" s="8"/>
      <c r="N7" s="8"/>
      <c r="P7" t="s">
        <v>52</v>
      </c>
      <c r="T7" s="40">
        <v>3</v>
      </c>
      <c r="U7" s="281"/>
    </row>
    <row r="8" spans="1:21" ht="13" x14ac:dyDescent="0.3">
      <c r="A8" t="s">
        <v>5</v>
      </c>
      <c r="H8" s="38" t="s">
        <v>309</v>
      </c>
      <c r="I8" s="38"/>
      <c r="J8" s="38"/>
      <c r="K8" s="18"/>
      <c r="L8" s="38" t="s">
        <v>311</v>
      </c>
      <c r="M8" s="8"/>
      <c r="N8" s="8"/>
      <c r="P8" t="s">
        <v>53</v>
      </c>
      <c r="T8" s="41">
        <v>0.67</v>
      </c>
      <c r="U8" s="281"/>
    </row>
    <row r="9" spans="1:21" x14ac:dyDescent="0.25">
      <c r="A9" t="s">
        <v>6</v>
      </c>
      <c r="H9" s="38" t="s">
        <v>310</v>
      </c>
      <c r="I9" s="38"/>
      <c r="J9" s="38"/>
      <c r="K9" s="18"/>
      <c r="L9" s="38" t="s">
        <v>312</v>
      </c>
      <c r="M9" s="8"/>
      <c r="N9" s="8"/>
    </row>
    <row r="10" spans="1:21" ht="13" x14ac:dyDescent="0.3">
      <c r="P10" s="39" t="s">
        <v>54</v>
      </c>
    </row>
    <row r="11" spans="1:21" x14ac:dyDescent="0.25">
      <c r="A11" t="s">
        <v>7</v>
      </c>
      <c r="H11" s="9">
        <v>45124</v>
      </c>
      <c r="I11" s="10"/>
      <c r="J11" s="10">
        <v>35.090000000000003</v>
      </c>
      <c r="L11" s="11">
        <f>H11</f>
        <v>45124</v>
      </c>
      <c r="N11" s="10">
        <v>43.61</v>
      </c>
      <c r="P11" t="s">
        <v>55</v>
      </c>
      <c r="T11" s="40">
        <v>1</v>
      </c>
    </row>
    <row r="12" spans="1:21" x14ac:dyDescent="0.25">
      <c r="A12" t="s">
        <v>8</v>
      </c>
      <c r="H12" s="9">
        <v>44959</v>
      </c>
      <c r="J12" s="10">
        <v>48.51</v>
      </c>
      <c r="L12" s="9">
        <v>45071</v>
      </c>
      <c r="N12" s="10">
        <v>46.86</v>
      </c>
      <c r="P12" t="s">
        <v>56</v>
      </c>
      <c r="T12" s="40">
        <v>0</v>
      </c>
    </row>
    <row r="13" spans="1:21" x14ac:dyDescent="0.25">
      <c r="A13" t="s">
        <v>9</v>
      </c>
      <c r="H13" s="9">
        <v>44760</v>
      </c>
      <c r="J13" s="10">
        <v>29.27</v>
      </c>
      <c r="L13" s="9">
        <v>44830</v>
      </c>
      <c r="N13" s="10">
        <v>28.66</v>
      </c>
      <c r="P13" t="s">
        <v>57</v>
      </c>
      <c r="T13" s="42">
        <v>0</v>
      </c>
    </row>
    <row r="15" spans="1:21" ht="13" x14ac:dyDescent="0.3">
      <c r="A15" t="s">
        <v>10</v>
      </c>
      <c r="J15" s="12">
        <v>229</v>
      </c>
      <c r="L15" s="13"/>
      <c r="N15" s="12">
        <v>241.2</v>
      </c>
      <c r="P15" s="39" t="s">
        <v>58</v>
      </c>
    </row>
    <row r="16" spans="1:21" ht="13" x14ac:dyDescent="0.3">
      <c r="A16" t="s">
        <v>11</v>
      </c>
      <c r="J16" s="14">
        <f>N52</f>
        <v>0</v>
      </c>
      <c r="L16" s="13"/>
      <c r="N16" s="14">
        <f>N67</f>
        <v>0.98371933042880144</v>
      </c>
      <c r="P16" t="s">
        <v>59</v>
      </c>
      <c r="T16" s="43">
        <v>0.06</v>
      </c>
      <c r="U16" s="287"/>
    </row>
    <row r="17" spans="1:21" ht="13.5" customHeight="1" thickBot="1" x14ac:dyDescent="0.3">
      <c r="A17" t="s">
        <v>12</v>
      </c>
      <c r="J17" s="14">
        <f>H29*H27+J29*J27</f>
        <v>0</v>
      </c>
      <c r="L17" s="13"/>
      <c r="N17" s="14">
        <f>L29*L27+N29*N27</f>
        <v>0</v>
      </c>
      <c r="P17" t="s">
        <v>60</v>
      </c>
      <c r="T17" s="44">
        <v>7</v>
      </c>
    </row>
    <row r="18" spans="1:21" x14ac:dyDescent="0.25">
      <c r="A18" t="s">
        <v>13</v>
      </c>
      <c r="J18" s="15">
        <f>SUM(J15:J17)</f>
        <v>229</v>
      </c>
      <c r="N18" s="15">
        <f>SUM(N15:N17)</f>
        <v>242.1837193304288</v>
      </c>
    </row>
    <row r="19" spans="1:21" ht="13" x14ac:dyDescent="0.3">
      <c r="P19" s="39" t="s">
        <v>61</v>
      </c>
    </row>
    <row r="20" spans="1:21" ht="13" x14ac:dyDescent="0.3">
      <c r="A20" t="s">
        <v>14</v>
      </c>
      <c r="J20" s="16">
        <f>acq_price*J18</f>
        <v>8035.6100000000006</v>
      </c>
      <c r="N20" s="16">
        <f>tgt_price*N18</f>
        <v>10561.632</v>
      </c>
      <c r="P20" s="45" t="s">
        <v>62</v>
      </c>
      <c r="T20" s="41">
        <v>5.2499999999999998E-2</v>
      </c>
      <c r="U20" s="286"/>
    </row>
    <row r="21" spans="1:21" ht="13.5" customHeight="1" thickBot="1" x14ac:dyDescent="0.3">
      <c r="A21" t="s">
        <v>15</v>
      </c>
      <c r="J21" s="17">
        <v>4932</v>
      </c>
      <c r="K21" s="18"/>
      <c r="L21" s="18"/>
      <c r="M21" s="18"/>
      <c r="N21" s="17">
        <v>2641.5</v>
      </c>
      <c r="P21" t="s">
        <v>63</v>
      </c>
      <c r="T21" s="46">
        <v>300</v>
      </c>
    </row>
    <row r="22" spans="1:21" ht="13.5" customHeight="1" thickBot="1" x14ac:dyDescent="0.35">
      <c r="A22" s="19" t="s">
        <v>16</v>
      </c>
      <c r="B22" s="19"/>
      <c r="C22" s="19"/>
      <c r="D22" s="19"/>
      <c r="E22" s="19"/>
      <c r="F22" s="19"/>
      <c r="G22" s="19"/>
      <c r="H22" s="19"/>
      <c r="I22" s="19"/>
      <c r="J22" s="20">
        <f>SUM(J20:J21)</f>
        <v>12967.61</v>
      </c>
      <c r="K22" s="19"/>
      <c r="L22" s="19"/>
      <c r="M22" s="19"/>
      <c r="N22" s="20">
        <f>SUM(N20:N21)</f>
        <v>13203.132</v>
      </c>
    </row>
    <row r="23" spans="1:21" ht="13.5" customHeight="1" thickTop="1" x14ac:dyDescent="0.3">
      <c r="P23" s="39" t="s">
        <v>64</v>
      </c>
    </row>
    <row r="24" spans="1:21" ht="13.5" customHeight="1" thickBot="1" x14ac:dyDescent="0.3">
      <c r="H24" s="21" t="s">
        <v>17</v>
      </c>
      <c r="I24" s="22"/>
      <c r="J24" s="21" t="s">
        <v>18</v>
      </c>
      <c r="L24" s="21" t="s">
        <v>17</v>
      </c>
      <c r="N24" s="21" t="s">
        <v>18</v>
      </c>
      <c r="P24" t="s">
        <v>65</v>
      </c>
      <c r="T24" s="23">
        <v>151.69999999999999</v>
      </c>
      <c r="U24" s="281"/>
    </row>
    <row r="25" spans="1:21" ht="13" x14ac:dyDescent="0.3">
      <c r="A25" t="s">
        <v>19</v>
      </c>
      <c r="H25" s="23">
        <v>1.0000000000000001E-9</v>
      </c>
      <c r="J25" s="23">
        <v>1.0000000000000001E-9</v>
      </c>
      <c r="L25" s="23">
        <v>1.0000000000000001E-9</v>
      </c>
      <c r="N25" s="23">
        <v>1.0000000000000001E-9</v>
      </c>
      <c r="P25" t="s">
        <v>66</v>
      </c>
      <c r="T25" s="41">
        <v>5.0000000000000001E-3</v>
      </c>
    </row>
    <row r="26" spans="1:21" ht="12.75" customHeight="1" x14ac:dyDescent="0.25">
      <c r="A26" t="s">
        <v>20</v>
      </c>
      <c r="H26" s="25" t="s">
        <v>21</v>
      </c>
      <c r="I26" s="24"/>
      <c r="J26" s="25" t="s">
        <v>21</v>
      </c>
      <c r="L26" s="25" t="s">
        <v>21</v>
      </c>
      <c r="N26" s="25" t="s">
        <v>21</v>
      </c>
    </row>
    <row r="27" spans="1:21" ht="13" x14ac:dyDescent="0.3">
      <c r="A27" t="s">
        <v>22</v>
      </c>
      <c r="H27" s="14">
        <f>IF(ISERROR(H25/H26),0,H25/H26)</f>
        <v>0</v>
      </c>
      <c r="J27" s="14">
        <f>IF(ISERROR(J25/J26),0,J25/J26)</f>
        <v>0</v>
      </c>
      <c r="L27" s="14">
        <f>IF(ISERROR(L25/L26),0,L25/L26)</f>
        <v>0</v>
      </c>
      <c r="N27" s="14">
        <f>IF(ISERROR(N25/N26),0,N25/N26)</f>
        <v>0</v>
      </c>
      <c r="P27" s="39" t="s">
        <v>67</v>
      </c>
    </row>
    <row r="28" spans="1:21" x14ac:dyDescent="0.25">
      <c r="A28" t="s">
        <v>23</v>
      </c>
      <c r="H28" s="288" t="s">
        <v>21</v>
      </c>
      <c r="I28" s="288"/>
      <c r="J28" s="288" t="s">
        <v>21</v>
      </c>
      <c r="K28" s="288"/>
      <c r="L28" s="288" t="s">
        <v>21</v>
      </c>
      <c r="M28" s="288"/>
      <c r="N28" s="288" t="s">
        <v>21</v>
      </c>
      <c r="P28" t="s">
        <v>68</v>
      </c>
      <c r="T28" s="42">
        <v>1</v>
      </c>
      <c r="U28" s="281"/>
    </row>
    <row r="29" spans="1:21" ht="12.75" customHeight="1" x14ac:dyDescent="0.25">
      <c r="A29" t="s">
        <v>24</v>
      </c>
      <c r="H29" s="27">
        <f>IF(H26&gt;acq_price,0,1)</f>
        <v>0</v>
      </c>
      <c r="I29" s="28"/>
      <c r="J29" s="27">
        <f>IF(J26&gt;acq_price,0,1)</f>
        <v>0</v>
      </c>
      <c r="L29" s="27">
        <f>IF(L26&gt;tgt_price,0,1)</f>
        <v>0</v>
      </c>
      <c r="N29" s="27">
        <f>IF(N26&gt;tgt_price,0,1)</f>
        <v>0</v>
      </c>
      <c r="P29" t="s">
        <v>69</v>
      </c>
      <c r="T29" s="23">
        <v>520</v>
      </c>
      <c r="U29" s="281"/>
    </row>
    <row r="30" spans="1:21" x14ac:dyDescent="0.25">
      <c r="P30" t="s">
        <v>70</v>
      </c>
      <c r="T30" s="23">
        <v>1100</v>
      </c>
      <c r="U30" s="281"/>
    </row>
    <row r="31" spans="1:21" x14ac:dyDescent="0.25">
      <c r="A31" t="s">
        <v>25</v>
      </c>
      <c r="H31" s="303">
        <v>45107</v>
      </c>
      <c r="I31" s="8"/>
      <c r="J31" s="8"/>
      <c r="L31" s="303">
        <v>45107</v>
      </c>
      <c r="M31" s="8"/>
      <c r="N31" s="8"/>
    </row>
    <row r="32" spans="1:21" ht="13" x14ac:dyDescent="0.3">
      <c r="A32" t="s">
        <v>26</v>
      </c>
      <c r="H32" s="303">
        <v>44954</v>
      </c>
      <c r="I32" s="8"/>
      <c r="J32" s="8"/>
      <c r="L32" s="303">
        <v>45108</v>
      </c>
      <c r="M32" s="8"/>
      <c r="N32" s="8"/>
      <c r="P32" s="39" t="s">
        <v>71</v>
      </c>
    </row>
    <row r="33" spans="1:20" ht="13" x14ac:dyDescent="0.3">
      <c r="H33" s="30"/>
      <c r="I33" s="8"/>
      <c r="J33" s="8"/>
      <c r="L33" s="30"/>
      <c r="M33" s="8"/>
      <c r="N33" s="8"/>
      <c r="P33" t="s">
        <v>72</v>
      </c>
      <c r="T33" s="47">
        <v>0.25</v>
      </c>
    </row>
    <row r="34" spans="1:20" x14ac:dyDescent="0.25">
      <c r="A34" t="s">
        <v>27</v>
      </c>
      <c r="H34" s="38"/>
      <c r="I34" s="38"/>
      <c r="J34" s="38"/>
      <c r="K34" s="18"/>
      <c r="L34" s="38"/>
      <c r="M34" s="38"/>
      <c r="N34" s="8"/>
      <c r="P34" t="s">
        <v>73</v>
      </c>
      <c r="T34" s="48">
        <v>5</v>
      </c>
    </row>
    <row r="35" spans="1:20" x14ac:dyDescent="0.25">
      <c r="A35" t="s">
        <v>28</v>
      </c>
      <c r="H35" s="29"/>
      <c r="I35" s="38"/>
      <c r="J35" s="38"/>
      <c r="K35" s="18"/>
      <c r="L35" s="29"/>
      <c r="M35" s="38"/>
      <c r="N35" s="8"/>
      <c r="P35" t="s">
        <v>74</v>
      </c>
      <c r="T35" s="46">
        <v>15</v>
      </c>
    </row>
    <row r="36" spans="1:20" x14ac:dyDescent="0.25">
      <c r="N36" s="30"/>
      <c r="P36" t="s">
        <v>75</v>
      </c>
      <c r="T36" s="44">
        <v>10</v>
      </c>
    </row>
    <row r="37" spans="1:20" ht="13" x14ac:dyDescent="0.3">
      <c r="A37" s="4" t="s">
        <v>29</v>
      </c>
      <c r="B37" s="5"/>
      <c r="C37" s="5"/>
      <c r="D37" s="5"/>
      <c r="E37" s="5"/>
      <c r="F37" s="5"/>
      <c r="G37" s="5"/>
      <c r="H37" s="5"/>
      <c r="I37" s="5"/>
      <c r="J37" s="5"/>
      <c r="K37" s="5"/>
      <c r="L37" s="5"/>
      <c r="M37" s="5"/>
      <c r="N37" s="5"/>
    </row>
    <row r="38" spans="1:20" ht="13" x14ac:dyDescent="0.3">
      <c r="P38" s="39" t="s">
        <v>76</v>
      </c>
    </row>
    <row r="39" spans="1:20" ht="13.5" customHeight="1" thickBot="1" x14ac:dyDescent="0.35">
      <c r="D39" s="7" t="str">
        <f>acq</f>
        <v>Bath &amp; Body Works, Inc.</v>
      </c>
      <c r="E39" s="31"/>
      <c r="F39" s="31"/>
      <c r="G39" s="31"/>
      <c r="H39" s="31"/>
      <c r="I39" s="31"/>
      <c r="J39" s="31"/>
      <c r="K39" s="31"/>
      <c r="L39" s="31"/>
      <c r="M39" s="31"/>
      <c r="N39" s="31"/>
      <c r="P39" t="s">
        <v>77</v>
      </c>
      <c r="T39" s="49">
        <v>0.27700000000000002</v>
      </c>
    </row>
    <row r="40" spans="1:20" ht="13" x14ac:dyDescent="0.3">
      <c r="D40" s="22" t="s">
        <v>30</v>
      </c>
      <c r="F40" s="22" t="s">
        <v>31</v>
      </c>
      <c r="H40" s="22" t="s">
        <v>32</v>
      </c>
      <c r="J40" s="22" t="s">
        <v>32</v>
      </c>
      <c r="L40" s="22" t="s">
        <v>32</v>
      </c>
      <c r="N40" s="22" t="s">
        <v>33</v>
      </c>
      <c r="P40" t="s">
        <v>78</v>
      </c>
      <c r="Q40" s="50"/>
      <c r="R40" s="50"/>
      <c r="S40" s="50"/>
      <c r="T40" s="40" t="s">
        <v>79</v>
      </c>
    </row>
    <row r="41" spans="1:20" ht="13.5" customHeight="1" thickBot="1" x14ac:dyDescent="0.35">
      <c r="D41" s="21" t="s">
        <v>34</v>
      </c>
      <c r="F41" s="21" t="s">
        <v>35</v>
      </c>
      <c r="H41" s="21" t="s">
        <v>34</v>
      </c>
      <c r="J41" s="21" t="s">
        <v>36</v>
      </c>
      <c r="L41" s="21" t="s">
        <v>37</v>
      </c>
      <c r="N41" s="21" t="s">
        <v>38</v>
      </c>
      <c r="P41" t="s">
        <v>80</v>
      </c>
      <c r="Q41" s="50"/>
      <c r="R41" s="50"/>
      <c r="S41" s="50"/>
      <c r="T41" s="40" t="s">
        <v>61</v>
      </c>
    </row>
    <row r="42" spans="1:20" x14ac:dyDescent="0.25">
      <c r="A42" t="s">
        <v>39</v>
      </c>
      <c r="D42" s="12">
        <v>0.19252900000000001</v>
      </c>
      <c r="F42" s="10">
        <v>47.44</v>
      </c>
      <c r="H42" s="14">
        <f>D42</f>
        <v>0.19252900000000001</v>
      </c>
      <c r="J42" s="16">
        <f>F42*D42</f>
        <v>9.1335757599999994</v>
      </c>
      <c r="L42" s="32">
        <f t="shared" ref="L42:L51" si="0">J42/H42</f>
        <v>47.44</v>
      </c>
      <c r="N42" s="14">
        <f t="shared" ref="N42:N51" si="1">IF(F42&lt;acq_price,D42-D42*F42/acq_price,0)</f>
        <v>0</v>
      </c>
    </row>
    <row r="43" spans="1:20" x14ac:dyDescent="0.25">
      <c r="A43" t="s">
        <v>40</v>
      </c>
      <c r="D43" s="33">
        <v>0</v>
      </c>
      <c r="E43" s="33"/>
      <c r="F43" s="33">
        <v>0</v>
      </c>
      <c r="H43" s="14">
        <f t="shared" ref="H43:H51" si="2">H42+D43</f>
        <v>0.19252900000000001</v>
      </c>
      <c r="J43" s="34">
        <f>SUMPRODUCT(F$42:F43,D$42:D43)</f>
        <v>9.1335757599999994</v>
      </c>
      <c r="L43" s="35">
        <f t="shared" si="0"/>
        <v>47.44</v>
      </c>
      <c r="N43" s="14">
        <f t="shared" si="1"/>
        <v>0</v>
      </c>
    </row>
    <row r="44" spans="1:20" ht="12.75" customHeight="1" x14ac:dyDescent="0.25">
      <c r="A44" t="s">
        <v>41</v>
      </c>
      <c r="D44" s="33">
        <v>0</v>
      </c>
      <c r="E44" s="33"/>
      <c r="F44" s="33">
        <v>0</v>
      </c>
      <c r="H44" s="14">
        <f t="shared" si="2"/>
        <v>0.19252900000000001</v>
      </c>
      <c r="J44" s="34">
        <f>SUMPRODUCT(F$42:F44,D$42:D44)</f>
        <v>9.1335757599999994</v>
      </c>
      <c r="L44" s="35">
        <f t="shared" si="0"/>
        <v>47.44</v>
      </c>
      <c r="N44" s="14">
        <f t="shared" si="1"/>
        <v>0</v>
      </c>
    </row>
    <row r="45" spans="1:20" x14ac:dyDescent="0.25">
      <c r="A45" t="s">
        <v>42</v>
      </c>
      <c r="D45" s="33">
        <v>0</v>
      </c>
      <c r="E45" s="33"/>
      <c r="F45" s="33">
        <v>0</v>
      </c>
      <c r="H45" s="14">
        <f t="shared" si="2"/>
        <v>0.19252900000000001</v>
      </c>
      <c r="J45" s="34">
        <f>SUMPRODUCT(F$42:F45,D$42:D45)</f>
        <v>9.1335757599999994</v>
      </c>
      <c r="L45" s="35">
        <f t="shared" si="0"/>
        <v>47.44</v>
      </c>
      <c r="N45" s="14">
        <f t="shared" si="1"/>
        <v>0</v>
      </c>
    </row>
    <row r="46" spans="1:20" x14ac:dyDescent="0.25">
      <c r="A46" t="s">
        <v>43</v>
      </c>
      <c r="D46" s="33">
        <v>0</v>
      </c>
      <c r="E46" s="33"/>
      <c r="F46" s="33">
        <v>0</v>
      </c>
      <c r="H46" s="14">
        <f t="shared" si="2"/>
        <v>0.19252900000000001</v>
      </c>
      <c r="J46" s="34">
        <f>SUMPRODUCT(F$42:F46,D$42:D46)</f>
        <v>9.1335757599999994</v>
      </c>
      <c r="L46" s="35">
        <f t="shared" si="0"/>
        <v>47.44</v>
      </c>
      <c r="N46" s="14">
        <f t="shared" si="1"/>
        <v>0</v>
      </c>
    </row>
    <row r="47" spans="1:20" x14ac:dyDescent="0.25">
      <c r="A47" t="s">
        <v>44</v>
      </c>
      <c r="D47" s="33">
        <v>0</v>
      </c>
      <c r="E47" s="33"/>
      <c r="F47" s="33">
        <v>0</v>
      </c>
      <c r="H47" s="14">
        <f t="shared" si="2"/>
        <v>0.19252900000000001</v>
      </c>
      <c r="J47" s="34">
        <f>SUMPRODUCT(F$42:F47,D$42:D47)</f>
        <v>9.1335757599999994</v>
      </c>
      <c r="L47" s="35">
        <f t="shared" si="0"/>
        <v>47.44</v>
      </c>
      <c r="N47" s="14">
        <f t="shared" si="1"/>
        <v>0</v>
      </c>
    </row>
    <row r="48" spans="1:20" x14ac:dyDescent="0.25">
      <c r="A48" t="s">
        <v>45</v>
      </c>
      <c r="D48" s="33">
        <v>0</v>
      </c>
      <c r="E48" s="33"/>
      <c r="F48" s="33">
        <v>0</v>
      </c>
      <c r="H48" s="14">
        <f t="shared" si="2"/>
        <v>0.19252900000000001</v>
      </c>
      <c r="J48" s="34">
        <f>SUMPRODUCT(F$42:F48,D$42:D48)</f>
        <v>9.1335757599999994</v>
      </c>
      <c r="L48" s="35">
        <f t="shared" si="0"/>
        <v>47.44</v>
      </c>
      <c r="N48" s="14">
        <f t="shared" si="1"/>
        <v>0</v>
      </c>
    </row>
    <row r="49" spans="1:14" x14ac:dyDescent="0.25">
      <c r="A49" t="s">
        <v>46</v>
      </c>
      <c r="D49" s="33">
        <v>0</v>
      </c>
      <c r="E49" s="33"/>
      <c r="F49" s="33">
        <v>0</v>
      </c>
      <c r="H49" s="14">
        <f t="shared" si="2"/>
        <v>0.19252900000000001</v>
      </c>
      <c r="J49" s="34">
        <f>SUMPRODUCT(F$42:F49,D$42:D49)</f>
        <v>9.1335757599999994</v>
      </c>
      <c r="L49" s="35">
        <f t="shared" si="0"/>
        <v>47.44</v>
      </c>
      <c r="N49" s="14">
        <f t="shared" si="1"/>
        <v>0</v>
      </c>
    </row>
    <row r="50" spans="1:14" x14ac:dyDescent="0.25">
      <c r="A50" t="s">
        <v>47</v>
      </c>
      <c r="D50" s="33">
        <v>0</v>
      </c>
      <c r="E50" s="33"/>
      <c r="F50" s="33">
        <v>0</v>
      </c>
      <c r="H50" s="14">
        <f t="shared" si="2"/>
        <v>0.19252900000000001</v>
      </c>
      <c r="J50" s="34">
        <f>SUMPRODUCT(F$42:F50,D$42:D50)</f>
        <v>9.1335757599999994</v>
      </c>
      <c r="L50" s="35">
        <f t="shared" si="0"/>
        <v>47.44</v>
      </c>
      <c r="N50" s="14">
        <f t="shared" si="1"/>
        <v>0</v>
      </c>
    </row>
    <row r="51" spans="1:14" ht="13.5" customHeight="1" thickBot="1" x14ac:dyDescent="0.3">
      <c r="A51" t="s">
        <v>48</v>
      </c>
      <c r="D51" s="33">
        <v>0</v>
      </c>
      <c r="E51" s="33"/>
      <c r="F51" s="33">
        <v>0</v>
      </c>
      <c r="H51" s="14">
        <f t="shared" si="2"/>
        <v>0.19252900000000001</v>
      </c>
      <c r="J51" s="34">
        <f>SUMPRODUCT(F$42:F51,D$42:D51)</f>
        <v>9.1335757599999994</v>
      </c>
      <c r="L51" s="35">
        <f t="shared" si="0"/>
        <v>47.44</v>
      </c>
      <c r="N51" s="14">
        <f t="shared" si="1"/>
        <v>0</v>
      </c>
    </row>
    <row r="52" spans="1:14" ht="13" x14ac:dyDescent="0.3">
      <c r="G52" s="19"/>
      <c r="H52" s="19"/>
      <c r="I52" s="19"/>
      <c r="J52" s="19"/>
      <c r="K52" s="19"/>
      <c r="L52" s="36" t="s">
        <v>49</v>
      </c>
      <c r="M52" s="19"/>
      <c r="N52" s="37">
        <f>SUM(N42:N51)</f>
        <v>0</v>
      </c>
    </row>
    <row r="54" spans="1:14" ht="13.5" customHeight="1" thickBot="1" x14ac:dyDescent="0.35">
      <c r="D54" s="7" t="str">
        <f>tgt</f>
        <v>Tapestry, Inc.</v>
      </c>
      <c r="E54" s="31"/>
      <c r="F54" s="31"/>
      <c r="G54" s="31"/>
      <c r="H54" s="31"/>
      <c r="I54" s="31"/>
      <c r="J54" s="31"/>
      <c r="K54" s="31"/>
      <c r="L54" s="31"/>
      <c r="M54" s="31"/>
      <c r="N54" s="31"/>
    </row>
    <row r="55" spans="1:14" x14ac:dyDescent="0.25">
      <c r="D55" t="s">
        <v>30</v>
      </c>
      <c r="F55" s="22" t="s">
        <v>31</v>
      </c>
      <c r="H55" s="22" t="s">
        <v>32</v>
      </c>
      <c r="J55" s="22" t="s">
        <v>32</v>
      </c>
      <c r="L55" s="22" t="s">
        <v>32</v>
      </c>
      <c r="N55" s="22" t="s">
        <v>33</v>
      </c>
    </row>
    <row r="56" spans="1:14" ht="13.5" customHeight="1" thickBot="1" x14ac:dyDescent="0.3">
      <c r="D56" s="21" t="s">
        <v>34</v>
      </c>
      <c r="F56" s="21" t="s">
        <v>35</v>
      </c>
      <c r="H56" s="21" t="s">
        <v>34</v>
      </c>
      <c r="J56" s="21" t="s">
        <v>36</v>
      </c>
      <c r="L56" s="21" t="s">
        <v>37</v>
      </c>
      <c r="N56" s="21" t="s">
        <v>38</v>
      </c>
    </row>
    <row r="57" spans="1:14" x14ac:dyDescent="0.25">
      <c r="A57" t="s">
        <v>39</v>
      </c>
      <c r="D57" s="12">
        <v>10</v>
      </c>
      <c r="F57" s="10">
        <v>39.32</v>
      </c>
      <c r="H57" s="14">
        <f>D57</f>
        <v>10</v>
      </c>
      <c r="J57" s="16">
        <f>F57*D57</f>
        <v>393.2</v>
      </c>
      <c r="L57" s="32">
        <f t="shared" ref="L57:L66" si="3">J57/H57</f>
        <v>39.32</v>
      </c>
      <c r="N57" s="14">
        <f t="shared" ref="N57:N66" si="4">IF(F57&lt;tgt_price,D57-D57*F57/tgt_price,0)</f>
        <v>0.98371933042880144</v>
      </c>
    </row>
    <row r="58" spans="1:14" x14ac:dyDescent="0.25">
      <c r="A58" t="s">
        <v>40</v>
      </c>
      <c r="D58" s="12">
        <v>0</v>
      </c>
      <c r="F58" s="33">
        <v>0</v>
      </c>
      <c r="H58" s="14">
        <f t="shared" ref="H58:H66" si="5">H57+D58</f>
        <v>10</v>
      </c>
      <c r="J58" s="34">
        <f>SUMPRODUCT(F$57:F58,D$57:D58)</f>
        <v>393.2</v>
      </c>
      <c r="L58" s="35">
        <f t="shared" si="3"/>
        <v>39.32</v>
      </c>
      <c r="N58" s="14">
        <f t="shared" si="4"/>
        <v>0</v>
      </c>
    </row>
    <row r="59" spans="1:14" x14ac:dyDescent="0.25">
      <c r="A59" t="s">
        <v>41</v>
      </c>
      <c r="D59" s="12">
        <v>0</v>
      </c>
      <c r="F59" s="33">
        <v>0</v>
      </c>
      <c r="H59" s="14">
        <f t="shared" si="5"/>
        <v>10</v>
      </c>
      <c r="J59" s="34">
        <f>SUMPRODUCT(F$57:F59,D$57:D59)</f>
        <v>393.2</v>
      </c>
      <c r="L59" s="35">
        <f t="shared" si="3"/>
        <v>39.32</v>
      </c>
      <c r="N59" s="14">
        <f t="shared" si="4"/>
        <v>0</v>
      </c>
    </row>
    <row r="60" spans="1:14" x14ac:dyDescent="0.25">
      <c r="A60" t="s">
        <v>42</v>
      </c>
      <c r="D60" s="12">
        <v>0</v>
      </c>
      <c r="F60" s="33">
        <v>0</v>
      </c>
      <c r="H60" s="14">
        <f t="shared" si="5"/>
        <v>10</v>
      </c>
      <c r="J60" s="34">
        <f>SUMPRODUCT(F$57:F60,D$57:D60)</f>
        <v>393.2</v>
      </c>
      <c r="L60" s="35">
        <f t="shared" si="3"/>
        <v>39.32</v>
      </c>
      <c r="N60" s="14">
        <f t="shared" si="4"/>
        <v>0</v>
      </c>
    </row>
    <row r="61" spans="1:14" x14ac:dyDescent="0.25">
      <c r="A61" t="s">
        <v>43</v>
      </c>
      <c r="D61" s="12">
        <v>0</v>
      </c>
      <c r="F61" s="33">
        <v>0</v>
      </c>
      <c r="H61" s="14">
        <f t="shared" si="5"/>
        <v>10</v>
      </c>
      <c r="J61" s="34">
        <f>SUMPRODUCT(F$57:F61,D$57:D61)</f>
        <v>393.2</v>
      </c>
      <c r="L61" s="35">
        <f t="shared" si="3"/>
        <v>39.32</v>
      </c>
      <c r="N61" s="14">
        <f t="shared" si="4"/>
        <v>0</v>
      </c>
    </row>
    <row r="62" spans="1:14" x14ac:dyDescent="0.25">
      <c r="A62" t="s">
        <v>44</v>
      </c>
      <c r="D62" s="12">
        <v>0</v>
      </c>
      <c r="F62" s="33">
        <v>0</v>
      </c>
      <c r="H62" s="14">
        <f t="shared" si="5"/>
        <v>10</v>
      </c>
      <c r="J62" s="34">
        <f>SUMPRODUCT(F$57:F62,D$57:D62)</f>
        <v>393.2</v>
      </c>
      <c r="L62" s="35">
        <f t="shared" si="3"/>
        <v>39.32</v>
      </c>
      <c r="N62" s="14">
        <f t="shared" si="4"/>
        <v>0</v>
      </c>
    </row>
    <row r="63" spans="1:14" x14ac:dyDescent="0.25">
      <c r="A63" t="s">
        <v>45</v>
      </c>
      <c r="D63" s="12">
        <v>0</v>
      </c>
      <c r="F63" s="33">
        <v>0</v>
      </c>
      <c r="H63" s="14">
        <f t="shared" si="5"/>
        <v>10</v>
      </c>
      <c r="J63" s="34">
        <f>SUMPRODUCT(F$57:F63,D$57:D63)</f>
        <v>393.2</v>
      </c>
      <c r="L63" s="35">
        <f t="shared" si="3"/>
        <v>39.32</v>
      </c>
      <c r="N63" s="14">
        <f t="shared" si="4"/>
        <v>0</v>
      </c>
    </row>
    <row r="64" spans="1:14" x14ac:dyDescent="0.25">
      <c r="A64" t="s">
        <v>46</v>
      </c>
      <c r="D64" s="12">
        <v>0</v>
      </c>
      <c r="F64" s="33">
        <v>0</v>
      </c>
      <c r="H64" s="14">
        <f t="shared" si="5"/>
        <v>10</v>
      </c>
      <c r="J64" s="34">
        <f>SUMPRODUCT(F$57:F64,D$57:D64)</f>
        <v>393.2</v>
      </c>
      <c r="L64" s="35">
        <f t="shared" si="3"/>
        <v>39.32</v>
      </c>
      <c r="N64" s="14">
        <f t="shared" si="4"/>
        <v>0</v>
      </c>
    </row>
    <row r="65" spans="1:14" x14ac:dyDescent="0.25">
      <c r="A65" t="s">
        <v>47</v>
      </c>
      <c r="D65" s="12">
        <v>0</v>
      </c>
      <c r="F65" s="33">
        <v>0</v>
      </c>
      <c r="H65" s="14">
        <f t="shared" si="5"/>
        <v>10</v>
      </c>
      <c r="J65" s="34">
        <f>SUMPRODUCT(F$57:F65,D$57:D65)</f>
        <v>393.2</v>
      </c>
      <c r="L65" s="35">
        <f t="shared" si="3"/>
        <v>39.32</v>
      </c>
      <c r="N65" s="14">
        <f t="shared" si="4"/>
        <v>0</v>
      </c>
    </row>
    <row r="66" spans="1:14" ht="13.5" customHeight="1" thickBot="1" x14ac:dyDescent="0.3">
      <c r="A66" t="s">
        <v>48</v>
      </c>
      <c r="D66" s="12">
        <v>0</v>
      </c>
      <c r="F66" s="33">
        <v>0</v>
      </c>
      <c r="H66" s="14">
        <f t="shared" si="5"/>
        <v>10</v>
      </c>
      <c r="J66" s="34">
        <f>SUMPRODUCT(F$57:F66,D$57:D66)</f>
        <v>393.2</v>
      </c>
      <c r="L66" s="35">
        <f t="shared" si="3"/>
        <v>39.32</v>
      </c>
      <c r="N66" s="14">
        <f t="shared" si="4"/>
        <v>0</v>
      </c>
    </row>
    <row r="67" spans="1:14" ht="13" x14ac:dyDescent="0.3">
      <c r="G67" s="19"/>
      <c r="H67" s="19"/>
      <c r="I67" s="19"/>
      <c r="J67" s="19"/>
      <c r="K67" s="19"/>
      <c r="L67" s="36" t="s">
        <v>49</v>
      </c>
      <c r="M67" s="19"/>
      <c r="N67" s="37">
        <f>SUM(N57:N66)</f>
        <v>0.98371933042880144</v>
      </c>
    </row>
  </sheetData>
  <phoneticPr fontId="12" type="noConversion"/>
  <conditionalFormatting sqref="T13 T28 H29:J29 L29 N29">
    <cfRule type="cellIs" dxfId="2" priority="1" stopIfTrue="1" operator="greaterThan">
      <formula>1</formula>
    </cfRule>
    <cfRule type="cellIs" dxfId="1" priority="2" stopIfTrue="1" operator="between">
      <formula>0.00001</formula>
      <formula>0.99999</formula>
    </cfRule>
    <cfRule type="cellIs" dxfId="0" priority="3" stopIfTrue="1" operator="lessThan">
      <formula>0</formula>
    </cfRule>
  </conditionalFormatting>
  <dataValidations count="5">
    <dataValidation type="whole" allowBlank="1" showInputMessage="1" showErrorMessage="1" errorTitle="ERROR" error="Please enter an integer between 1 and 7." prompt="Please enter an integer between 1 and 7." sqref="T7" xr:uid="{00000000-0002-0000-0000-000000000000}">
      <formula1>1</formula1>
      <formula2>7</formula2>
    </dataValidation>
    <dataValidation type="whole" allowBlank="1" showInputMessage="1" showErrorMessage="1" sqref="T11:T12" xr:uid="{00000000-0002-0000-0000-000001000000}">
      <formula1>0</formula1>
      <formula2>1</formula2>
    </dataValidation>
    <dataValidation type="whole" allowBlank="1" showInputMessage="1" showErrorMessage="1" errorTitle="ERROR" error="Enter either 0 or 1." prompt="Enter either 0 or 1." sqref="T28 T13" xr:uid="{00000000-0002-0000-0000-000002000000}">
      <formula1>0</formula1>
      <formula2>1</formula2>
    </dataValidation>
    <dataValidation type="list" allowBlank="1" showInputMessage="1" showErrorMessage="1" sqref="T40" xr:uid="{00000000-0002-0000-0000-000003000000}">
      <formula1>"FY,CY"</formula1>
    </dataValidation>
    <dataValidation type="list" allowBlank="1" showInputMessage="1" showErrorMessage="1" sqref="T41" xr:uid="{00000000-0002-0000-0000-000004000000}">
      <formula1>"Cash,GAAP"</formula1>
    </dataValidation>
  </dataValidations>
  <pageMargins left="0.75" right="0.75" top="1" bottom="1" header="0.5" footer="0.5"/>
  <pageSetup orientation="portrait"/>
  <headerFooter alignWithMargins="0"/>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P66"/>
  <sheetViews>
    <sheetView showGridLines="0" workbookViewId="0">
      <selection activeCell="O46" sqref="O46"/>
    </sheetView>
  </sheetViews>
  <sheetFormatPr defaultColWidth="8.81640625" defaultRowHeight="12.5" x14ac:dyDescent="0.25"/>
  <cols>
    <col min="1" max="1" width="0.81640625" customWidth="1"/>
    <col min="2" max="3" width="1.6328125" customWidth="1"/>
    <col min="4" max="6" width="7.6328125" customWidth="1"/>
    <col min="7" max="7" width="9.6328125" customWidth="1"/>
    <col min="8" max="8" width="1.6328125" customWidth="1"/>
    <col min="9" max="9" width="9.6328125" customWidth="1"/>
    <col min="10" max="10" width="1.6328125" customWidth="1"/>
    <col min="11" max="11" width="9.6328125" customWidth="1"/>
    <col min="12" max="12" width="1.6328125" customWidth="1"/>
    <col min="13" max="13" width="9.6328125" customWidth="1"/>
    <col min="14" max="14" width="1.6328125" customWidth="1"/>
    <col min="15" max="15" width="9.6328125" customWidth="1"/>
    <col min="16" max="16" width="1.6328125" customWidth="1"/>
    <col min="17" max="17" width="9.6328125" customWidth="1"/>
    <col min="18" max="18" width="1.6328125" customWidth="1"/>
    <col min="19" max="19" width="9.6328125" customWidth="1"/>
    <col min="20" max="20" width="1.6328125" customWidth="1"/>
    <col min="21" max="21" width="9.6328125" customWidth="1"/>
    <col min="22" max="23" width="0.81640625" customWidth="1"/>
    <col min="24" max="24" width="10.6328125" customWidth="1"/>
    <col min="29" max="29" width="10" bestFit="1" customWidth="1"/>
    <col min="36" max="36" width="13.36328125" customWidth="1"/>
  </cols>
  <sheetData>
    <row r="1" spans="1:42" ht="24" customHeight="1" thickBot="1" x14ac:dyDescent="0.5">
      <c r="A1" s="1" t="str">
        <f>tgt&amp;" Income Statement"</f>
        <v>Tapestry, Inc. Income Statement</v>
      </c>
      <c r="B1" s="51"/>
      <c r="C1" s="2"/>
      <c r="D1" s="2"/>
      <c r="E1" s="2"/>
      <c r="F1" s="2"/>
      <c r="G1" s="2"/>
      <c r="H1" s="2"/>
      <c r="I1" s="2"/>
      <c r="J1" s="2"/>
      <c r="K1" s="2"/>
      <c r="L1" s="2"/>
      <c r="M1" s="2"/>
      <c r="N1" s="2"/>
      <c r="O1" s="2"/>
      <c r="P1" s="2"/>
      <c r="Q1" s="2"/>
      <c r="R1" s="2"/>
      <c r="S1" s="2"/>
      <c r="T1" s="2"/>
      <c r="U1" s="2"/>
      <c r="V1" s="2"/>
      <c r="W1" s="2"/>
      <c r="X1" s="2"/>
    </row>
    <row r="2" spans="1:42" ht="12" customHeight="1" x14ac:dyDescent="0.3">
      <c r="A2" s="90" t="s">
        <v>1</v>
      </c>
      <c r="B2" s="52"/>
    </row>
    <row r="3" spans="1:42" ht="12" customHeight="1" x14ac:dyDescent="0.25"/>
    <row r="4" spans="1:42" ht="13.5" customHeight="1" thickBot="1" x14ac:dyDescent="0.35">
      <c r="G4" s="254" t="str">
        <f>year&amp;" Ended "&amp;IF(year="FY",TEXT(acq_fye,"mmmm d"),"December 31")&amp;","</f>
        <v>FY Ended January 28,</v>
      </c>
      <c r="H4" s="254"/>
      <c r="I4" s="254"/>
      <c r="J4" s="254"/>
      <c r="K4" s="254"/>
      <c r="M4" s="7" t="str">
        <f>year&amp;" Ending "&amp;IF(year="FY",TEXT(acq_fye,"mmmm d"),"December 31")&amp;","</f>
        <v>FY Ending January 28,</v>
      </c>
      <c r="N4" s="31"/>
      <c r="O4" s="31"/>
      <c r="P4" s="31"/>
      <c r="Q4" s="31"/>
      <c r="R4" s="31"/>
      <c r="S4" s="31"/>
      <c r="T4" s="31"/>
      <c r="U4" s="31"/>
      <c r="X4" s="82" t="s">
        <v>110</v>
      </c>
    </row>
    <row r="5" spans="1:42" ht="13.5" customHeight="1" thickBot="1" x14ac:dyDescent="0.35">
      <c r="G5" s="295">
        <f>I5-1</f>
        <v>2021</v>
      </c>
      <c r="H5" s="296"/>
      <c r="I5" s="295">
        <f>K5-1</f>
        <v>2022</v>
      </c>
      <c r="J5" s="256"/>
      <c r="K5" s="297">
        <f>'Buyer P&amp;L'!K5</f>
        <v>2023</v>
      </c>
      <c r="M5" s="80">
        <f>K5+1</f>
        <v>2024</v>
      </c>
      <c r="O5" s="80">
        <f>M5+1</f>
        <v>2025</v>
      </c>
      <c r="Q5" s="80">
        <f>O5+1</f>
        <v>2026</v>
      </c>
      <c r="R5" s="83"/>
      <c r="S5" s="84">
        <f>Q5+1</f>
        <v>2027</v>
      </c>
      <c r="U5" s="84">
        <f>S5+1</f>
        <v>2028</v>
      </c>
      <c r="X5" s="85" t="str">
        <f>M5&amp;"-"&amp;U5</f>
        <v>2024-2028</v>
      </c>
      <c r="AE5" s="281"/>
      <c r="AI5" s="281"/>
      <c r="AJ5" s="289"/>
      <c r="AK5" s="281"/>
      <c r="AL5" s="281"/>
      <c r="AM5" s="289"/>
      <c r="AN5" s="289"/>
      <c r="AO5" s="281"/>
      <c r="AP5" s="281"/>
    </row>
    <row r="6" spans="1:42" ht="5" customHeight="1" x14ac:dyDescent="0.25">
      <c r="G6" s="256"/>
      <c r="H6" s="256"/>
      <c r="I6" s="256"/>
      <c r="J6" s="256"/>
      <c r="K6" s="256"/>
    </row>
    <row r="7" spans="1:42" s="53" customFormat="1" ht="12" customHeight="1" x14ac:dyDescent="0.3">
      <c r="B7" s="53" t="s">
        <v>81</v>
      </c>
      <c r="G7" s="258">
        <v>4645.1000000000004</v>
      </c>
      <c r="H7" s="259"/>
      <c r="I7" s="258">
        <v>6511.1</v>
      </c>
      <c r="J7" s="259"/>
      <c r="K7" s="258">
        <v>6594.3</v>
      </c>
      <c r="M7" s="54">
        <v>6827</v>
      </c>
      <c r="O7" s="54">
        <v>7164.5</v>
      </c>
      <c r="Q7" s="54">
        <v>7596</v>
      </c>
      <c r="S7" s="62">
        <f>Q7*(1+S8)</f>
        <v>7671.96</v>
      </c>
      <c r="U7" s="62">
        <f>S7*(1+U8)</f>
        <v>7748.6796000000004</v>
      </c>
      <c r="X7" s="56">
        <f>(U7/M7)^(1/(U$5-$M$5))-1</f>
        <v>3.2165764891107784E-2</v>
      </c>
    </row>
    <row r="8" spans="1:42" s="52" customFormat="1" ht="12.75" customHeight="1" x14ac:dyDescent="0.3">
      <c r="C8" s="52" t="s">
        <v>82</v>
      </c>
      <c r="G8" s="260" t="s">
        <v>21</v>
      </c>
      <c r="H8" s="261"/>
      <c r="I8" s="262">
        <f>I7/G7-1</f>
        <v>0.40171363372155611</v>
      </c>
      <c r="J8" s="261"/>
      <c r="K8" s="262">
        <f>K7/I7-1</f>
        <v>1.277817880235288E-2</v>
      </c>
      <c r="M8" s="56">
        <f>M7/K7-1</f>
        <v>3.5288051802314202E-2</v>
      </c>
      <c r="O8" s="56">
        <f>O7/M7-1</f>
        <v>4.9436062692251426E-2</v>
      </c>
      <c r="Q8" s="56">
        <f>Q7/O7-1</f>
        <v>6.0227510642752558E-2</v>
      </c>
      <c r="S8" s="41">
        <v>0.01</v>
      </c>
      <c r="U8" s="56">
        <f>S8</f>
        <v>0.01</v>
      </c>
      <c r="X8" s="3"/>
    </row>
    <row r="9" spans="1:42" ht="5" customHeight="1" x14ac:dyDescent="0.25">
      <c r="G9" s="256"/>
      <c r="H9" s="256"/>
      <c r="I9" s="256"/>
      <c r="J9" s="256"/>
      <c r="K9" s="256"/>
    </row>
    <row r="10" spans="1:42" s="57" customFormat="1" x14ac:dyDescent="0.25">
      <c r="B10" s="57" t="s">
        <v>83</v>
      </c>
      <c r="G10" s="263">
        <v>1526.1</v>
      </c>
      <c r="H10" s="264"/>
      <c r="I10" s="263">
        <v>1906.7</v>
      </c>
      <c r="J10" s="264"/>
      <c r="K10" s="263">
        <v>2026.1</v>
      </c>
      <c r="M10" s="17">
        <v>1978.42</v>
      </c>
      <c r="O10" s="17">
        <v>2078</v>
      </c>
      <c r="Q10" s="17">
        <v>2136.5500000000002</v>
      </c>
      <c r="S10" s="74">
        <f>S11*S7</f>
        <v>2157.9155000000005</v>
      </c>
      <c r="U10" s="74">
        <f>U11*U7</f>
        <v>2179.4946550000004</v>
      </c>
    </row>
    <row r="11" spans="1:42" s="52" customFormat="1" ht="12.75" customHeight="1" thickBot="1" x14ac:dyDescent="0.35">
      <c r="C11" s="52" t="s">
        <v>84</v>
      </c>
      <c r="G11" s="265">
        <f>G10/G7</f>
        <v>0.32853975156616644</v>
      </c>
      <c r="H11" s="261"/>
      <c r="I11" s="265">
        <f>I10/I7</f>
        <v>0.2928383836832486</v>
      </c>
      <c r="J11" s="261"/>
      <c r="K11" s="265">
        <f>K10/K7</f>
        <v>0.30725020093110716</v>
      </c>
      <c r="M11" s="58">
        <f>M10/M7</f>
        <v>0.28979346711586351</v>
      </c>
      <c r="O11" s="58">
        <f>O10/O7</f>
        <v>0.29004117523902573</v>
      </c>
      <c r="Q11" s="58">
        <f>Q10/Q7</f>
        <v>0.28127303844128493</v>
      </c>
      <c r="S11" s="89">
        <f>Q11</f>
        <v>0.28127303844128493</v>
      </c>
      <c r="U11" s="58">
        <f>S11</f>
        <v>0.28127303844128493</v>
      </c>
      <c r="X11" s="3"/>
      <c r="Y11" s="57"/>
      <c r="Z11" s="57"/>
      <c r="AA11" s="57"/>
    </row>
    <row r="12" spans="1:42" ht="13" x14ac:dyDescent="0.3">
      <c r="B12" t="s">
        <v>85</v>
      </c>
      <c r="G12" s="266">
        <f>G7-G10</f>
        <v>3119.0000000000005</v>
      </c>
      <c r="H12" s="256"/>
      <c r="I12" s="266">
        <f>I7-I10</f>
        <v>4604.4000000000005</v>
      </c>
      <c r="J12" s="256"/>
      <c r="K12" s="266">
        <f>K7-K10</f>
        <v>4568.2000000000007</v>
      </c>
      <c r="M12" s="59">
        <f>M7-M10</f>
        <v>4848.58</v>
      </c>
      <c r="O12" s="59">
        <f>O7-O10</f>
        <v>5086.5</v>
      </c>
      <c r="Q12" s="59">
        <f>Q7-Q10</f>
        <v>5459.45</v>
      </c>
      <c r="S12" s="59">
        <f>S7-S10</f>
        <v>5514.0445</v>
      </c>
      <c r="U12" s="59">
        <f>U7-U10</f>
        <v>5569.184945</v>
      </c>
      <c r="X12" s="56">
        <f>(U12/M12)^(1/(U$5-$M$5))-1</f>
        <v>3.5247686591424188E-2</v>
      </c>
      <c r="Y12" s="57"/>
      <c r="Z12" s="57"/>
      <c r="AA12" s="57"/>
    </row>
    <row r="13" spans="1:42" s="52" customFormat="1" ht="12.75" customHeight="1" x14ac:dyDescent="0.3">
      <c r="C13" s="52" t="s">
        <v>86</v>
      </c>
      <c r="G13" s="265">
        <f>G12/G$7</f>
        <v>0.67146024843383356</v>
      </c>
      <c r="H13" s="261"/>
      <c r="I13" s="265">
        <f>I12/I$7</f>
        <v>0.70716161631675145</v>
      </c>
      <c r="J13" s="261"/>
      <c r="K13" s="265">
        <f>K12/K$7</f>
        <v>0.69274979906889289</v>
      </c>
      <c r="M13" s="58">
        <f>M12/M$7</f>
        <v>0.71020653288413649</v>
      </c>
      <c r="O13" s="58">
        <f>O12/O$7</f>
        <v>0.70995882476097427</v>
      </c>
      <c r="Q13" s="58">
        <f>Q12/Q$7</f>
        <v>0.71872696155871507</v>
      </c>
      <c r="S13" s="58">
        <f>S12/S$7</f>
        <v>0.71872696155871507</v>
      </c>
      <c r="U13" s="58">
        <f>U12/U$7</f>
        <v>0.71872696155871507</v>
      </c>
      <c r="X13" s="3"/>
      <c r="Y13" s="57"/>
      <c r="Z13" s="57"/>
      <c r="AA13" s="57"/>
    </row>
    <row r="14" spans="1:42" ht="5" customHeight="1" x14ac:dyDescent="0.25">
      <c r="G14" s="256"/>
      <c r="H14" s="256"/>
      <c r="I14" s="256"/>
      <c r="J14" s="256"/>
      <c r="K14" s="256"/>
      <c r="Y14" s="57"/>
      <c r="Z14" s="57"/>
      <c r="AA14" s="57"/>
    </row>
    <row r="15" spans="1:42" s="57" customFormat="1" ht="12.75" customHeight="1" x14ac:dyDescent="0.25">
      <c r="B15" s="57" t="s">
        <v>87</v>
      </c>
      <c r="G15" s="263">
        <v>3015.2</v>
      </c>
      <c r="H15" s="264"/>
      <c r="I15" s="263">
        <v>3469.9</v>
      </c>
      <c r="J15" s="264"/>
      <c r="K15" s="263">
        <v>3477.7</v>
      </c>
      <c r="M15" s="17">
        <v>3890.06</v>
      </c>
      <c r="O15" s="17">
        <v>3939.1</v>
      </c>
      <c r="Q15" s="17">
        <v>3971.7</v>
      </c>
      <c r="S15" s="74">
        <f>S16*S7</f>
        <v>4011.4169999999999</v>
      </c>
      <c r="U15" s="74">
        <f>U16*U7</f>
        <v>4051.5311700000002</v>
      </c>
    </row>
    <row r="16" spans="1:42" s="52" customFormat="1" ht="12.75" customHeight="1" x14ac:dyDescent="0.3">
      <c r="C16" s="52" t="s">
        <v>84</v>
      </c>
      <c r="G16" s="265">
        <f>G15/G$7</f>
        <v>0.64911412025575332</v>
      </c>
      <c r="H16" s="261"/>
      <c r="I16" s="265">
        <f>I15/I$7</f>
        <v>0.53292070464284069</v>
      </c>
      <c r="J16" s="261"/>
      <c r="K16" s="265">
        <f>K15/K$7</f>
        <v>0.52737970671640655</v>
      </c>
      <c r="M16" s="58">
        <f>M15/M$7</f>
        <v>0.56980518529368684</v>
      </c>
      <c r="O16" s="58">
        <f>O15/O$7</f>
        <v>0.54980808151301552</v>
      </c>
      <c r="Q16" s="58">
        <f>Q15/Q$7</f>
        <v>0.52286729857819902</v>
      </c>
      <c r="S16" s="89">
        <f>Q16</f>
        <v>0.52286729857819902</v>
      </c>
      <c r="U16" s="58">
        <f>S16</f>
        <v>0.52286729857819902</v>
      </c>
      <c r="X16" s="3"/>
      <c r="Y16" s="57"/>
      <c r="Z16" s="57"/>
      <c r="AA16" s="57"/>
      <c r="AB16" s="147"/>
      <c r="AC16" s="290"/>
    </row>
    <row r="17" spans="1:30" ht="5" customHeight="1" x14ac:dyDescent="0.25">
      <c r="G17" s="256"/>
      <c r="H17" s="256"/>
      <c r="I17" s="256"/>
      <c r="J17" s="256"/>
      <c r="K17" s="256"/>
      <c r="Y17" s="57"/>
      <c r="Z17" s="57"/>
      <c r="AA17" s="57"/>
    </row>
    <row r="18" spans="1:30" ht="5" customHeight="1" x14ac:dyDescent="0.25">
      <c r="A18" s="60"/>
      <c r="B18" s="60"/>
      <c r="C18" s="60"/>
      <c r="D18" s="60"/>
      <c r="E18" s="60"/>
      <c r="F18" s="60"/>
      <c r="G18" s="267"/>
      <c r="H18" s="267"/>
      <c r="I18" s="267"/>
      <c r="J18" s="267"/>
      <c r="K18" s="267"/>
      <c r="L18" s="60"/>
      <c r="M18" s="60"/>
      <c r="N18" s="60"/>
      <c r="O18" s="60"/>
      <c r="P18" s="60"/>
      <c r="Q18" s="60"/>
      <c r="R18" s="60"/>
      <c r="S18" s="60"/>
      <c r="T18" s="60"/>
      <c r="U18" s="60"/>
      <c r="V18" s="61"/>
      <c r="Y18" s="57"/>
      <c r="Z18" s="57"/>
      <c r="AA18" s="57"/>
    </row>
    <row r="19" spans="1:30" s="19" customFormat="1" ht="12" customHeight="1" x14ac:dyDescent="0.3">
      <c r="B19" s="19" t="s">
        <v>88</v>
      </c>
      <c r="G19" s="268">
        <f>G12-G15</f>
        <v>103.80000000000064</v>
      </c>
      <c r="H19" s="269"/>
      <c r="I19" s="268">
        <f>I12-I15</f>
        <v>1134.5000000000005</v>
      </c>
      <c r="J19" s="269"/>
      <c r="K19" s="268">
        <f>K12-K15</f>
        <v>1090.5000000000009</v>
      </c>
      <c r="M19" s="62">
        <f>M12-M15</f>
        <v>958.52</v>
      </c>
      <c r="O19" s="62">
        <f>O12-O15</f>
        <v>1147.4000000000001</v>
      </c>
      <c r="Q19" s="62">
        <f>Q12-Q15</f>
        <v>1487.75</v>
      </c>
      <c r="S19" s="62">
        <f>S12-S15</f>
        <v>1502.6275000000001</v>
      </c>
      <c r="U19" s="62">
        <f>U12-U15</f>
        <v>1517.6537749999998</v>
      </c>
      <c r="V19" s="63"/>
      <c r="X19" s="56">
        <f>(U19/M19)^(1/(U$5-$M$5))-1</f>
        <v>0.12174174409932359</v>
      </c>
      <c r="Y19" s="57"/>
      <c r="Z19" s="57"/>
      <c r="AA19" s="57"/>
    </row>
    <row r="20" spans="1:30" s="52" customFormat="1" ht="12.75" customHeight="1" x14ac:dyDescent="0.3">
      <c r="C20" s="52" t="s">
        <v>86</v>
      </c>
      <c r="G20" s="265">
        <f>G19/G$7</f>
        <v>2.2346128178080262E-2</v>
      </c>
      <c r="H20" s="261"/>
      <c r="I20" s="265">
        <f>I19/I$7</f>
        <v>0.17424091167391076</v>
      </c>
      <c r="J20" s="261"/>
      <c r="K20" s="265">
        <f>K19/K$7</f>
        <v>0.16537009235248637</v>
      </c>
      <c r="M20" s="58">
        <f>M19/M$7</f>
        <v>0.14040134759044967</v>
      </c>
      <c r="O20" s="58">
        <f>O19/O$7</f>
        <v>0.16015074324795869</v>
      </c>
      <c r="Q20" s="58">
        <f>Q19/Q$7</f>
        <v>0.19585966298051607</v>
      </c>
      <c r="S20" s="58">
        <f>S19/S$7</f>
        <v>0.19585966298051607</v>
      </c>
      <c r="U20" s="58">
        <f>U19/U$7</f>
        <v>0.19585966298051602</v>
      </c>
      <c r="V20" s="64"/>
      <c r="X20" s="3"/>
      <c r="Y20" s="57"/>
      <c r="Z20" s="57"/>
      <c r="AA20" s="57"/>
    </row>
    <row r="21" spans="1:30" ht="5" customHeight="1" x14ac:dyDescent="0.25">
      <c r="G21" s="256"/>
      <c r="H21" s="256"/>
      <c r="I21" s="256"/>
      <c r="J21" s="256"/>
      <c r="K21" s="256"/>
      <c r="V21" s="65"/>
      <c r="Y21" s="57"/>
      <c r="Z21" s="57"/>
      <c r="AA21" s="57"/>
    </row>
    <row r="22" spans="1:30" s="57" customFormat="1" ht="12.75" customHeight="1" x14ac:dyDescent="0.25">
      <c r="B22" s="57" t="s">
        <v>89</v>
      </c>
      <c r="G22" s="263">
        <v>258.25</v>
      </c>
      <c r="H22" s="264"/>
      <c r="I22" s="263">
        <v>233.5</v>
      </c>
      <c r="J22" s="264"/>
      <c r="K22" s="263">
        <v>207</v>
      </c>
      <c r="M22" s="17">
        <v>279.60000000000002</v>
      </c>
      <c r="O22" s="17">
        <v>240.7</v>
      </c>
      <c r="Q22" s="17">
        <v>296.2</v>
      </c>
      <c r="S22" s="74">
        <f>S23*S7</f>
        <v>299.16200000000003</v>
      </c>
      <c r="U22" s="74">
        <f>U23*U7</f>
        <v>302.15362000000005</v>
      </c>
      <c r="V22" s="66"/>
    </row>
    <row r="23" spans="1:30" s="52" customFormat="1" ht="12.75" customHeight="1" x14ac:dyDescent="0.3">
      <c r="C23" s="52" t="s">
        <v>84</v>
      </c>
      <c r="G23" s="265">
        <f>G22/G$7</f>
        <v>5.5596219672342892E-2</v>
      </c>
      <c r="H23" s="261"/>
      <c r="I23" s="265">
        <f>I22/I$7</f>
        <v>3.586183594169956E-2</v>
      </c>
      <c r="J23" s="261"/>
      <c r="K23" s="265">
        <f>K22/K$7</f>
        <v>3.1390746553841956E-2</v>
      </c>
      <c r="M23" s="58">
        <f>M22/M$7</f>
        <v>4.0955031492602906E-2</v>
      </c>
      <c r="O23" s="58">
        <f>O22/O$7</f>
        <v>3.3596203503384742E-2</v>
      </c>
      <c r="Q23" s="58">
        <f>Q22/Q$7</f>
        <v>3.8994207477619801E-2</v>
      </c>
      <c r="S23" s="89">
        <f>Q23</f>
        <v>3.8994207477619801E-2</v>
      </c>
      <c r="U23" s="58">
        <f>S23</f>
        <v>3.8994207477619801E-2</v>
      </c>
      <c r="V23" s="64"/>
      <c r="X23" s="3"/>
      <c r="Y23" s="57"/>
      <c r="Z23" s="57"/>
      <c r="AA23" s="57"/>
    </row>
    <row r="24" spans="1:30" s="57" customFormat="1" ht="12.75" customHeight="1" x14ac:dyDescent="0.25">
      <c r="B24" s="57" t="s">
        <v>90</v>
      </c>
      <c r="G24" s="263">
        <v>0</v>
      </c>
      <c r="H24" s="263">
        <v>0</v>
      </c>
      <c r="I24" s="263">
        <v>0</v>
      </c>
      <c r="J24" s="263">
        <v>0</v>
      </c>
      <c r="K24" s="263">
        <v>0</v>
      </c>
      <c r="L24" s="17">
        <v>0</v>
      </c>
      <c r="M24" s="17">
        <v>0</v>
      </c>
      <c r="N24" s="17">
        <v>0</v>
      </c>
      <c r="O24" s="17">
        <v>0</v>
      </c>
      <c r="P24" s="17">
        <v>0</v>
      </c>
      <c r="Q24" s="17">
        <v>0</v>
      </c>
      <c r="S24" s="74">
        <f>Q24</f>
        <v>0</v>
      </c>
      <c r="U24" s="74">
        <f>S24</f>
        <v>0</v>
      </c>
      <c r="V24" s="66"/>
    </row>
    <row r="25" spans="1:30" s="52" customFormat="1" ht="12.75" customHeight="1" thickBot="1" x14ac:dyDescent="0.35">
      <c r="C25" s="52" t="s">
        <v>84</v>
      </c>
      <c r="G25" s="265">
        <f>G24/G$7</f>
        <v>0</v>
      </c>
      <c r="H25" s="261"/>
      <c r="I25" s="265">
        <f>I24/I$7</f>
        <v>0</v>
      </c>
      <c r="J25" s="261"/>
      <c r="K25" s="265">
        <f>K24/K$7</f>
        <v>0</v>
      </c>
      <c r="M25" s="58">
        <f>M24/M$7</f>
        <v>0</v>
      </c>
      <c r="O25" s="58">
        <f>O24/O$7</f>
        <v>0</v>
      </c>
      <c r="Q25" s="58">
        <f>Q24/Q$7</f>
        <v>0</v>
      </c>
      <c r="S25" s="58">
        <f>S24/S$7</f>
        <v>0</v>
      </c>
      <c r="U25" s="58">
        <f>U24/U$7</f>
        <v>0</v>
      </c>
      <c r="V25" s="64"/>
      <c r="X25" s="3"/>
      <c r="Y25" s="57"/>
      <c r="Z25" s="57"/>
      <c r="AA25" s="57"/>
    </row>
    <row r="26" spans="1:30" x14ac:dyDescent="0.25">
      <c r="B26" t="s">
        <v>91</v>
      </c>
      <c r="G26" s="270">
        <f>G24+G22</f>
        <v>258.25</v>
      </c>
      <c r="H26" s="298"/>
      <c r="I26" s="270">
        <f>I24+I22</f>
        <v>233.5</v>
      </c>
      <c r="J26" s="298"/>
      <c r="K26" s="270">
        <f>K24+K22</f>
        <v>207</v>
      </c>
      <c r="L26" s="96"/>
      <c r="M26" s="76">
        <f>M24+M22</f>
        <v>279.60000000000002</v>
      </c>
      <c r="N26" s="96"/>
      <c r="O26" s="76">
        <f>O24+O22</f>
        <v>240.7</v>
      </c>
      <c r="P26" s="96"/>
      <c r="Q26" s="76">
        <f>Q24+Q22</f>
        <v>296.2</v>
      </c>
      <c r="R26" s="96"/>
      <c r="S26" s="76">
        <f>S24+S22</f>
        <v>299.16200000000003</v>
      </c>
      <c r="T26" s="96"/>
      <c r="U26" s="76">
        <f>U24+U22</f>
        <v>302.15362000000005</v>
      </c>
      <c r="V26" s="65"/>
      <c r="Y26" s="57"/>
      <c r="Z26" s="57"/>
      <c r="AA26" s="57"/>
    </row>
    <row r="27" spans="1:30" s="52" customFormat="1" ht="12.75" customHeight="1" x14ac:dyDescent="0.3">
      <c r="C27" s="52" t="s">
        <v>84</v>
      </c>
      <c r="G27" s="265">
        <f>G26/G$7</f>
        <v>5.5596219672342892E-2</v>
      </c>
      <c r="H27" s="261"/>
      <c r="I27" s="265">
        <f>I26/I$7</f>
        <v>3.586183594169956E-2</v>
      </c>
      <c r="J27" s="261"/>
      <c r="K27" s="265">
        <f>K26/K$7</f>
        <v>3.1390746553841956E-2</v>
      </c>
      <c r="M27" s="58">
        <f>M26/M$7</f>
        <v>4.0955031492602906E-2</v>
      </c>
      <c r="O27" s="58">
        <f>O26/O$7</f>
        <v>3.3596203503384742E-2</v>
      </c>
      <c r="Q27" s="58">
        <f>Q26/Q$7</f>
        <v>3.8994207477619801E-2</v>
      </c>
      <c r="S27" s="58">
        <f>S26/S$7</f>
        <v>3.8994207477619801E-2</v>
      </c>
      <c r="U27" s="58">
        <f>U26/U$7</f>
        <v>3.8994207477619801E-2</v>
      </c>
      <c r="V27" s="64"/>
      <c r="X27" s="3"/>
      <c r="Y27" s="57"/>
      <c r="Z27" s="57"/>
      <c r="AA27" s="57"/>
    </row>
    <row r="28" spans="1:30" ht="5" customHeight="1" x14ac:dyDescent="0.25">
      <c r="G28" s="256"/>
      <c r="H28" s="256"/>
      <c r="I28" s="256"/>
      <c r="J28" s="256"/>
      <c r="K28" s="256"/>
      <c r="V28" s="65"/>
      <c r="Y28" s="57"/>
      <c r="Z28" s="57"/>
      <c r="AA28" s="57"/>
    </row>
    <row r="29" spans="1:30" s="57" customFormat="1" x14ac:dyDescent="0.25">
      <c r="B29" s="57" t="s">
        <v>92</v>
      </c>
      <c r="G29" s="263">
        <v>68.95</v>
      </c>
      <c r="H29" s="264"/>
      <c r="I29" s="263">
        <v>58.6</v>
      </c>
      <c r="J29" s="264"/>
      <c r="K29" s="263">
        <v>68.150000000000006</v>
      </c>
      <c r="M29" s="17">
        <v>68.3</v>
      </c>
      <c r="O29" s="17">
        <v>63.78</v>
      </c>
      <c r="Q29" s="17">
        <v>91.15</v>
      </c>
      <c r="S29" s="74">
        <f>S30*S7</f>
        <v>92.061500000000009</v>
      </c>
      <c r="U29" s="74">
        <f>U30*U7</f>
        <v>92.982115000000007</v>
      </c>
      <c r="V29" s="66"/>
      <c r="AB29" s="291"/>
      <c r="AC29" s="292"/>
      <c r="AD29" s="292"/>
    </row>
    <row r="30" spans="1:30" s="52" customFormat="1" ht="12.75" customHeight="1" x14ac:dyDescent="0.3">
      <c r="C30" s="52" t="s">
        <v>84</v>
      </c>
      <c r="G30" s="265">
        <f>G29/G$7</f>
        <v>1.4843598630815268E-2</v>
      </c>
      <c r="H30" s="261"/>
      <c r="I30" s="265">
        <f>I29/I$7</f>
        <v>9.0000153583879826E-3</v>
      </c>
      <c r="J30" s="261"/>
      <c r="K30" s="265">
        <f>K29/K$7</f>
        <v>1.0334682983789031E-2</v>
      </c>
      <c r="M30" s="58">
        <f>M29/M$7</f>
        <v>1.0004394316683755E-2</v>
      </c>
      <c r="O30" s="58">
        <f>O29/O$7</f>
        <v>8.9022262544490201E-3</v>
      </c>
      <c r="Q30" s="58">
        <f>Q29/Q$7</f>
        <v>1.1999736703528174E-2</v>
      </c>
      <c r="S30" s="89">
        <f>Q30</f>
        <v>1.1999736703528174E-2</v>
      </c>
      <c r="U30" s="58">
        <f>S30</f>
        <v>1.1999736703528174E-2</v>
      </c>
      <c r="V30" s="64"/>
      <c r="X30" s="3"/>
      <c r="Y30" s="57"/>
      <c r="Z30" s="57"/>
      <c r="AA30" s="293"/>
      <c r="AB30" s="147"/>
      <c r="AC30" s="294"/>
    </row>
    <row r="31" spans="1:30" ht="5" customHeight="1" x14ac:dyDescent="0.25">
      <c r="G31" s="256"/>
      <c r="H31" s="256"/>
      <c r="I31" s="256"/>
      <c r="J31" s="256"/>
      <c r="K31" s="256"/>
      <c r="V31" s="65"/>
      <c r="Y31" s="57"/>
      <c r="Z31" s="57"/>
      <c r="AA31" s="57"/>
    </row>
    <row r="32" spans="1:30" s="19" customFormat="1" ht="12" customHeight="1" x14ac:dyDescent="0.3">
      <c r="B32" s="19" t="s">
        <v>93</v>
      </c>
      <c r="G32" s="268">
        <f>G19-G26-G29</f>
        <v>-223.39999999999935</v>
      </c>
      <c r="H32" s="269"/>
      <c r="I32" s="268">
        <f>I19-I26-I29</f>
        <v>842.40000000000043</v>
      </c>
      <c r="J32" s="269"/>
      <c r="K32" s="268">
        <f>K19-K26-K29</f>
        <v>815.35000000000093</v>
      </c>
      <c r="M32" s="62">
        <f>M19-M26-M29</f>
        <v>610.62</v>
      </c>
      <c r="O32" s="62">
        <f>O19-O26-O29</f>
        <v>842.92000000000007</v>
      </c>
      <c r="Q32" s="62">
        <f>Q19-Q26-Q29</f>
        <v>1100.3999999999999</v>
      </c>
      <c r="S32" s="62">
        <f>S19-S26-S29</f>
        <v>1111.404</v>
      </c>
      <c r="U32" s="62">
        <f>U19-U26-U29</f>
        <v>1122.5180399999997</v>
      </c>
      <c r="V32" s="63"/>
      <c r="X32" s="56">
        <f>(U32/M32)^(1/(U$5-$M$5))-1</f>
        <v>0.16440906045508008</v>
      </c>
      <c r="Y32" s="57"/>
      <c r="Z32" s="57"/>
      <c r="AA32" s="57"/>
    </row>
    <row r="33" spans="1:30" s="52" customFormat="1" ht="12.75" customHeight="1" x14ac:dyDescent="0.3">
      <c r="C33" s="52" t="s">
        <v>86</v>
      </c>
      <c r="G33" s="265">
        <f>G32/G$7</f>
        <v>-4.8093690125077894E-2</v>
      </c>
      <c r="H33" s="261"/>
      <c r="I33" s="265">
        <f>I32/I$7</f>
        <v>0.12937906037382321</v>
      </c>
      <c r="J33" s="261"/>
      <c r="K33" s="265">
        <f>K32/K$7</f>
        <v>0.12364466281485539</v>
      </c>
      <c r="M33" s="58">
        <f>M32/M$7</f>
        <v>8.9441921781163031E-2</v>
      </c>
      <c r="O33" s="58">
        <f>O32/O$7</f>
        <v>0.11765231349012494</v>
      </c>
      <c r="Q33" s="58">
        <f>Q32/Q$7</f>
        <v>0.14486571879936808</v>
      </c>
      <c r="S33" s="58">
        <f>S32/S$7</f>
        <v>0.14486571879936808</v>
      </c>
      <c r="U33" s="58">
        <f>U32/U$7</f>
        <v>0.14486571879936805</v>
      </c>
      <c r="V33" s="64"/>
      <c r="X33" s="3"/>
      <c r="Y33" s="57"/>
      <c r="Z33" s="57"/>
      <c r="AA33" s="57"/>
    </row>
    <row r="34" spans="1:30" ht="5" customHeight="1" x14ac:dyDescent="0.25">
      <c r="G34" s="256"/>
      <c r="H34" s="256"/>
      <c r="I34" s="256"/>
      <c r="J34" s="256"/>
      <c r="K34" s="256"/>
      <c r="V34" s="65"/>
      <c r="Y34" s="57"/>
      <c r="Z34" s="57"/>
      <c r="AA34" s="57"/>
    </row>
    <row r="35" spans="1:30" s="19" customFormat="1" ht="13" x14ac:dyDescent="0.3">
      <c r="B35" s="19" t="s">
        <v>94</v>
      </c>
      <c r="G35" s="268">
        <f>G32+G24+G29</f>
        <v>-154.44999999999936</v>
      </c>
      <c r="H35" s="269"/>
      <c r="I35" s="268">
        <f>I32+I24+I29</f>
        <v>901.00000000000045</v>
      </c>
      <c r="J35" s="269"/>
      <c r="K35" s="268">
        <f>K32+K24+K29</f>
        <v>883.50000000000091</v>
      </c>
      <c r="M35" s="62">
        <f>M32+M24+M29</f>
        <v>678.92</v>
      </c>
      <c r="O35" s="62">
        <f>O32+O24+O29</f>
        <v>906.7</v>
      </c>
      <c r="Q35" s="62">
        <f>Q32+Q24+Q29</f>
        <v>1191.55</v>
      </c>
      <c r="S35" s="62">
        <f>S32+S24+S29</f>
        <v>1203.4655</v>
      </c>
      <c r="U35" s="62">
        <f>U32+U24+U29</f>
        <v>1215.5001549999997</v>
      </c>
      <c r="V35" s="63"/>
      <c r="X35" s="56">
        <f>(U35/M35)^(1/(U$5-$M$5))-1</f>
        <v>0.15673560600224667</v>
      </c>
      <c r="Y35" s="57"/>
      <c r="Z35" s="57"/>
      <c r="AA35" s="57"/>
    </row>
    <row r="36" spans="1:30" s="52" customFormat="1" ht="12.75" customHeight="1" x14ac:dyDescent="0.3">
      <c r="C36" s="52" t="s">
        <v>86</v>
      </c>
      <c r="G36" s="265">
        <f>G35/G$7</f>
        <v>-3.3250091494262633E-2</v>
      </c>
      <c r="H36" s="261"/>
      <c r="I36" s="265">
        <f>I35/I$7</f>
        <v>0.1383790757322112</v>
      </c>
      <c r="J36" s="261"/>
      <c r="K36" s="265">
        <f>K35/K$7</f>
        <v>0.13397934579864443</v>
      </c>
      <c r="M36" s="58">
        <f>M35/M$7</f>
        <v>9.9446316097846779E-2</v>
      </c>
      <c r="O36" s="58">
        <f>O35/O$7</f>
        <v>0.12655453974457395</v>
      </c>
      <c r="Q36" s="58">
        <f>Q35/Q$7</f>
        <v>0.15686545550289627</v>
      </c>
      <c r="S36" s="58">
        <f>S35/S$7</f>
        <v>0.15686545550289627</v>
      </c>
      <c r="U36" s="58">
        <f>U35/U$7</f>
        <v>0.15686545550289621</v>
      </c>
      <c r="V36" s="64"/>
      <c r="X36" s="3"/>
      <c r="Y36" s="57"/>
      <c r="Z36" s="57"/>
      <c r="AA36" s="57"/>
    </row>
    <row r="37" spans="1:30" ht="5" customHeight="1" x14ac:dyDescent="0.25">
      <c r="A37" s="67"/>
      <c r="B37" s="67"/>
      <c r="C37" s="67"/>
      <c r="D37" s="67"/>
      <c r="E37" s="67"/>
      <c r="F37" s="67"/>
      <c r="G37" s="271"/>
      <c r="H37" s="271"/>
      <c r="I37" s="271"/>
      <c r="J37" s="271"/>
      <c r="K37" s="271"/>
      <c r="L37" s="67"/>
      <c r="M37" s="67"/>
      <c r="N37" s="67"/>
      <c r="O37" s="67"/>
      <c r="P37" s="67"/>
      <c r="Q37" s="67"/>
      <c r="R37" s="67"/>
      <c r="S37" s="67"/>
      <c r="T37" s="67"/>
      <c r="U37" s="67"/>
      <c r="V37" s="68"/>
      <c r="Y37" s="57"/>
      <c r="Z37" s="57"/>
      <c r="AA37" s="57"/>
    </row>
    <row r="38" spans="1:30" ht="5" customHeight="1" x14ac:dyDescent="0.25">
      <c r="C38" s="69"/>
      <c r="G38" s="256"/>
      <c r="H38" s="256"/>
      <c r="I38" s="256"/>
      <c r="J38" s="256"/>
      <c r="K38" s="256"/>
      <c r="Y38" s="57"/>
      <c r="Z38" s="57"/>
      <c r="AA38" s="57"/>
    </row>
    <row r="39" spans="1:30" s="57" customFormat="1" x14ac:dyDescent="0.25">
      <c r="B39" s="57" t="s">
        <v>95</v>
      </c>
      <c r="G39" s="263">
        <v>71.900000000000006</v>
      </c>
      <c r="H39" s="264"/>
      <c r="I39" s="263">
        <v>65.3</v>
      </c>
      <c r="J39" s="264"/>
      <c r="K39" s="272">
        <v>42</v>
      </c>
      <c r="M39" s="17">
        <v>-2.4</v>
      </c>
      <c r="O39" s="70">
        <v>108.4</v>
      </c>
      <c r="P39"/>
      <c r="Q39" s="70">
        <v>59.7</v>
      </c>
      <c r="S39" s="86">
        <f>Q39</f>
        <v>59.7</v>
      </c>
      <c r="T39" s="81"/>
      <c r="U39" s="86">
        <f>S39</f>
        <v>59.7</v>
      </c>
    </row>
    <row r="40" spans="1:30" x14ac:dyDescent="0.25">
      <c r="B40" t="s">
        <v>96</v>
      </c>
      <c r="G40" s="272">
        <v>0</v>
      </c>
      <c r="H40" s="256"/>
      <c r="I40" s="272">
        <v>0</v>
      </c>
      <c r="J40" s="256"/>
      <c r="K40" s="272">
        <v>0</v>
      </c>
      <c r="M40" s="70">
        <v>0</v>
      </c>
      <c r="O40" s="70">
        <v>0</v>
      </c>
      <c r="Q40" s="70">
        <v>0</v>
      </c>
      <c r="S40" s="86">
        <f>Q40</f>
        <v>0</v>
      </c>
      <c r="T40" s="81"/>
      <c r="U40" s="86">
        <f>S40</f>
        <v>0</v>
      </c>
      <c r="Y40" s="57"/>
      <c r="Z40" s="57"/>
      <c r="AA40" s="57"/>
      <c r="AD40" s="281"/>
    </row>
    <row r="41" spans="1:30" x14ac:dyDescent="0.25">
      <c r="B41" t="s">
        <v>97</v>
      </c>
      <c r="G41" s="272">
        <v>0</v>
      </c>
      <c r="H41" s="256"/>
      <c r="I41" s="272">
        <v>0</v>
      </c>
      <c r="J41" s="256"/>
      <c r="K41" s="272">
        <v>0</v>
      </c>
      <c r="M41" s="70">
        <v>0</v>
      </c>
      <c r="O41" s="70">
        <v>0</v>
      </c>
      <c r="Q41" s="70">
        <v>0</v>
      </c>
      <c r="S41" s="86">
        <f>Q41</f>
        <v>0</v>
      </c>
      <c r="T41" s="81"/>
      <c r="U41" s="86">
        <f>S41</f>
        <v>0</v>
      </c>
      <c r="Y41" s="57"/>
      <c r="Z41" s="57"/>
      <c r="AA41" s="57"/>
    </row>
    <row r="42" spans="1:30" s="57" customFormat="1" ht="13.5" customHeight="1" thickBot="1" x14ac:dyDescent="0.3">
      <c r="B42" s="57" t="s">
        <v>98</v>
      </c>
      <c r="G42" s="263">
        <v>7</v>
      </c>
      <c r="H42" s="264"/>
      <c r="I42" s="272">
        <v>0</v>
      </c>
      <c r="J42" s="264"/>
      <c r="K42" s="272">
        <v>0</v>
      </c>
      <c r="M42" s="93">
        <v>4.3</v>
      </c>
      <c r="N42"/>
      <c r="O42" s="70">
        <v>0</v>
      </c>
      <c r="P42"/>
      <c r="Q42" s="70">
        <v>2.4</v>
      </c>
      <c r="R42"/>
      <c r="S42" s="86">
        <f>Q42</f>
        <v>2.4</v>
      </c>
      <c r="T42" s="87"/>
      <c r="U42" s="86">
        <f>S42</f>
        <v>2.4</v>
      </c>
    </row>
    <row r="43" spans="1:30" ht="13" x14ac:dyDescent="0.3">
      <c r="B43" t="s">
        <v>99</v>
      </c>
      <c r="G43" s="266">
        <f>G35-SUM(G39:G42)</f>
        <v>-233.34999999999937</v>
      </c>
      <c r="H43" s="256"/>
      <c r="I43" s="266">
        <f>I35-SUM(I39:I42)</f>
        <v>835.7000000000005</v>
      </c>
      <c r="J43" s="256"/>
      <c r="K43" s="266">
        <f>K35-SUM(K39:K42)</f>
        <v>841.50000000000091</v>
      </c>
      <c r="L43" s="16"/>
      <c r="M43" s="59">
        <f>M35-SUM(M39:M42)</f>
        <v>677.02</v>
      </c>
      <c r="O43" s="59">
        <f>O35-SUM(O39:O42)</f>
        <v>798.30000000000007</v>
      </c>
      <c r="Q43" s="59">
        <f>Q35-SUM(Q39:Q42)</f>
        <v>1129.45</v>
      </c>
      <c r="R43" s="16"/>
      <c r="S43" s="59">
        <f>S35-SUM(S39:S42)</f>
        <v>1141.3655000000001</v>
      </c>
      <c r="U43" s="59">
        <f>U35-SUM(U39:U42)</f>
        <v>1153.4001549999998</v>
      </c>
      <c r="X43" s="56">
        <f>(U43/M43)^(1/(U$5-$M$5))-1</f>
        <v>0.14246953160169729</v>
      </c>
      <c r="Y43" s="57"/>
      <c r="Z43" s="57"/>
      <c r="AA43" s="57"/>
    </row>
    <row r="44" spans="1:30" ht="5" customHeight="1" x14ac:dyDescent="0.25">
      <c r="G44" s="256"/>
      <c r="H44" s="256"/>
      <c r="I44" s="256"/>
      <c r="J44" s="256"/>
      <c r="K44" s="256"/>
      <c r="Y44" s="57"/>
      <c r="Z44" s="57"/>
      <c r="AA44" s="57"/>
    </row>
    <row r="45" spans="1:30" s="57" customFormat="1" x14ac:dyDescent="0.25">
      <c r="B45" s="57" t="s">
        <v>100</v>
      </c>
      <c r="G45" s="278">
        <f>G46*G43</f>
        <v>-38.320095846645266</v>
      </c>
      <c r="H45" s="264"/>
      <c r="I45" s="278">
        <f>I46*I43</f>
        <v>130.29731182795706</v>
      </c>
      <c r="J45" s="264"/>
      <c r="K45" s="278">
        <f>K46*K43</f>
        <v>142.13761776581441</v>
      </c>
      <c r="M45" s="74">
        <f>M46*M43</f>
        <v>187.45933520538105</v>
      </c>
      <c r="O45" s="74">
        <f>O46*O43</f>
        <v>221.05435569498076</v>
      </c>
      <c r="Q45" s="74">
        <f>Q46*Q43</f>
        <v>312.84500057730054</v>
      </c>
      <c r="S45" s="74">
        <f>S46*S43</f>
        <v>316.14546062810297</v>
      </c>
      <c r="U45" s="74">
        <f>U46*U43</f>
        <v>319.47892527941337</v>
      </c>
      <c r="X45"/>
    </row>
    <row r="46" spans="1:30" s="52" customFormat="1" ht="12.75" customHeight="1" thickBot="1" x14ac:dyDescent="0.35">
      <c r="C46" s="52" t="s">
        <v>101</v>
      </c>
      <c r="G46" s="299">
        <f>'Buyer P&amp;L'!G46</f>
        <v>0.16421725239616614</v>
      </c>
      <c r="H46" s="261"/>
      <c r="I46" s="299">
        <f>'Buyer P&amp;L'!I46</f>
        <v>0.15591397849462366</v>
      </c>
      <c r="J46" s="261"/>
      <c r="K46" s="299">
        <f>'Buyer P&amp;L'!K46</f>
        <v>0.16890982503364738</v>
      </c>
      <c r="M46" s="49">
        <f>'Buyer P&amp;L'!M46</f>
        <v>0.2768889179128845</v>
      </c>
      <c r="O46" s="49">
        <f>'Buyer P&amp;L'!O46</f>
        <v>0.27690637065637069</v>
      </c>
      <c r="Q46" s="49">
        <f>'Buyer P&amp;L'!Q46</f>
        <v>0.27698880036947232</v>
      </c>
      <c r="S46" s="49">
        <f>'Buyer P&amp;L'!S46</f>
        <v>0.27698880036947232</v>
      </c>
      <c r="U46" s="49">
        <f>'Buyer P&amp;L'!U46</f>
        <v>0.27698880036947232</v>
      </c>
      <c r="X46" s="57"/>
      <c r="Y46" s="57"/>
      <c r="Z46" s="57"/>
      <c r="AA46" s="57"/>
    </row>
    <row r="47" spans="1:30" ht="5" customHeight="1" x14ac:dyDescent="0.25">
      <c r="G47" s="266"/>
      <c r="H47" s="256"/>
      <c r="I47" s="266"/>
      <c r="J47" s="256"/>
      <c r="K47" s="266"/>
      <c r="M47" s="59"/>
      <c r="O47" s="59"/>
      <c r="Q47" s="59"/>
      <c r="S47" s="59"/>
      <c r="U47" s="59"/>
      <c r="X47" s="3"/>
      <c r="Y47" s="57"/>
      <c r="Z47" s="57"/>
      <c r="AA47" s="57"/>
    </row>
    <row r="48" spans="1:30" s="19" customFormat="1" ht="13" x14ac:dyDescent="0.3">
      <c r="B48" s="19" t="s">
        <v>102</v>
      </c>
      <c r="G48" s="268">
        <f>G43-G45</f>
        <v>-195.0299041533541</v>
      </c>
      <c r="H48" s="268"/>
      <c r="I48" s="268">
        <f>I43-I45</f>
        <v>705.40268817204344</v>
      </c>
      <c r="J48" s="269"/>
      <c r="K48" s="268">
        <f>K43-K45</f>
        <v>699.3623822341865</v>
      </c>
      <c r="M48" s="62">
        <f>M43-M45</f>
        <v>489.5606647946189</v>
      </c>
      <c r="O48" s="62">
        <f>O43-O45</f>
        <v>577.24564430501937</v>
      </c>
      <c r="Q48" s="62">
        <f>Q43-Q45</f>
        <v>816.60499942269951</v>
      </c>
      <c r="S48" s="62">
        <f>S43-S45</f>
        <v>825.2200393718972</v>
      </c>
      <c r="U48" s="62">
        <f>U43-U45</f>
        <v>833.92122972058644</v>
      </c>
      <c r="X48" s="56">
        <f>(U48/M48)^(1/(U$5-$M$5))-1</f>
        <v>0.14243007757535953</v>
      </c>
      <c r="Y48" s="57"/>
      <c r="Z48" s="57"/>
      <c r="AA48" s="57"/>
    </row>
    <row r="49" spans="1:27" s="52" customFormat="1" ht="12.75" customHeight="1" x14ac:dyDescent="0.3">
      <c r="C49" s="52" t="s">
        <v>86</v>
      </c>
      <c r="G49" s="265">
        <f>G48/G$7</f>
        <v>-4.1986158350380852E-2</v>
      </c>
      <c r="H49" s="261"/>
      <c r="I49" s="265">
        <f>I48/I$7</f>
        <v>0.10833848169618704</v>
      </c>
      <c r="J49" s="261"/>
      <c r="K49" s="265">
        <f>K48/K$7</f>
        <v>0.10605559077296854</v>
      </c>
      <c r="M49" s="58">
        <f>M48/M$7</f>
        <v>7.1709486567250458E-2</v>
      </c>
      <c r="O49" s="58">
        <f>O48/O$7</f>
        <v>8.0570262307909743E-2</v>
      </c>
      <c r="Q49" s="58">
        <f>Q48/Q$7</f>
        <v>0.10750460761225639</v>
      </c>
      <c r="S49" s="58">
        <f>S48/S$7</f>
        <v>0.10756313111276612</v>
      </c>
      <c r="U49" s="58">
        <f>U48/U$7</f>
        <v>0.1076210751726767</v>
      </c>
      <c r="Y49" s="57"/>
      <c r="Z49" s="57"/>
      <c r="AA49" s="57"/>
    </row>
    <row r="50" spans="1:27" ht="5" customHeight="1" x14ac:dyDescent="0.25">
      <c r="G50" s="256"/>
      <c r="H50" s="256"/>
      <c r="I50" s="256"/>
      <c r="J50" s="256"/>
      <c r="K50" s="256"/>
      <c r="X50" s="3"/>
      <c r="Y50" s="57"/>
      <c r="Z50" s="57"/>
      <c r="AA50" s="57"/>
    </row>
    <row r="51" spans="1:27" s="19" customFormat="1" ht="13" x14ac:dyDescent="0.3">
      <c r="A51" s="71"/>
      <c r="B51" s="71" t="s">
        <v>103</v>
      </c>
      <c r="C51" s="71"/>
      <c r="D51" s="71"/>
      <c r="E51" s="71"/>
      <c r="F51" s="71"/>
      <c r="G51" s="273">
        <f>G48/G53</f>
        <v>-0.68915160478216997</v>
      </c>
      <c r="H51" s="274"/>
      <c r="I51" s="273">
        <f>I48/I53</f>
        <v>2.6116352764607309</v>
      </c>
      <c r="J51" s="274"/>
      <c r="K51" s="273">
        <f>K48/K53</f>
        <v>2.5293395379174917</v>
      </c>
      <c r="L51" s="71"/>
      <c r="M51" s="72">
        <f>M48/M53</f>
        <v>1.7099569151052005</v>
      </c>
      <c r="N51" s="71"/>
      <c r="O51" s="72">
        <f>O48/O53</f>
        <v>2.124569909109383</v>
      </c>
      <c r="P51" s="71"/>
      <c r="Q51" s="72">
        <f>Q48/Q53</f>
        <v>2.9019367427956628</v>
      </c>
      <c r="R51" s="71"/>
      <c r="S51" s="72">
        <f>S48/S53</f>
        <v>2.9325516679882631</v>
      </c>
      <c r="T51" s="71"/>
      <c r="U51" s="72">
        <f>U48/U53</f>
        <v>2.963472742432788</v>
      </c>
      <c r="V51" s="73"/>
      <c r="X51" s="56">
        <f>(U51/M51)^(1/(U$5-$M$5))-1</f>
        <v>0.14737119412353961</v>
      </c>
      <c r="Y51" s="57"/>
      <c r="Z51" s="57"/>
      <c r="AA51" s="57"/>
    </row>
    <row r="52" spans="1:27" ht="5" customHeight="1" x14ac:dyDescent="0.25">
      <c r="G52" s="256"/>
      <c r="H52" s="256"/>
      <c r="I52" s="256"/>
      <c r="J52" s="256"/>
      <c r="K52" s="256"/>
      <c r="Y52" s="57"/>
      <c r="Z52" s="57"/>
      <c r="AA52" s="57"/>
    </row>
    <row r="53" spans="1:27" x14ac:dyDescent="0.25">
      <c r="B53" t="s">
        <v>104</v>
      </c>
      <c r="G53" s="275">
        <v>283</v>
      </c>
      <c r="H53" s="275"/>
      <c r="I53" s="275">
        <v>270.10000000000002</v>
      </c>
      <c r="J53" s="275"/>
      <c r="K53" s="275">
        <v>276.5</v>
      </c>
      <c r="L53" s="12"/>
      <c r="M53" s="12">
        <v>286.3</v>
      </c>
      <c r="N53" s="12"/>
      <c r="O53" s="12">
        <v>271.7</v>
      </c>
      <c r="P53" s="12"/>
      <c r="Q53" s="12">
        <v>281.39999999999998</v>
      </c>
      <c r="R53" s="94"/>
      <c r="S53" s="95">
        <f>Q53</f>
        <v>281.39999999999998</v>
      </c>
      <c r="T53" s="95"/>
      <c r="U53" s="95">
        <f>S53</f>
        <v>281.39999999999998</v>
      </c>
      <c r="Y53" s="57"/>
      <c r="Z53" s="57"/>
      <c r="AA53" s="57"/>
    </row>
    <row r="54" spans="1:27" x14ac:dyDescent="0.25">
      <c r="G54" s="256"/>
      <c r="H54" s="256"/>
      <c r="I54" s="256"/>
      <c r="J54" s="256"/>
      <c r="K54" s="256"/>
      <c r="Y54" s="57"/>
      <c r="Z54" s="57"/>
      <c r="AA54" s="57"/>
    </row>
    <row r="55" spans="1:27" ht="13" x14ac:dyDescent="0.3">
      <c r="B55" s="19" t="s">
        <v>105</v>
      </c>
      <c r="G55" s="256"/>
      <c r="H55" s="256"/>
      <c r="I55" s="256"/>
      <c r="J55" s="256"/>
      <c r="K55" s="256"/>
      <c r="Y55" s="57"/>
      <c r="Z55" s="57"/>
      <c r="AA55" s="57"/>
    </row>
    <row r="56" spans="1:27" x14ac:dyDescent="0.25">
      <c r="C56" t="s">
        <v>90</v>
      </c>
      <c r="G56" s="277">
        <f>G24*(1-G46)</f>
        <v>0</v>
      </c>
      <c r="H56" s="256"/>
      <c r="I56" s="277">
        <f>I24*(1-I46)</f>
        <v>0</v>
      </c>
      <c r="J56" s="256"/>
      <c r="K56" s="277">
        <f>K24*(1-K46)</f>
        <v>0</v>
      </c>
      <c r="M56" s="16">
        <f>M24*(1-M46)</f>
        <v>0</v>
      </c>
      <c r="O56" s="16">
        <f>O24*(1-O46)</f>
        <v>0</v>
      </c>
      <c r="Q56" s="16">
        <f>Q24*(1-Q46)</f>
        <v>0</v>
      </c>
      <c r="S56" s="16">
        <f>S24*(1-S46)</f>
        <v>0</v>
      </c>
      <c r="U56" s="16">
        <f>U24*(1-U46)</f>
        <v>0</v>
      </c>
      <c r="Y56" s="57"/>
      <c r="Z56" s="57"/>
      <c r="AA56" s="57"/>
    </row>
    <row r="57" spans="1:27" x14ac:dyDescent="0.25">
      <c r="C57" t="s">
        <v>92</v>
      </c>
      <c r="G57" s="278">
        <f>G29*(1-G46)</f>
        <v>57.627220447284344</v>
      </c>
      <c r="H57" s="256"/>
      <c r="I57" s="278">
        <f>I29*(1-I46)</f>
        <v>49.463440860215059</v>
      </c>
      <c r="J57" s="256"/>
      <c r="K57" s="278">
        <f>K29*(1-K46)</f>
        <v>56.638795423956935</v>
      </c>
      <c r="M57" s="74">
        <f>M29*(1-M46)</f>
        <v>49.388486906549986</v>
      </c>
      <c r="O57" s="74">
        <f>O29*(1-O46)</f>
        <v>46.11891167953668</v>
      </c>
      <c r="Q57" s="74">
        <f>Q29*(1-Q46)</f>
        <v>65.902470846322601</v>
      </c>
      <c r="S57" s="74">
        <f>S29*(1-S46)</f>
        <v>66.561495554785836</v>
      </c>
      <c r="U57" s="74">
        <f>U29*(1-U46)</f>
        <v>67.227110510333688</v>
      </c>
      <c r="Y57" s="57"/>
      <c r="Z57" s="57"/>
      <c r="AA57" s="57"/>
    </row>
    <row r="58" spans="1:27" ht="13.5" customHeight="1" thickBot="1" x14ac:dyDescent="0.3">
      <c r="C58" t="s">
        <v>106</v>
      </c>
      <c r="G58" s="263">
        <v>32.5</v>
      </c>
      <c r="H58" s="256"/>
      <c r="I58" s="263">
        <v>3.4</v>
      </c>
      <c r="J58" s="256"/>
      <c r="K58" s="263">
        <v>0.7</v>
      </c>
      <c r="M58" s="93">
        <v>0.1</v>
      </c>
      <c r="N58" s="81"/>
      <c r="O58" s="70">
        <v>0</v>
      </c>
      <c r="P58" s="81"/>
      <c r="Q58" s="70">
        <v>0</v>
      </c>
      <c r="R58" s="81"/>
      <c r="S58" s="86">
        <f>Q58</f>
        <v>0</v>
      </c>
      <c r="T58" s="81"/>
      <c r="U58" s="86">
        <f>S58</f>
        <v>0</v>
      </c>
      <c r="Y58" s="57"/>
      <c r="Z58" s="57"/>
      <c r="AA58" s="57"/>
    </row>
    <row r="59" spans="1:27" ht="5" customHeight="1" x14ac:dyDescent="0.3">
      <c r="G59" s="266"/>
      <c r="H59" s="256"/>
      <c r="I59" s="266"/>
      <c r="J59" s="256"/>
      <c r="K59" s="266"/>
      <c r="M59" s="59"/>
      <c r="O59" s="88"/>
      <c r="Q59" s="88"/>
      <c r="S59" s="88"/>
      <c r="U59" s="88"/>
      <c r="Y59" s="57"/>
      <c r="Z59" s="57"/>
      <c r="AA59" s="57"/>
    </row>
    <row r="60" spans="1:27" s="19" customFormat="1" ht="13" x14ac:dyDescent="0.3">
      <c r="B60" s="19" t="s">
        <v>107</v>
      </c>
      <c r="G60" s="268">
        <f>G48-SUM(G56:G58)</f>
        <v>-285.15712460063844</v>
      </c>
      <c r="H60" s="269"/>
      <c r="I60" s="268">
        <f>I48-SUM(I56:I58)</f>
        <v>652.53924731182838</v>
      </c>
      <c r="J60" s="269"/>
      <c r="K60" s="268">
        <f>K48-SUM(K56:K58)</f>
        <v>642.02358681022952</v>
      </c>
      <c r="M60" s="62">
        <f>M48-SUM(M56:M58)</f>
        <v>440.07217788806889</v>
      </c>
      <c r="O60" s="62">
        <f>O48-SUM(O56:O58)</f>
        <v>531.12673262548265</v>
      </c>
      <c r="Q60" s="62">
        <f>Q48-SUM(Q56:Q58)</f>
        <v>750.70252857637695</v>
      </c>
      <c r="S60" s="62">
        <f>S48-SUM(S56:S58)</f>
        <v>758.65854381711142</v>
      </c>
      <c r="U60" s="62">
        <f>U48-SUM(U56:U58)</f>
        <v>766.69411921025278</v>
      </c>
      <c r="X60" s="56">
        <f>(U60/M60)^(1/(U$5-$M$5))-1</f>
        <v>0.14887969758003639</v>
      </c>
      <c r="Y60" s="57"/>
      <c r="Z60" s="57"/>
      <c r="AA60" s="57"/>
    </row>
    <row r="61" spans="1:27" s="52" customFormat="1" ht="12.75" customHeight="1" x14ac:dyDescent="0.3">
      <c r="C61" s="52" t="s">
        <v>86</v>
      </c>
      <c r="G61" s="265">
        <f>G60/G$7</f>
        <v>-6.1388802092665049E-2</v>
      </c>
      <c r="H61" s="261"/>
      <c r="I61" s="265">
        <f>I60/I$7</f>
        <v>0.10021950934739574</v>
      </c>
      <c r="J61" s="261"/>
      <c r="K61" s="265">
        <f>K60/K$7</f>
        <v>9.7360385000717212E-2</v>
      </c>
      <c r="M61" s="58">
        <f>M60/M$7</f>
        <v>6.4460550445007897E-2</v>
      </c>
      <c r="O61" s="58">
        <f>O60/O$7</f>
        <v>7.4133119216342053E-2</v>
      </c>
      <c r="Q61" s="58">
        <f>Q60/Q$7</f>
        <v>9.8828663582988016E-2</v>
      </c>
      <c r="S61" s="58">
        <f>S60/S$7</f>
        <v>9.8887187083497752E-2</v>
      </c>
      <c r="U61" s="58">
        <f>U60/U$7</f>
        <v>9.8945131143408319E-2</v>
      </c>
      <c r="Y61" s="57"/>
      <c r="Z61" s="57"/>
      <c r="AA61" s="57"/>
    </row>
    <row r="62" spans="1:27" ht="5" customHeight="1" x14ac:dyDescent="0.25">
      <c r="G62" s="256"/>
      <c r="H62" s="256"/>
      <c r="I62" s="256"/>
      <c r="J62" s="256"/>
      <c r="K62" s="256"/>
      <c r="X62" s="3"/>
      <c r="Y62" s="57"/>
      <c r="Z62" s="57"/>
      <c r="AA62" s="57"/>
    </row>
    <row r="63" spans="1:27" ht="13" x14ac:dyDescent="0.3">
      <c r="A63" s="71"/>
      <c r="B63" s="71" t="s">
        <v>108</v>
      </c>
      <c r="C63" s="71"/>
      <c r="D63" s="71"/>
      <c r="E63" s="71"/>
      <c r="F63" s="71"/>
      <c r="G63" s="273">
        <f>G60/G53</f>
        <v>-1.00762234841215</v>
      </c>
      <c r="H63" s="274"/>
      <c r="I63" s="273">
        <f>I60/I53</f>
        <v>2.4159172429168025</v>
      </c>
      <c r="J63" s="274"/>
      <c r="K63" s="273">
        <f>K60/K53</f>
        <v>2.3219659559140307</v>
      </c>
      <c r="L63" s="71"/>
      <c r="M63" s="72">
        <f>M60/M53</f>
        <v>1.5371015644012185</v>
      </c>
      <c r="N63" s="71"/>
      <c r="O63" s="72">
        <f>O60/O53</f>
        <v>1.9548278712752398</v>
      </c>
      <c r="P63" s="71"/>
      <c r="Q63" s="72">
        <f>Q60/Q53</f>
        <v>2.667741750449101</v>
      </c>
      <c r="R63" s="71"/>
      <c r="S63" s="72">
        <f>S60/S53</f>
        <v>2.6960147257182356</v>
      </c>
      <c r="T63" s="71"/>
      <c r="U63" s="72">
        <f>U60/U53</f>
        <v>2.72457043074006</v>
      </c>
      <c r="V63" s="73"/>
      <c r="X63" s="56">
        <f>(U63/M63)^(1/(U$5-$M$5))-1</f>
        <v>0.15384870933577455</v>
      </c>
      <c r="Y63" s="57"/>
      <c r="Z63" s="57"/>
      <c r="AA63" s="57"/>
    </row>
    <row r="64" spans="1:27" x14ac:dyDescent="0.25">
      <c r="G64" s="256"/>
      <c r="H64" s="256"/>
      <c r="I64" s="256"/>
      <c r="J64" s="256"/>
      <c r="K64" s="256"/>
    </row>
    <row r="65" spans="2:21" s="75" customFormat="1" ht="12.75" customHeight="1" x14ac:dyDescent="0.25">
      <c r="B65" s="75" t="s">
        <v>109</v>
      </c>
      <c r="G65" s="279">
        <v>17</v>
      </c>
      <c r="H65" s="280"/>
      <c r="I65" s="279">
        <v>17.7</v>
      </c>
      <c r="J65" s="280"/>
      <c r="K65" s="279">
        <v>41</v>
      </c>
      <c r="M65" s="23">
        <v>8.6999999999999993</v>
      </c>
      <c r="O65" s="23">
        <v>15</v>
      </c>
      <c r="Q65" s="16">
        <f>Q66*Q7</f>
        <v>15.903412659641289</v>
      </c>
      <c r="S65" s="16">
        <f>S66*S7</f>
        <v>16.0624467862377</v>
      </c>
      <c r="U65" s="16">
        <f>U66*U7</f>
        <v>16.223071254100081</v>
      </c>
    </row>
    <row r="66" spans="2:21" s="52" customFormat="1" ht="12.75" customHeight="1" x14ac:dyDescent="0.3">
      <c r="C66" s="52" t="s">
        <v>84</v>
      </c>
      <c r="G66" s="265">
        <f>G65/G$7</f>
        <v>3.6597705108609071E-3</v>
      </c>
      <c r="H66" s="261"/>
      <c r="I66" s="265">
        <f>I65/I$7</f>
        <v>2.7184346730967117E-3</v>
      </c>
      <c r="J66" s="261"/>
      <c r="K66" s="265">
        <f>K65/K$7</f>
        <v>6.2174908633213528E-3</v>
      </c>
      <c r="M66" s="58">
        <f>M65/M$7</f>
        <v>1.274351838289146E-3</v>
      </c>
      <c r="O66" s="58">
        <f>O65/O$7</f>
        <v>2.0936562216484055E-3</v>
      </c>
      <c r="Q66" s="58">
        <f>O66</f>
        <v>2.0936562216484055E-3</v>
      </c>
      <c r="S66" s="58">
        <f>Q66</f>
        <v>2.0936562216484055E-3</v>
      </c>
      <c r="U66" s="58">
        <f>S66</f>
        <v>2.0936562216484055E-3</v>
      </c>
    </row>
  </sheetData>
  <phoneticPr fontId="12" type="noConversion"/>
  <pageMargins left="0.75" right="0.75" top="1" bottom="1" header="0.5" footer="0.5"/>
  <headerFooter alignWithMargins="0"/>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X75"/>
  <sheetViews>
    <sheetView showGridLines="0" workbookViewId="0">
      <selection activeCell="R76" sqref="R76"/>
    </sheetView>
  </sheetViews>
  <sheetFormatPr defaultColWidth="8.81640625" defaultRowHeight="12.5" x14ac:dyDescent="0.25"/>
  <cols>
    <col min="1" max="1" width="1.6328125" customWidth="1"/>
    <col min="2" max="2" width="9.6328125" customWidth="1"/>
    <col min="3" max="3" width="1.6328125" customWidth="1"/>
    <col min="4" max="4" width="9.6328125" customWidth="1"/>
    <col min="5" max="5" width="1.6328125" customWidth="1"/>
    <col min="6" max="6" width="9.6328125" customWidth="1"/>
    <col min="7" max="7" width="1.6328125" customWidth="1"/>
    <col min="8" max="8" width="9.6328125" customWidth="1"/>
    <col min="9" max="9" width="1.6328125" customWidth="1"/>
    <col min="10" max="10" width="9.6328125" customWidth="1"/>
    <col min="11" max="11" width="1.6328125" customWidth="1"/>
    <col min="12" max="12" width="9.6328125" customWidth="1"/>
    <col min="13" max="13" width="1.6328125" customWidth="1"/>
    <col min="14" max="14" width="9.6328125" customWidth="1"/>
    <col min="15" max="15" width="1.6328125" customWidth="1"/>
    <col min="16" max="16" width="9.6328125" customWidth="1"/>
    <col min="17" max="17" width="1.6328125" customWidth="1"/>
    <col min="18" max="18" width="9.6328125" customWidth="1"/>
    <col min="19" max="19" width="1.6328125" customWidth="1"/>
    <col min="20" max="20" width="9.6328125" customWidth="1"/>
  </cols>
  <sheetData>
    <row r="1" spans="1:20" ht="24" customHeight="1" thickBot="1" x14ac:dyDescent="0.5">
      <c r="A1" s="1" t="str">
        <f>tgt&amp;" DCF Valuation"</f>
        <v>Tapestry, Inc. DCF Valuation</v>
      </c>
      <c r="B1" s="2"/>
      <c r="C1" s="2"/>
      <c r="D1" s="2"/>
      <c r="E1" s="2"/>
      <c r="F1" s="2"/>
      <c r="G1" s="2"/>
      <c r="H1" s="2"/>
      <c r="I1" s="2"/>
      <c r="J1" s="2"/>
      <c r="K1" s="2"/>
      <c r="L1" s="2"/>
      <c r="M1" s="2"/>
      <c r="N1" s="2"/>
      <c r="O1" s="2"/>
      <c r="P1" s="2"/>
      <c r="Q1" s="148"/>
      <c r="R1" s="2"/>
      <c r="S1" s="2"/>
      <c r="T1" s="148"/>
    </row>
    <row r="2" spans="1:20" ht="13" x14ac:dyDescent="0.3">
      <c r="A2" s="90" t="s">
        <v>1</v>
      </c>
      <c r="Q2" s="19"/>
      <c r="T2" s="19"/>
    </row>
    <row r="4" spans="1:20" ht="13.5" customHeight="1" thickBot="1" x14ac:dyDescent="0.35">
      <c r="H4" s="203" t="str">
        <f>'Target P&amp;L'!M4</f>
        <v>FY Ending January 28,</v>
      </c>
      <c r="I4" s="31"/>
      <c r="J4" s="31"/>
      <c r="K4" s="31"/>
      <c r="L4" s="31"/>
      <c r="M4" s="31"/>
      <c r="N4" s="31"/>
      <c r="O4" s="31"/>
      <c r="P4" s="31"/>
      <c r="Q4" s="31"/>
      <c r="R4" s="31"/>
      <c r="T4" s="82" t="s">
        <v>110</v>
      </c>
    </row>
    <row r="5" spans="1:20" ht="13.5" customHeight="1" thickBot="1" x14ac:dyDescent="0.35">
      <c r="H5" s="204">
        <f>'Target P&amp;L'!K5</f>
        <v>2023</v>
      </c>
      <c r="J5" s="205">
        <f>H5+1</f>
        <v>2024</v>
      </c>
      <c r="L5" s="205">
        <f>J5+1</f>
        <v>2025</v>
      </c>
      <c r="N5" s="205">
        <f>L5+1</f>
        <v>2026</v>
      </c>
      <c r="P5" s="205">
        <f>N5+1</f>
        <v>2027</v>
      </c>
      <c r="R5" s="205">
        <f>P5+1</f>
        <v>2028</v>
      </c>
      <c r="T5" s="205" t="str">
        <f>J5&amp;"-"&amp;R5</f>
        <v>2024-2028</v>
      </c>
    </row>
    <row r="7" spans="1:20" ht="12.75" customHeight="1" x14ac:dyDescent="0.3">
      <c r="A7" t="s">
        <v>289</v>
      </c>
      <c r="H7" s="113">
        <f>'Target P&amp;L'!K7</f>
        <v>6594.3</v>
      </c>
      <c r="J7" s="113">
        <f>'Target P&amp;L'!M7</f>
        <v>6827</v>
      </c>
      <c r="L7" s="113">
        <f>'Target P&amp;L'!O7</f>
        <v>7164.5</v>
      </c>
      <c r="N7" s="113">
        <f>'Target P&amp;L'!Q7</f>
        <v>7596</v>
      </c>
      <c r="P7" s="113">
        <f>'Target P&amp;L'!S7</f>
        <v>7671.96</v>
      </c>
      <c r="R7" s="113">
        <f>'Target P&amp;L'!U7</f>
        <v>7748.6796000000004</v>
      </c>
      <c r="T7" s="56">
        <f>(R7/J7)^(1/(R$5-J$5))-1</f>
        <v>3.2165764891107784E-2</v>
      </c>
    </row>
    <row r="8" spans="1:20" s="147" customFormat="1" ht="12.75" customHeight="1" x14ac:dyDescent="0.3">
      <c r="B8" s="147" t="s">
        <v>82</v>
      </c>
      <c r="H8" s="49">
        <f>'Target P&amp;L'!K8</f>
        <v>1.277817880235288E-2</v>
      </c>
      <c r="J8" s="56">
        <f>J7/H7-1</f>
        <v>3.5288051802314202E-2</v>
      </c>
      <c r="L8" s="56">
        <f>L7/J7-1</f>
        <v>4.9436062692251426E-2</v>
      </c>
      <c r="N8" s="56">
        <f>N7/L7-1</f>
        <v>6.0227510642752558E-2</v>
      </c>
      <c r="P8" s="56">
        <f>P7/N7-1</f>
        <v>1.0000000000000009E-2</v>
      </c>
      <c r="R8" s="56">
        <f>R7/P7-1</f>
        <v>1.0000000000000009E-2</v>
      </c>
    </row>
    <row r="9" spans="1:20" ht="5" customHeight="1" x14ac:dyDescent="0.25"/>
    <row r="10" spans="1:20" ht="13" x14ac:dyDescent="0.3">
      <c r="A10" t="s">
        <v>88</v>
      </c>
      <c r="H10" s="101">
        <f>'Target P&amp;L'!K19</f>
        <v>1090.5000000000009</v>
      </c>
      <c r="J10" s="101">
        <f>'Target P&amp;L'!M19</f>
        <v>958.52</v>
      </c>
      <c r="L10" s="101">
        <f>'Target P&amp;L'!O19</f>
        <v>1147.4000000000001</v>
      </c>
      <c r="N10" s="101">
        <f>'Target P&amp;L'!Q19</f>
        <v>1487.75</v>
      </c>
      <c r="P10" s="101">
        <f>'Target P&amp;L'!S19</f>
        <v>1502.6275000000001</v>
      </c>
      <c r="R10" s="101">
        <f>'Target P&amp;L'!U19</f>
        <v>1517.6537749999998</v>
      </c>
      <c r="T10" s="56">
        <f>(R10/J10)^(1/(R$5-J$5))-1</f>
        <v>0.12174174409932359</v>
      </c>
    </row>
    <row r="11" spans="1:20" s="147" customFormat="1" ht="12.75" customHeight="1" x14ac:dyDescent="0.3">
      <c r="B11" s="147" t="s">
        <v>86</v>
      </c>
      <c r="H11" s="56">
        <f>H10/H7</f>
        <v>0.16537009235248637</v>
      </c>
      <c r="J11" s="56">
        <f>J10/J7</f>
        <v>0.14040134759044967</v>
      </c>
      <c r="L11" s="56">
        <f>L10/L7</f>
        <v>0.16015074324795869</v>
      </c>
      <c r="N11" s="56">
        <f>N10/N7</f>
        <v>0.19585966298051607</v>
      </c>
      <c r="P11" s="56">
        <f>P10/P7</f>
        <v>0.19585966298051607</v>
      </c>
      <c r="R11" s="56">
        <f>R10/R7</f>
        <v>0.19585966298051602</v>
      </c>
    </row>
    <row r="12" spans="1:20" ht="5" customHeight="1" x14ac:dyDescent="0.25"/>
    <row r="13" spans="1:20" x14ac:dyDescent="0.25">
      <c r="A13" t="s">
        <v>293</v>
      </c>
      <c r="H13" s="101">
        <f>-'Target P&amp;L'!K22</f>
        <v>-207</v>
      </c>
      <c r="J13" s="101">
        <f>-'Target P&amp;L'!M22</f>
        <v>-279.60000000000002</v>
      </c>
      <c r="L13" s="101">
        <f>-'Target P&amp;L'!O22</f>
        <v>-240.7</v>
      </c>
      <c r="N13" s="101">
        <f>-'Target P&amp;L'!Q22</f>
        <v>-296.2</v>
      </c>
      <c r="P13" s="101">
        <f>-'Target P&amp;L'!S22</f>
        <v>-299.16200000000003</v>
      </c>
      <c r="R13" s="101">
        <f>-'Target P&amp;L'!U22</f>
        <v>-302.15362000000005</v>
      </c>
    </row>
    <row r="14" spans="1:20" ht="13" x14ac:dyDescent="0.3">
      <c r="A14" t="s">
        <v>94</v>
      </c>
      <c r="H14" s="74">
        <f>H10+H13</f>
        <v>883.50000000000091</v>
      </c>
      <c r="J14" s="74">
        <f>J10+J13</f>
        <v>678.92</v>
      </c>
      <c r="L14" s="74">
        <f>L10+L13</f>
        <v>906.7</v>
      </c>
      <c r="N14" s="74">
        <f>N10+N13</f>
        <v>1191.55</v>
      </c>
      <c r="P14" s="74">
        <f>P10+P13</f>
        <v>1203.4655</v>
      </c>
      <c r="R14" s="74">
        <f>R10+R13</f>
        <v>1215.5001549999997</v>
      </c>
      <c r="T14" s="56">
        <f>(R14/J14)^(1/(R$5-J$5))-1</f>
        <v>0.15673560600224667</v>
      </c>
    </row>
    <row r="15" spans="1:20" s="147" customFormat="1" ht="12.75" customHeight="1" x14ac:dyDescent="0.3">
      <c r="B15" s="147" t="s">
        <v>77</v>
      </c>
      <c r="H15" s="41">
        <v>0.16350000000000001</v>
      </c>
      <c r="J15" s="56">
        <f>H15</f>
        <v>0.16350000000000001</v>
      </c>
      <c r="L15" s="56">
        <f>J15</f>
        <v>0.16350000000000001</v>
      </c>
      <c r="N15" s="56">
        <f>L15</f>
        <v>0.16350000000000001</v>
      </c>
      <c r="P15" s="56">
        <f>N15</f>
        <v>0.16350000000000001</v>
      </c>
      <c r="R15" s="56">
        <f>P15</f>
        <v>0.16350000000000001</v>
      </c>
    </row>
    <row r="16" spans="1:20" ht="5" customHeight="1" thickBot="1" x14ac:dyDescent="0.3"/>
    <row r="17" spans="1:20" s="19" customFormat="1" ht="13" x14ac:dyDescent="0.3">
      <c r="B17" s="19" t="s">
        <v>294</v>
      </c>
      <c r="H17" s="88">
        <f>H14*(1-H15)</f>
        <v>739.04775000000075</v>
      </c>
      <c r="J17" s="88">
        <f>J14*(1-J15)</f>
        <v>567.91657999999995</v>
      </c>
      <c r="L17" s="88">
        <f>L14*(1-L15)</f>
        <v>758.45455000000004</v>
      </c>
      <c r="N17" s="88">
        <f>N14*(1-N15)</f>
        <v>996.73157500000002</v>
      </c>
      <c r="P17" s="88">
        <f>P14*(1-P15)</f>
        <v>1006.69889075</v>
      </c>
      <c r="R17" s="88">
        <f>R14*(1-R15)</f>
        <v>1016.7658796574998</v>
      </c>
      <c r="T17" s="56">
        <f>(R17/J17)^(1/(R$5-J$5))-1</f>
        <v>0.15673560600224667</v>
      </c>
    </row>
    <row r="18" spans="1:20" ht="5" customHeight="1" x14ac:dyDescent="0.25"/>
    <row r="19" spans="1:20" x14ac:dyDescent="0.25">
      <c r="A19" t="s">
        <v>295</v>
      </c>
      <c r="H19" s="74">
        <f>-H13</f>
        <v>207</v>
      </c>
      <c r="J19" s="74">
        <f>-J13</f>
        <v>279.60000000000002</v>
      </c>
      <c r="L19" s="74">
        <f>-L13</f>
        <v>240.7</v>
      </c>
      <c r="N19" s="74">
        <f>-N13</f>
        <v>296.2</v>
      </c>
      <c r="P19" s="74">
        <f>-P13</f>
        <v>299.16200000000003</v>
      </c>
      <c r="R19" s="74">
        <f>-R13</f>
        <v>302.15362000000005</v>
      </c>
    </row>
    <row r="20" spans="1:20" x14ac:dyDescent="0.25">
      <c r="A20" t="s">
        <v>296</v>
      </c>
      <c r="H20" s="101">
        <f>-'Target P&amp;L'!K65</f>
        <v>-41</v>
      </c>
      <c r="J20" s="101">
        <f>-'Target P&amp;L'!M65</f>
        <v>-8.6999999999999993</v>
      </c>
      <c r="L20" s="101">
        <f>-'Target P&amp;L'!O65</f>
        <v>-15</v>
      </c>
      <c r="N20" s="101">
        <f>-'Target P&amp;L'!Q65</f>
        <v>-15.903412659641289</v>
      </c>
      <c r="P20" s="101">
        <f>-'Target P&amp;L'!S65</f>
        <v>-16.0624467862377</v>
      </c>
      <c r="R20" s="101">
        <f>-'Target P&amp;L'!U65</f>
        <v>-16.223071254100081</v>
      </c>
    </row>
    <row r="21" spans="1:20" x14ac:dyDescent="0.25">
      <c r="A21" t="s">
        <v>297</v>
      </c>
      <c r="H21" s="17">
        <v>1138.5</v>
      </c>
      <c r="J21" s="17">
        <v>-827.8</v>
      </c>
      <c r="L21" s="17">
        <v>1212.3</v>
      </c>
      <c r="N21" s="17">
        <v>-844.5</v>
      </c>
      <c r="P21" s="17">
        <v>172.1</v>
      </c>
      <c r="R21" s="17">
        <v>169.63</v>
      </c>
    </row>
    <row r="22" spans="1:20" ht="5" customHeight="1" thickBot="1" x14ac:dyDescent="0.3"/>
    <row r="23" spans="1:20" ht="13.5" customHeight="1" thickBot="1" x14ac:dyDescent="0.35">
      <c r="B23" s="19" t="s">
        <v>298</v>
      </c>
      <c r="H23" s="20">
        <f>SUM(H17:H21)</f>
        <v>2043.5477500000006</v>
      </c>
      <c r="J23" s="20">
        <f>SUM(J17:J21)</f>
        <v>11.016579999999976</v>
      </c>
      <c r="L23" s="20">
        <f>SUM(L17:L21)</f>
        <v>2196.4545499999999</v>
      </c>
      <c r="N23" s="20">
        <f>SUM(N17:N21)</f>
        <v>432.52816234035868</v>
      </c>
      <c r="P23" s="20">
        <f>SUM(P17:P21)</f>
        <v>1461.8984439637625</v>
      </c>
      <c r="R23" s="20">
        <f>SUM(R17:R21)</f>
        <v>1472.3264284033999</v>
      </c>
      <c r="T23" s="56">
        <f>(R23/J23)^(1/(R$5-J$5))-1</f>
        <v>2.4000815125019099</v>
      </c>
    </row>
    <row r="24" spans="1:20" ht="13.5" thickTop="1" x14ac:dyDescent="0.3">
      <c r="A24" s="19"/>
    </row>
    <row r="25" spans="1:20" ht="13" x14ac:dyDescent="0.3">
      <c r="A25" s="39" t="str">
        <f>"DCF Analysis ("&amp;T5&amp;"):  EBITDA Multiple Method"</f>
        <v>DCF Analysis (2024-2028):  EBITDA Multiple Method</v>
      </c>
      <c r="H25" s="206"/>
    </row>
    <row r="26" spans="1:20" ht="13" x14ac:dyDescent="0.3">
      <c r="A26" s="39"/>
      <c r="H26" s="206"/>
    </row>
    <row r="27" spans="1:20" ht="14.25" customHeight="1" x14ac:dyDescent="0.3">
      <c r="F27" s="19" t="s">
        <v>156</v>
      </c>
      <c r="P27" s="19" t="s">
        <v>299</v>
      </c>
    </row>
    <row r="28" spans="1:20" ht="13.5" customHeight="1" thickBot="1" x14ac:dyDescent="0.3">
      <c r="F28" s="282" t="s">
        <v>300</v>
      </c>
      <c r="G28" s="207"/>
      <c r="H28" s="207"/>
      <c r="I28" s="207"/>
      <c r="J28" s="207"/>
      <c r="P28" s="207" t="str">
        <f>F28</f>
        <v>Terminal EBITDA Multiple</v>
      </c>
      <c r="Q28" s="207"/>
      <c r="R28" s="207"/>
      <c r="S28" s="207"/>
      <c r="T28" s="207"/>
    </row>
    <row r="29" spans="1:20" ht="13.5" customHeight="1" x14ac:dyDescent="0.25">
      <c r="F29" s="208">
        <v>11</v>
      </c>
      <c r="G29" s="126"/>
      <c r="H29" s="208">
        <v>12.5</v>
      </c>
      <c r="I29" s="126"/>
      <c r="J29" s="208">
        <v>14</v>
      </c>
      <c r="P29" s="209">
        <f>$F$29</f>
        <v>11</v>
      </c>
      <c r="R29" s="209">
        <f>$H$29</f>
        <v>12.5</v>
      </c>
      <c r="T29" s="209">
        <f>$J$29</f>
        <v>14</v>
      </c>
    </row>
    <row r="30" spans="1:20" x14ac:dyDescent="0.25">
      <c r="B30" s="210" t="s">
        <v>301</v>
      </c>
      <c r="D30" s="26">
        <v>9.4E-2</v>
      </c>
      <c r="E30" s="65"/>
      <c r="F30" s="211">
        <f>NPV($D30,$J$23:$P$23,$R$23+F$29*$R$10)</f>
        <v>14788.923585800663</v>
      </c>
      <c r="G30" s="212"/>
      <c r="H30" s="211">
        <f>NPV($D30,$J$23:$P$23,$R$23+H$29*$R$10)</f>
        <v>16241.628332449991</v>
      </c>
      <c r="I30" s="212"/>
      <c r="J30" s="213">
        <f>NPV($D30,$J$23:$P$23,$R$23+J$29*$R$10)</f>
        <v>17694.333079099328</v>
      </c>
      <c r="L30" s="210" t="s">
        <v>301</v>
      </c>
      <c r="N30" s="214">
        <f>$D$30</f>
        <v>9.4E-2</v>
      </c>
      <c r="O30" s="65"/>
      <c r="P30" s="211">
        <f>F30-$W$38</f>
        <v>12147.423585800663</v>
      </c>
      <c r="Q30" s="212"/>
      <c r="R30" s="211">
        <f>H30-$W$38</f>
        <v>13600.128332449991</v>
      </c>
      <c r="S30" s="212"/>
      <c r="T30" s="213">
        <f>J30-$W$38</f>
        <v>15052.833079099328</v>
      </c>
    </row>
    <row r="31" spans="1:20" x14ac:dyDescent="0.25">
      <c r="B31" s="210" t="s">
        <v>302</v>
      </c>
      <c r="D31" s="215">
        <f>D30+0.01</f>
        <v>0.104</v>
      </c>
      <c r="E31" s="65"/>
      <c r="F31" s="16">
        <f>NPV($D31,$J$23:$P$23,$R$23+F$29*$R$10)</f>
        <v>14194.755834138925</v>
      </c>
      <c r="G31" s="75"/>
      <c r="H31" s="16">
        <f>NPV($D31,$J$23:$P$23,$R$23+H$29*$R$10)</f>
        <v>15582.8489442993</v>
      </c>
      <c r="I31" s="75"/>
      <c r="J31" s="216">
        <f>NPV($D31,$J$23:$P$23,$R$23+J$29*$R$10)</f>
        <v>16970.942054459672</v>
      </c>
      <c r="L31" s="210" t="s">
        <v>302</v>
      </c>
      <c r="N31" s="214">
        <f>$D$31</f>
        <v>0.104</v>
      </c>
      <c r="O31" s="65"/>
      <c r="P31" s="16">
        <f>F31-$W$38</f>
        <v>11553.255834138925</v>
      </c>
      <c r="Q31" s="75"/>
      <c r="R31" s="16">
        <f>H31-$W$38</f>
        <v>12941.3489442993</v>
      </c>
      <c r="S31" s="75"/>
      <c r="T31" s="216">
        <f>J31-$W$38</f>
        <v>14329.442054459672</v>
      </c>
    </row>
    <row r="32" spans="1:20" ht="13.5" customHeight="1" x14ac:dyDescent="0.25">
      <c r="B32" s="210" t="s">
        <v>303</v>
      </c>
      <c r="D32" s="215">
        <f>D31+0.01</f>
        <v>0.11399999999999999</v>
      </c>
      <c r="E32" s="65"/>
      <c r="F32" s="217">
        <f>NPV($D32,$J$23:$P$23,$R$23+F$29*$R$10)</f>
        <v>13630.68454426561</v>
      </c>
      <c r="G32" s="218"/>
      <c r="H32" s="217">
        <f>NPV($D32,$J$23:$P$23,$R$23+H$29*$R$10)</f>
        <v>14957.583986001227</v>
      </c>
      <c r="I32" s="218"/>
      <c r="J32" s="219">
        <f>NPV($D32,$J$23:$P$23,$R$23+J$29*$R$10)</f>
        <v>16284.483427736846</v>
      </c>
      <c r="L32" s="210" t="s">
        <v>303</v>
      </c>
      <c r="N32" s="214">
        <f>$D$32</f>
        <v>0.11399999999999999</v>
      </c>
      <c r="O32" s="65"/>
      <c r="P32" s="217">
        <f>F32-$W$38</f>
        <v>10989.18454426561</v>
      </c>
      <c r="Q32" s="218"/>
      <c r="R32" s="217">
        <f>H32-$W$38</f>
        <v>12316.083986001227</v>
      </c>
      <c r="S32" s="218"/>
      <c r="T32" s="219">
        <f>J32-$W$38</f>
        <v>13642.983427736846</v>
      </c>
    </row>
    <row r="34" spans="1:23" ht="14.25" customHeight="1" x14ac:dyDescent="0.3">
      <c r="F34" s="19" t="s">
        <v>304</v>
      </c>
      <c r="P34" s="19" t="s">
        <v>305</v>
      </c>
    </row>
    <row r="35" spans="1:23" ht="13.5" customHeight="1" thickBot="1" x14ac:dyDescent="0.3">
      <c r="F35" s="207" t="str">
        <f>F28</f>
        <v>Terminal EBITDA Multiple</v>
      </c>
      <c r="G35" s="207"/>
      <c r="H35" s="207"/>
      <c r="I35" s="207"/>
      <c r="J35" s="207"/>
      <c r="P35" s="207" t="str">
        <f>F35</f>
        <v>Terminal EBITDA Multiple</v>
      </c>
      <c r="Q35" s="207"/>
      <c r="R35" s="207"/>
      <c r="S35" s="207"/>
      <c r="T35" s="207"/>
    </row>
    <row r="36" spans="1:23" ht="13.5" customHeight="1" x14ac:dyDescent="0.25">
      <c r="F36" s="209">
        <f>$F$29</f>
        <v>11</v>
      </c>
      <c r="H36" s="209">
        <f>$H$29</f>
        <v>12.5</v>
      </c>
      <c r="J36" s="209">
        <f>$J$29</f>
        <v>14</v>
      </c>
      <c r="P36" s="209">
        <f>$F$29</f>
        <v>11</v>
      </c>
      <c r="R36" s="209">
        <f>$H$29</f>
        <v>12.5</v>
      </c>
      <c r="T36" s="209">
        <f>$J$29</f>
        <v>14</v>
      </c>
    </row>
    <row r="37" spans="1:23" x14ac:dyDescent="0.25">
      <c r="B37" s="210" t="s">
        <v>301</v>
      </c>
      <c r="D37" s="214">
        <f>$D$30</f>
        <v>9.4E-2</v>
      </c>
      <c r="E37" s="65"/>
      <c r="F37" s="220">
        <f>(F$36*$R$10*$D37-$R$23)/(F$36*$R$10+$R$23)</f>
        <v>5.3355065178267271E-3</v>
      </c>
      <c r="G37" s="221"/>
      <c r="H37" s="220">
        <f>(H$36*$R$10*$D37-$R$23)/(H$36*$R$10+$R$23)</f>
        <v>1.5208960439870391E-2</v>
      </c>
      <c r="I37" s="221"/>
      <c r="J37" s="222">
        <f>(J$36*$R$10*$D37-$R$23)/(J$36*$R$10+$R$23)</f>
        <v>2.3103783896823868E-2</v>
      </c>
      <c r="L37" s="210" t="s">
        <v>301</v>
      </c>
      <c r="N37" s="214">
        <f>$D$30</f>
        <v>9.4E-2</v>
      </c>
      <c r="O37" s="65"/>
      <c r="P37" s="223">
        <f>P30/$W$39</f>
        <v>50.157886828168877</v>
      </c>
      <c r="Q37" s="224"/>
      <c r="R37" s="223">
        <f>R30/$W$39</f>
        <v>56.15624522594085</v>
      </c>
      <c r="S37" s="224"/>
      <c r="T37" s="225">
        <f>T30/$W$39</f>
        <v>62.154603623712859</v>
      </c>
    </row>
    <row r="38" spans="1:23" x14ac:dyDescent="0.25">
      <c r="B38" s="210" t="s">
        <v>302</v>
      </c>
      <c r="D38" s="214">
        <f>$D$31</f>
        <v>0.104</v>
      </c>
      <c r="E38" s="65"/>
      <c r="F38" s="214">
        <f>(F$36*$R$10*$D38-$R$23)/(F$36*$R$10+$R$23)</f>
        <v>1.4525044968629516E-2</v>
      </c>
      <c r="G38" s="226"/>
      <c r="H38" s="214">
        <f>(H$36*$R$10*$D38-$R$23)/(H$36*$R$10+$R$23)</f>
        <v>2.4488749840600461E-2</v>
      </c>
      <c r="I38" s="226"/>
      <c r="J38" s="227">
        <f>(J$36*$R$10*$D38-$R$23)/(J$36*$R$10+$R$23)</f>
        <v>3.2455738045789349E-2</v>
      </c>
      <c r="L38" s="210" t="s">
        <v>302</v>
      </c>
      <c r="N38" s="214">
        <f>$D$31</f>
        <v>0.104</v>
      </c>
      <c r="O38" s="65"/>
      <c r="P38" s="32">
        <f>P31/$W$39</f>
        <v>47.704510716411868</v>
      </c>
      <c r="Q38" s="24"/>
      <c r="R38" s="32">
        <f>R31/$W$39</f>
        <v>53.43608141818352</v>
      </c>
      <c r="S38" s="24"/>
      <c r="T38" s="228">
        <f>T31/$W$39</f>
        <v>59.167652119955164</v>
      </c>
      <c r="V38" s="137" t="s">
        <v>15</v>
      </c>
      <c r="W38" s="113">
        <f>Assumptions!N21</f>
        <v>2641.5</v>
      </c>
    </row>
    <row r="39" spans="1:23" ht="13.5" customHeight="1" x14ac:dyDescent="0.25">
      <c r="B39" s="210" t="s">
        <v>303</v>
      </c>
      <c r="D39" s="214">
        <f>$D$32</f>
        <v>0.11399999999999999</v>
      </c>
      <c r="E39" s="65"/>
      <c r="F39" s="229">
        <f>(F$36*$R$10*$D39-$R$23)/(F$36*$R$10+$R$23)</f>
        <v>2.371458341943232E-2</v>
      </c>
      <c r="G39" s="230"/>
      <c r="H39" s="229">
        <f>(H$36*$R$10*$D39-$R$23)/(H$36*$R$10+$R$23)</f>
        <v>3.3768539241330518E-2</v>
      </c>
      <c r="I39" s="230"/>
      <c r="J39" s="231">
        <f>(J$36*$R$10*$D39-$R$23)/(J$36*$R$10+$R$23)</f>
        <v>4.1807692194754824E-2</v>
      </c>
      <c r="L39" s="210" t="s">
        <v>303</v>
      </c>
      <c r="N39" s="214">
        <f>$D$32</f>
        <v>0.11399999999999999</v>
      </c>
      <c r="O39" s="65"/>
      <c r="P39" s="232">
        <f>P32/$W$39</f>
        <v>45.375405806169283</v>
      </c>
      <c r="Q39" s="233"/>
      <c r="R39" s="232">
        <f>R32/$W$39</f>
        <v>50.854301932647672</v>
      </c>
      <c r="S39" s="233"/>
      <c r="T39" s="234">
        <f>T32/$W$39</f>
        <v>56.333198059126076</v>
      </c>
      <c r="V39" s="137" t="s">
        <v>306</v>
      </c>
      <c r="W39" s="173">
        <f>Assumptions!N18</f>
        <v>242.1837193304288</v>
      </c>
    </row>
    <row r="41" spans="1:23" ht="13" x14ac:dyDescent="0.3">
      <c r="A41" s="39" t="str">
        <f>"DCF Analysis ("&amp;T5&amp;"):  Perpetuity Growth Method"</f>
        <v>DCF Analysis (2024-2028):  Perpetuity Growth Method</v>
      </c>
      <c r="H41" s="18"/>
      <c r="J41" s="18"/>
      <c r="L41" s="18"/>
      <c r="N41" s="18"/>
      <c r="P41" s="18"/>
      <c r="R41" s="18"/>
    </row>
    <row r="42" spans="1:23" x14ac:dyDescent="0.25">
      <c r="H42" s="206"/>
    </row>
    <row r="43" spans="1:23" ht="14.25" customHeight="1" x14ac:dyDescent="0.3">
      <c r="F43" s="19" t="s">
        <v>156</v>
      </c>
      <c r="P43" s="19" t="s">
        <v>299</v>
      </c>
    </row>
    <row r="44" spans="1:23" ht="13.5" customHeight="1" thickBot="1" x14ac:dyDescent="0.3">
      <c r="F44" s="282" t="s">
        <v>307</v>
      </c>
      <c r="G44" s="207"/>
      <c r="H44" s="207"/>
      <c r="I44" s="207"/>
      <c r="J44" s="207"/>
      <c r="P44" s="207" t="str">
        <f>F44</f>
        <v>Terminal Perpetuity Growth Rate</v>
      </c>
      <c r="Q44" s="207"/>
      <c r="R44" s="207"/>
      <c r="S44" s="207"/>
      <c r="T44" s="207"/>
    </row>
    <row r="45" spans="1:23" ht="12.75" customHeight="1" x14ac:dyDescent="0.25">
      <c r="F45" s="26">
        <v>3.2000000000000001E-2</v>
      </c>
      <c r="G45" s="126"/>
      <c r="H45" s="26">
        <v>3.39E-2</v>
      </c>
      <c r="I45" s="126"/>
      <c r="J45" s="26">
        <v>3.5999999999999997E-2</v>
      </c>
      <c r="P45" s="214">
        <f>$F$45</f>
        <v>3.2000000000000001E-2</v>
      </c>
      <c r="Q45" s="226"/>
      <c r="R45" s="214">
        <f>$H$45</f>
        <v>3.39E-2</v>
      </c>
      <c r="S45" s="226"/>
      <c r="T45" s="214">
        <f>$J$45</f>
        <v>3.5999999999999997E-2</v>
      </c>
    </row>
    <row r="46" spans="1:23" ht="12.75" customHeight="1" x14ac:dyDescent="0.25">
      <c r="B46" s="210" t="s">
        <v>301</v>
      </c>
      <c r="D46" s="214">
        <f>$D$30</f>
        <v>9.4E-2</v>
      </c>
      <c r="F46" s="235">
        <f>NPV($D46,$J$23:$P$23,$R$23+$R$23*(1+F$45)/($D46-F$45))</f>
        <v>19774.630343020795</v>
      </c>
      <c r="G46" s="212"/>
      <c r="H46" s="211">
        <f>NPV($D46,$J$23:$P$23,$R$23+$R$23*(1+H$45)/($D46-H$45))</f>
        <v>20298.740117519959</v>
      </c>
      <c r="I46" s="212"/>
      <c r="J46" s="213">
        <f>NPV($D46,$J$23:$P$23,$R$23+$R$23*(1+J$45)/($D46-J$45))</f>
        <v>20917.969633307541</v>
      </c>
      <c r="L46" s="210" t="s">
        <v>301</v>
      </c>
      <c r="N46" s="214">
        <f>$D$30</f>
        <v>9.4E-2</v>
      </c>
      <c r="P46" s="235">
        <f>F46-$W$38</f>
        <v>17133.130343020795</v>
      </c>
      <c r="Q46" s="212"/>
      <c r="R46" s="211">
        <f>H46-$W$38</f>
        <v>17657.240117519959</v>
      </c>
      <c r="S46" s="212"/>
      <c r="T46" s="213">
        <f>J46-$W$38</f>
        <v>18276.469633307541</v>
      </c>
    </row>
    <row r="47" spans="1:23" ht="12.75" customHeight="1" x14ac:dyDescent="0.25">
      <c r="B47" s="210" t="s">
        <v>302</v>
      </c>
      <c r="D47" s="214">
        <f>$D$31</f>
        <v>0.104</v>
      </c>
      <c r="F47" s="236">
        <f>NPV($D47,$J$23:$P$23,$R$23+$R$23*(1+F$45)/($D47-F$45))</f>
        <v>16883.254936617373</v>
      </c>
      <c r="G47" s="75"/>
      <c r="H47" s="16">
        <f>NPV($D47,$J$23:$P$23,$R$23+$R$23*(1+H$45)/($D47-H$45))</f>
        <v>17256.359792016217</v>
      </c>
      <c r="I47" s="75"/>
      <c r="J47" s="216">
        <f>NPV($D47,$J$23:$P$23,$R$23+$R$23*(1+J$45)/($D47-J$45))</f>
        <v>17692.996433938089</v>
      </c>
      <c r="L47" s="210" t="s">
        <v>302</v>
      </c>
      <c r="N47" s="214">
        <f>$D$31</f>
        <v>0.104</v>
      </c>
      <c r="P47" s="236">
        <f>F47-$W$38</f>
        <v>14241.754936617373</v>
      </c>
      <c r="Q47" s="75"/>
      <c r="R47" s="16">
        <f>H47-$W$38</f>
        <v>14614.859792016217</v>
      </c>
      <c r="S47" s="75"/>
      <c r="T47" s="216">
        <f>J47-$W$38</f>
        <v>15051.496433938089</v>
      </c>
    </row>
    <row r="48" spans="1:23" ht="12.75" customHeight="1" x14ac:dyDescent="0.25">
      <c r="B48" s="210" t="s">
        <v>303</v>
      </c>
      <c r="D48" s="214">
        <f>$D$32</f>
        <v>0.11399999999999999</v>
      </c>
      <c r="F48" s="237">
        <f>NPV($D48,$J$23:$P$23,$R$23+$R$23*(1+F$45)/($D48-F$45))</f>
        <v>14700.592051650126</v>
      </c>
      <c r="G48" s="218"/>
      <c r="H48" s="217">
        <f>NPV($D48,$J$23:$P$23,$R$23+$R$23*(1+H$45)/($D48-H$45))</f>
        <v>14977.140086626985</v>
      </c>
      <c r="I48" s="218"/>
      <c r="J48" s="219">
        <f>NPV($D48,$J$23:$P$23,$R$23+$R$23*(1+J$45)/($D48-J$45))</f>
        <v>15298.473228482695</v>
      </c>
      <c r="L48" s="210" t="s">
        <v>303</v>
      </c>
      <c r="N48" s="214">
        <f>$D$32</f>
        <v>0.11399999999999999</v>
      </c>
      <c r="P48" s="237">
        <f>F48-$W$38</f>
        <v>12059.092051650126</v>
      </c>
      <c r="Q48" s="218"/>
      <c r="R48" s="217">
        <f>H48-$W$38</f>
        <v>12335.640086626985</v>
      </c>
      <c r="S48" s="218"/>
      <c r="T48" s="219">
        <f>J48-$W$38</f>
        <v>12656.973228482695</v>
      </c>
    </row>
    <row r="49" spans="1:24" ht="12.75" customHeight="1" x14ac:dyDescent="0.25"/>
    <row r="50" spans="1:24" ht="12.75" customHeight="1" x14ac:dyDescent="0.3">
      <c r="F50" s="19" t="s">
        <v>308</v>
      </c>
      <c r="P50" s="19" t="s">
        <v>305</v>
      </c>
    </row>
    <row r="51" spans="1:24" ht="12.75" customHeight="1" thickBot="1" x14ac:dyDescent="0.3">
      <c r="F51" s="207" t="str">
        <f>F44</f>
        <v>Terminal Perpetuity Growth Rate</v>
      </c>
      <c r="G51" s="207"/>
      <c r="H51" s="207"/>
      <c r="I51" s="207"/>
      <c r="J51" s="207"/>
      <c r="P51" s="207" t="str">
        <f>F51</f>
        <v>Terminal Perpetuity Growth Rate</v>
      </c>
      <c r="Q51" s="207"/>
      <c r="R51" s="207"/>
      <c r="S51" s="207"/>
      <c r="T51" s="207"/>
    </row>
    <row r="52" spans="1:24" ht="12.75" customHeight="1" x14ac:dyDescent="0.25">
      <c r="F52" s="214">
        <f>$F$45</f>
        <v>3.2000000000000001E-2</v>
      </c>
      <c r="G52" s="226"/>
      <c r="H52" s="214">
        <f>$H$45</f>
        <v>3.39E-2</v>
      </c>
      <c r="I52" s="226"/>
      <c r="J52" s="214">
        <f>$J$45</f>
        <v>3.5999999999999997E-2</v>
      </c>
      <c r="P52" s="214">
        <f>$F$45</f>
        <v>3.2000000000000001E-2</v>
      </c>
      <c r="Q52" s="226"/>
      <c r="R52" s="214">
        <f>$H$45</f>
        <v>3.39E-2</v>
      </c>
      <c r="S52" s="226"/>
      <c r="T52" s="214">
        <f>$J$45</f>
        <v>3.5999999999999997E-2</v>
      </c>
    </row>
    <row r="53" spans="1:24" ht="12.75" customHeight="1" x14ac:dyDescent="0.25">
      <c r="B53" s="210" t="s">
        <v>301</v>
      </c>
      <c r="D53" s="214">
        <f>$D$30</f>
        <v>9.4E-2</v>
      </c>
      <c r="F53" s="238">
        <f>$R$23*(1+F$52)/($D53-F$52)/$R$10</f>
        <v>16.148024850252277</v>
      </c>
      <c r="G53" s="221"/>
      <c r="H53" s="239">
        <f>$R$23*(1+H$52)/($D53-H$52)/$R$10</f>
        <v>16.689197902492957</v>
      </c>
      <c r="I53" s="240"/>
      <c r="J53" s="241">
        <f>$R$23*(1+J$52)/($D53-J$52)/$R$10</f>
        <v>17.328587479641211</v>
      </c>
      <c r="L53" s="210" t="s">
        <v>301</v>
      </c>
      <c r="N53" s="214">
        <f>$D$30</f>
        <v>9.4E-2</v>
      </c>
      <c r="P53" s="242">
        <f>P46/$W$39</f>
        <v>70.744352223135294</v>
      </c>
      <c r="Q53" s="224"/>
      <c r="R53" s="223">
        <f>R46/$W$39</f>
        <v>72.908452171505829</v>
      </c>
      <c r="S53" s="224"/>
      <c r="T53" s="225">
        <f>T46/$W$39</f>
        <v>75.465310731195885</v>
      </c>
      <c r="X53" s="243"/>
    </row>
    <row r="54" spans="1:24" ht="12.75" customHeight="1" x14ac:dyDescent="0.25">
      <c r="B54" s="210" t="s">
        <v>302</v>
      </c>
      <c r="D54" s="214">
        <f>$D$31</f>
        <v>0.104</v>
      </c>
      <c r="F54" s="244">
        <f>$R$23*(1+F$52)/($D54-F$52)/$R$10</f>
        <v>13.905243621050571</v>
      </c>
      <c r="G54" s="126"/>
      <c r="H54" s="209">
        <f>$R$23*(1+H$52)/($D54-H$52)/$R$10</f>
        <v>14.308427873606659</v>
      </c>
      <c r="I54" s="126"/>
      <c r="J54" s="245">
        <f>$R$23*(1+J$52)/($D54-J$52)/$R$10</f>
        <v>14.78026579145868</v>
      </c>
      <c r="L54" s="210" t="s">
        <v>302</v>
      </c>
      <c r="N54" s="214">
        <f>$D$31</f>
        <v>0.104</v>
      </c>
      <c r="P54" s="246">
        <f>P47/$W$39</f>
        <v>58.805583529693486</v>
      </c>
      <c r="Q54" s="24"/>
      <c r="R54" s="32">
        <f>R47/$W$39</f>
        <v>60.346169562604267</v>
      </c>
      <c r="S54" s="24"/>
      <c r="T54" s="228">
        <f>T47/$W$39</f>
        <v>62.149084486567993</v>
      </c>
      <c r="X54" s="243"/>
    </row>
    <row r="55" spans="1:24" ht="12.75" customHeight="1" x14ac:dyDescent="0.25">
      <c r="B55" s="210" t="s">
        <v>303</v>
      </c>
      <c r="D55" s="214">
        <f>$D$32</f>
        <v>0.11399999999999999</v>
      </c>
      <c r="F55" s="247">
        <f>$R$23*(1+F$52)/($D55-F$52)/$R$10</f>
        <v>12.209482203849282</v>
      </c>
      <c r="G55" s="248"/>
      <c r="H55" s="249">
        <f>$R$23*(1+H$52)/($D55-H$52)/$R$10</f>
        <v>12.522107290135168</v>
      </c>
      <c r="I55" s="248"/>
      <c r="J55" s="250">
        <f>$R$23*(1+J$52)/($D55-J$52)/$R$10</f>
        <v>12.885359920758852</v>
      </c>
      <c r="L55" s="210" t="s">
        <v>303</v>
      </c>
      <c r="N55" s="214">
        <f>$D$32</f>
        <v>0.11399999999999999</v>
      </c>
      <c r="P55" s="251">
        <f>P48/$W$39</f>
        <v>49.793157380645532</v>
      </c>
      <c r="Q55" s="233"/>
      <c r="R55" s="232">
        <f>R48/$W$39</f>
        <v>50.935050963506662</v>
      </c>
      <c r="S55" s="233"/>
      <c r="T55" s="234">
        <f>T48/$W$39</f>
        <v>52.261866584078135</v>
      </c>
      <c r="X55" s="243"/>
    </row>
    <row r="56" spans="1:24" ht="12.75" customHeight="1" x14ac:dyDescent="0.25"/>
    <row r="57" spans="1:24" ht="12.75" customHeight="1" x14ac:dyDescent="0.3">
      <c r="A57" s="52" t="str">
        <f>"(1)  Assumes net debt of "&amp;TEXT(W38,"$0.0")&amp;"mm as of 5/16/08."</f>
        <v>(1)  Assumes net debt of $2641.5mm as of 5/16/08.</v>
      </c>
    </row>
    <row r="58" spans="1:24" ht="12.75" customHeight="1" x14ac:dyDescent="0.3">
      <c r="A58" s="52" t="str">
        <f>"(2)  Assumes outstanding diluted shares of "&amp;TEXT(W39,"0.000")&amp;" million."</f>
        <v>(2)  Assumes outstanding diluted shares of 242.184 million.</v>
      </c>
    </row>
    <row r="61" spans="1:24" ht="15.5" x14ac:dyDescent="0.35">
      <c r="B61" s="318" t="s">
        <v>332</v>
      </c>
    </row>
    <row r="63" spans="1:24" ht="13" x14ac:dyDescent="0.3">
      <c r="F63" s="19" t="s">
        <v>328</v>
      </c>
    </row>
    <row r="64" spans="1:24" ht="13" thickBot="1" x14ac:dyDescent="0.3">
      <c r="F64" s="321" t="s">
        <v>329</v>
      </c>
      <c r="G64" s="207"/>
      <c r="H64" s="207"/>
      <c r="I64" s="207"/>
      <c r="J64" s="207"/>
    </row>
    <row r="65" spans="2:12" x14ac:dyDescent="0.25">
      <c r="C65" s="319"/>
      <c r="E65" s="322">
        <f>G65-2%</f>
        <v>0.25700000000000001</v>
      </c>
      <c r="F65" s="323">
        <f>H65-2%</f>
        <v>0.25700000000000001</v>
      </c>
      <c r="G65" s="320">
        <v>0.27700000000000002</v>
      </c>
      <c r="H65" s="26">
        <v>0.27700000000000002</v>
      </c>
      <c r="I65" s="322">
        <f>G65+2%</f>
        <v>0.29700000000000004</v>
      </c>
      <c r="J65" s="323">
        <f>H65+2%</f>
        <v>0.29700000000000004</v>
      </c>
    </row>
    <row r="66" spans="2:12" x14ac:dyDescent="0.25">
      <c r="B66" s="319" t="s">
        <v>330</v>
      </c>
      <c r="C66" s="319"/>
      <c r="D66" s="334">
        <v>0.14399999999999999</v>
      </c>
      <c r="E66" s="235"/>
      <c r="F66" s="324">
        <v>0.50800000000000001</v>
      </c>
      <c r="G66" s="325"/>
      <c r="H66" s="324">
        <v>0.46700000000000003</v>
      </c>
      <c r="I66" s="325"/>
      <c r="J66" s="330">
        <v>0.42699999999999999</v>
      </c>
      <c r="K66" s="60"/>
      <c r="L66" s="61"/>
    </row>
    <row r="67" spans="2:12" x14ac:dyDescent="0.25">
      <c r="B67" s="319" t="s">
        <v>327</v>
      </c>
      <c r="C67" s="319"/>
      <c r="D67" s="26">
        <v>0.16400000000000001</v>
      </c>
      <c r="E67" s="236"/>
      <c r="F67" s="326">
        <v>0.50800000000000001</v>
      </c>
      <c r="G67" s="327"/>
      <c r="H67" s="326">
        <v>0.46700000000000003</v>
      </c>
      <c r="I67" s="327"/>
      <c r="J67" s="332">
        <v>0.42699999999999999</v>
      </c>
      <c r="L67" s="65"/>
    </row>
    <row r="68" spans="2:12" x14ac:dyDescent="0.25">
      <c r="B68" s="319" t="s">
        <v>77</v>
      </c>
      <c r="D68" s="335">
        <v>0.184</v>
      </c>
      <c r="E68" s="237"/>
      <c r="F68" s="328">
        <v>0.50800000000000001</v>
      </c>
      <c r="G68" s="329"/>
      <c r="H68" s="328">
        <v>0.46700000000000003</v>
      </c>
      <c r="I68" s="329"/>
      <c r="J68" s="333">
        <v>0.42699999999999999</v>
      </c>
      <c r="K68" s="67"/>
      <c r="L68" s="68"/>
    </row>
    <row r="69" spans="2:12" x14ac:dyDescent="0.25">
      <c r="B69" s="319"/>
      <c r="D69" s="286"/>
      <c r="E69" s="16"/>
      <c r="F69" s="326"/>
      <c r="G69" s="327"/>
      <c r="H69" s="326"/>
      <c r="I69" s="327"/>
      <c r="J69" s="332"/>
    </row>
    <row r="70" spans="2:12" ht="13" x14ac:dyDescent="0.3">
      <c r="E70" s="19" t="s">
        <v>331</v>
      </c>
    </row>
    <row r="71" spans="2:12" ht="13" thickBot="1" x14ac:dyDescent="0.3">
      <c r="F71" s="321" t="s">
        <v>329</v>
      </c>
      <c r="G71" s="207"/>
      <c r="H71" s="207"/>
      <c r="I71" s="207"/>
      <c r="J71" s="207"/>
    </row>
    <row r="72" spans="2:12" x14ac:dyDescent="0.25">
      <c r="F72" s="323">
        <f>H72-2%</f>
        <v>0.25700000000000001</v>
      </c>
      <c r="G72" s="320">
        <v>0.27700000000000002</v>
      </c>
      <c r="H72" s="26">
        <v>0.27700000000000002</v>
      </c>
      <c r="I72" s="322">
        <f>G72+2%</f>
        <v>0.29700000000000004</v>
      </c>
      <c r="J72" s="323">
        <f>H72+2%</f>
        <v>0.29700000000000004</v>
      </c>
    </row>
    <row r="73" spans="2:12" x14ac:dyDescent="0.25">
      <c r="B73" s="319" t="s">
        <v>330</v>
      </c>
      <c r="C73" s="319"/>
      <c r="D73" s="334">
        <v>0.14399999999999999</v>
      </c>
      <c r="E73" s="336"/>
      <c r="F73" s="340">
        <v>74.3</v>
      </c>
      <c r="G73" s="340">
        <v>74.3</v>
      </c>
      <c r="H73" s="340">
        <v>74.3</v>
      </c>
      <c r="I73" s="340">
        <v>74.3</v>
      </c>
      <c r="J73" s="340">
        <v>74.3</v>
      </c>
      <c r="K73" s="340"/>
      <c r="L73" s="341"/>
    </row>
    <row r="74" spans="2:12" x14ac:dyDescent="0.25">
      <c r="B74" s="319" t="s">
        <v>327</v>
      </c>
      <c r="C74" s="319"/>
      <c r="D74" s="26">
        <v>0.16400000000000001</v>
      </c>
      <c r="E74" s="337"/>
      <c r="F74" s="339">
        <v>72.91</v>
      </c>
      <c r="G74" s="339">
        <v>72.91</v>
      </c>
      <c r="H74" s="339">
        <v>72.91</v>
      </c>
      <c r="I74" s="339">
        <v>72.91</v>
      </c>
      <c r="J74" s="339">
        <v>72.91</v>
      </c>
      <c r="K74" s="339"/>
      <c r="L74" s="342"/>
    </row>
    <row r="75" spans="2:12" x14ac:dyDescent="0.25">
      <c r="B75" s="319" t="s">
        <v>77</v>
      </c>
      <c r="D75" s="286">
        <v>0.184</v>
      </c>
      <c r="E75" s="338"/>
      <c r="F75" s="343">
        <v>71.45</v>
      </c>
      <c r="G75" s="343">
        <v>71.45</v>
      </c>
      <c r="H75" s="343">
        <v>71.45</v>
      </c>
      <c r="I75" s="343">
        <v>71.45</v>
      </c>
      <c r="J75" s="343">
        <v>71.45</v>
      </c>
      <c r="K75" s="343"/>
      <c r="L75" s="344"/>
    </row>
  </sheetData>
  <phoneticPr fontId="12" type="noConversion"/>
  <pageMargins left="0.75" right="0.75" top="1" bottom="1" header="0.5" footer="0.5"/>
  <headerFooter alignWithMargins="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53"/>
  <sheetViews>
    <sheetView showGridLines="0" zoomScale="89" workbookViewId="0">
      <selection activeCell="AF59" sqref="AF59"/>
    </sheetView>
  </sheetViews>
  <sheetFormatPr defaultColWidth="8.81640625" defaultRowHeight="12.5" x14ac:dyDescent="0.25"/>
  <cols>
    <col min="1" max="2" width="1.6328125" customWidth="1"/>
    <col min="3" max="6" width="8.6328125" customWidth="1"/>
    <col min="7" max="7" width="10.6328125" customWidth="1"/>
    <col min="8" max="8" width="1.6328125" customWidth="1"/>
    <col min="9" max="9" width="9.81640625" customWidth="1"/>
    <col min="10" max="10" width="1.81640625" customWidth="1"/>
    <col min="11" max="11" width="9.81640625" customWidth="1"/>
    <col min="12" max="12" width="1.81640625" customWidth="1"/>
    <col min="13" max="13" width="9.81640625" customWidth="1"/>
    <col min="14" max="14" width="1.81640625" customWidth="1"/>
    <col min="15" max="15" width="9.81640625" customWidth="1"/>
    <col min="16" max="16" width="1.81640625" customWidth="1"/>
    <col min="17" max="17" width="9.81640625" customWidth="1"/>
    <col min="18" max="18" width="1.81640625" customWidth="1"/>
    <col min="19" max="19" width="9.81640625" customWidth="1"/>
    <col min="20" max="20" width="1.81640625" customWidth="1"/>
    <col min="21" max="21" width="9.81640625" customWidth="1"/>
    <col min="22" max="23" width="1.81640625" customWidth="1"/>
    <col min="24" max="24" width="9.81640625" customWidth="1"/>
    <col min="25" max="25" width="1.81640625" customWidth="1"/>
    <col min="26" max="26" width="9.81640625" customWidth="1"/>
    <col min="27" max="27" width="1.81640625" customWidth="1"/>
    <col min="28" max="28" width="9.81640625" customWidth="1"/>
    <col min="29" max="29" width="1.81640625" customWidth="1"/>
    <col min="30" max="30" width="9.81640625" customWidth="1"/>
    <col min="31" max="31" width="1.81640625" customWidth="1"/>
    <col min="32" max="32" width="9.81640625" customWidth="1"/>
    <col min="33" max="33" width="1.81640625" customWidth="1"/>
    <col min="34" max="34" width="9.81640625" customWidth="1"/>
    <col min="35" max="35" width="1.81640625" customWidth="1"/>
    <col min="36" max="36" width="9.81640625" customWidth="1"/>
    <col min="37" max="38" width="1.81640625" customWidth="1"/>
    <col min="39" max="39" width="9.81640625" customWidth="1"/>
    <col min="40" max="40" width="1.81640625" customWidth="1"/>
    <col min="41" max="41" width="9.81640625" customWidth="1"/>
    <col min="42" max="42" width="1.81640625" customWidth="1"/>
    <col min="43" max="43" width="9.81640625" customWidth="1"/>
    <col min="44" max="44" width="1.81640625" customWidth="1"/>
    <col min="45" max="45" width="9.81640625" customWidth="1"/>
    <col min="46" max="46" width="1.81640625" customWidth="1"/>
    <col min="47" max="47" width="9.81640625" customWidth="1"/>
    <col min="48" max="48" width="1.81640625" customWidth="1"/>
    <col min="49" max="49" width="9.81640625" customWidth="1"/>
    <col min="50" max="50" width="1.81640625" customWidth="1"/>
    <col min="51" max="51" width="9.81640625" customWidth="1"/>
  </cols>
  <sheetData>
    <row r="1" spans="1:51" ht="24" customHeight="1" thickBot="1" x14ac:dyDescent="0.5">
      <c r="A1" s="1" t="s">
        <v>265</v>
      </c>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row>
    <row r="2" spans="1:51" ht="13" x14ac:dyDescent="0.3">
      <c r="A2" s="90" t="s">
        <v>1</v>
      </c>
      <c r="B2" s="90"/>
    </row>
    <row r="4" spans="1:51" ht="13" x14ac:dyDescent="0.3">
      <c r="G4" s="82" t="s">
        <v>266</v>
      </c>
      <c r="I4" s="4" t="s">
        <v>267</v>
      </c>
      <c r="J4" s="132"/>
      <c r="K4" s="132"/>
      <c r="L4" s="132"/>
      <c r="M4" s="132"/>
      <c r="N4" s="132"/>
      <c r="O4" s="132"/>
      <c r="P4" s="132"/>
      <c r="Q4" s="132"/>
      <c r="R4" s="132"/>
      <c r="S4" s="132"/>
      <c r="T4" s="132"/>
      <c r="U4" s="132"/>
      <c r="W4" s="78"/>
      <c r="X4" s="4" t="str">
        <f>IF(OR(pct_cash=0,pct_cash=1),TEXT(0.5,"0.0%")&amp;" Stock / "&amp;TEXT(0.5,"0.0%")&amp;" Cash",TEXT((1-pct_cash),"0.0%")&amp;" Stock / "&amp;TEXT(pct_cash,"0.0%")&amp;" Cash")</f>
        <v>33.0% Stock / 67.0% Cash</v>
      </c>
      <c r="Y4" s="5"/>
      <c r="Z4" s="5"/>
      <c r="AA4" s="5"/>
      <c r="AB4" s="5"/>
      <c r="AC4" s="5"/>
      <c r="AD4" s="5"/>
      <c r="AE4" s="5"/>
      <c r="AF4" s="5"/>
      <c r="AG4" s="5"/>
      <c r="AH4" s="5"/>
      <c r="AI4" s="5"/>
      <c r="AJ4" s="5"/>
      <c r="AK4" s="137"/>
      <c r="AL4" s="137"/>
      <c r="AM4" s="4" t="s">
        <v>285</v>
      </c>
      <c r="AN4" s="132"/>
      <c r="AO4" s="132"/>
      <c r="AP4" s="132"/>
      <c r="AQ4" s="132"/>
      <c r="AR4" s="132"/>
      <c r="AS4" s="132"/>
      <c r="AT4" s="132"/>
      <c r="AU4" s="132"/>
      <c r="AV4" s="132"/>
      <c r="AW4" s="132"/>
      <c r="AX4" s="132"/>
      <c r="AY4" s="132"/>
    </row>
    <row r="5" spans="1:51" ht="13.5" customHeight="1" thickBot="1" x14ac:dyDescent="0.35">
      <c r="G5" s="119" t="str">
        <f>acq</f>
        <v>Bath &amp; Body Works, Inc.</v>
      </c>
    </row>
    <row r="6" spans="1:51" ht="13" x14ac:dyDescent="0.3">
      <c r="A6" t="s">
        <v>248</v>
      </c>
      <c r="G6" s="82"/>
      <c r="I6" s="169">
        <f>PPR!I5</f>
        <v>40</v>
      </c>
      <c r="J6" s="22"/>
      <c r="K6" s="169">
        <f>PPR!K5</f>
        <v>45.8</v>
      </c>
      <c r="L6" s="22"/>
      <c r="M6" s="169">
        <f>PPR!M5</f>
        <v>51.45</v>
      </c>
      <c r="N6" s="22"/>
      <c r="O6" s="169">
        <f>PPR!O5</f>
        <v>57.13</v>
      </c>
      <c r="P6" s="22"/>
      <c r="Q6" s="169">
        <f>PPR!Q5</f>
        <v>62.8</v>
      </c>
      <c r="R6" s="22"/>
      <c r="S6" s="169">
        <f>PPR!S5</f>
        <v>68.47</v>
      </c>
      <c r="T6" s="22"/>
      <c r="U6" s="169">
        <f>PPR!U5</f>
        <v>74.14</v>
      </c>
      <c r="V6" s="180"/>
      <c r="X6" s="181">
        <f>I6</f>
        <v>40</v>
      </c>
      <c r="Y6" s="22"/>
      <c r="Z6" s="181">
        <f>K6</f>
        <v>45.8</v>
      </c>
      <c r="AA6" s="22"/>
      <c r="AB6" s="181">
        <f>M6</f>
        <v>51.45</v>
      </c>
      <c r="AC6" s="22"/>
      <c r="AD6" s="181">
        <f>O6</f>
        <v>57.13</v>
      </c>
      <c r="AE6" s="22"/>
      <c r="AF6" s="181">
        <f>Q6</f>
        <v>62.8</v>
      </c>
      <c r="AG6" s="22"/>
      <c r="AH6" s="181">
        <f>S6</f>
        <v>68.47</v>
      </c>
      <c r="AI6" s="22"/>
      <c r="AJ6" s="181">
        <f>U6</f>
        <v>74.14</v>
      </c>
      <c r="AK6" s="180"/>
      <c r="AM6" s="181">
        <f>X6</f>
        <v>40</v>
      </c>
      <c r="AN6" s="22"/>
      <c r="AO6" s="181">
        <f>Z6</f>
        <v>45.8</v>
      </c>
      <c r="AP6" s="22"/>
      <c r="AQ6" s="181">
        <f>AB6</f>
        <v>51.45</v>
      </c>
      <c r="AR6" s="22"/>
      <c r="AS6" s="181">
        <f>AD6</f>
        <v>57.13</v>
      </c>
      <c r="AT6" s="22"/>
      <c r="AU6" s="181">
        <f>AF6</f>
        <v>62.8</v>
      </c>
      <c r="AV6" s="22"/>
      <c r="AW6" s="181">
        <f>AH6</f>
        <v>68.47</v>
      </c>
      <c r="AX6" s="22"/>
      <c r="AY6" s="181">
        <f>AJ6</f>
        <v>74.14</v>
      </c>
    </row>
    <row r="7" spans="1:51" ht="13.5" customHeight="1" thickBot="1" x14ac:dyDescent="0.35">
      <c r="A7" s="19" t="s">
        <v>268</v>
      </c>
      <c r="B7" s="19"/>
      <c r="G7" s="153">
        <f>Assumptions!J20</f>
        <v>8035.6100000000006</v>
      </c>
      <c r="I7" s="170">
        <f>PPR!I11</f>
        <v>9654.7999999999993</v>
      </c>
      <c r="K7" s="170">
        <f>PPR!K11</f>
        <v>11111.759999999998</v>
      </c>
      <c r="M7" s="170">
        <f>PPR!M11</f>
        <v>12531.039999999999</v>
      </c>
      <c r="O7" s="170">
        <f>PPR!O11</f>
        <v>13957.856</v>
      </c>
      <c r="Q7" s="170">
        <f>PPR!Q11</f>
        <v>15382.159999999998</v>
      </c>
      <c r="S7" s="170">
        <f>PPR!S11</f>
        <v>16806.464</v>
      </c>
      <c r="U7" s="170">
        <f>PPR!U11</f>
        <v>18230.768</v>
      </c>
      <c r="V7" s="180"/>
      <c r="X7" s="182">
        <f>I7</f>
        <v>9654.7999999999993</v>
      </c>
      <c r="Z7" s="182">
        <f>K7</f>
        <v>11111.759999999998</v>
      </c>
      <c r="AB7" s="182">
        <f>M7</f>
        <v>12531.039999999999</v>
      </c>
      <c r="AD7" s="182">
        <f>O7</f>
        <v>13957.856</v>
      </c>
      <c r="AF7" s="182">
        <f>Q7</f>
        <v>15382.159999999998</v>
      </c>
      <c r="AH7" s="182">
        <f>S7</f>
        <v>16806.464</v>
      </c>
      <c r="AJ7" s="182">
        <f>U7</f>
        <v>18230.768</v>
      </c>
      <c r="AK7" s="190"/>
      <c r="AL7" s="105"/>
      <c r="AM7" s="182">
        <f>X7</f>
        <v>9654.7999999999993</v>
      </c>
      <c r="AO7" s="182">
        <f>Z7</f>
        <v>11111.759999999998</v>
      </c>
      <c r="AQ7" s="182">
        <f>AB7</f>
        <v>12531.039999999999</v>
      </c>
      <c r="AS7" s="182">
        <f>AD7</f>
        <v>13957.856</v>
      </c>
      <c r="AU7" s="182">
        <f>AF7</f>
        <v>15382.159999999998</v>
      </c>
      <c r="AW7" s="182">
        <f>AH7</f>
        <v>16806.464</v>
      </c>
      <c r="AY7" s="182">
        <f>AJ7</f>
        <v>18230.768</v>
      </c>
    </row>
    <row r="8" spans="1:51" ht="5" customHeight="1" x14ac:dyDescent="0.25">
      <c r="V8" s="180"/>
      <c r="X8" s="69"/>
      <c r="Z8" s="69"/>
      <c r="AB8" s="69"/>
      <c r="AD8" s="69"/>
      <c r="AF8" s="69"/>
      <c r="AH8" s="69"/>
      <c r="AJ8" s="69"/>
      <c r="AK8" s="180"/>
      <c r="AM8" s="69"/>
      <c r="AO8" s="69"/>
      <c r="AQ8" s="69"/>
      <c r="AS8" s="69"/>
      <c r="AU8" s="69"/>
      <c r="AW8" s="69"/>
      <c r="AY8" s="69"/>
    </row>
    <row r="9" spans="1:51" ht="13" x14ac:dyDescent="0.3">
      <c r="A9" s="39" t="s">
        <v>269</v>
      </c>
      <c r="B9" s="39"/>
      <c r="V9" s="180"/>
      <c r="X9" s="69"/>
      <c r="Z9" s="69"/>
      <c r="AB9" s="69"/>
      <c r="AD9" s="69"/>
      <c r="AF9" s="69"/>
      <c r="AH9" s="69"/>
      <c r="AJ9" s="69"/>
      <c r="AK9" s="180"/>
      <c r="AM9" s="69"/>
      <c r="AO9" s="69"/>
      <c r="AQ9" s="69"/>
      <c r="AS9" s="69"/>
      <c r="AU9" s="69"/>
      <c r="AW9" s="69"/>
      <c r="AY9" s="69"/>
    </row>
    <row r="10" spans="1:51" x14ac:dyDescent="0.25">
      <c r="B10" s="100" t="str">
        <f>PPR!B27</f>
        <v>FY 2024P Revenue</v>
      </c>
      <c r="G10" s="171">
        <f>PPR!W27</f>
        <v>1.7321619594989983</v>
      </c>
      <c r="I10" s="171">
        <f>PPR!I27</f>
        <v>1.3619012743667789</v>
      </c>
      <c r="K10" s="171">
        <f>PPR!K27</f>
        <v>1.575312728885601</v>
      </c>
      <c r="M10" s="171">
        <f>PPR!M27</f>
        <v>1.7832049216496262</v>
      </c>
      <c r="O10" s="171">
        <f>PPR!O27</f>
        <v>1.992200966764611</v>
      </c>
      <c r="Q10" s="171">
        <f>PPR!Q27</f>
        <v>2.2008290610959422</v>
      </c>
      <c r="S10" s="171">
        <f>PPR!S27</f>
        <v>2.4094571554272739</v>
      </c>
      <c r="U10" s="171">
        <f>PPR!U27</f>
        <v>2.6180852497586056</v>
      </c>
      <c r="V10" s="180"/>
      <c r="X10" s="183">
        <f>I10</f>
        <v>1.3619012743667789</v>
      </c>
      <c r="Z10" s="183">
        <f>K10</f>
        <v>1.575312728885601</v>
      </c>
      <c r="AB10" s="183">
        <f>M10</f>
        <v>1.7832049216496262</v>
      </c>
      <c r="AD10" s="183">
        <f>O10</f>
        <v>1.992200966764611</v>
      </c>
      <c r="AF10" s="183">
        <f>Q10</f>
        <v>2.2008290610959422</v>
      </c>
      <c r="AH10" s="183">
        <f>S10</f>
        <v>2.4094571554272739</v>
      </c>
      <c r="AJ10" s="183">
        <f>U10</f>
        <v>2.6180852497586056</v>
      </c>
      <c r="AK10" s="191"/>
      <c r="AL10" s="171"/>
      <c r="AM10" s="183">
        <f>X10</f>
        <v>1.3619012743667789</v>
      </c>
      <c r="AO10" s="183">
        <f>Z10</f>
        <v>1.575312728885601</v>
      </c>
      <c r="AQ10" s="183">
        <f>AB10</f>
        <v>1.7832049216496262</v>
      </c>
      <c r="AS10" s="183">
        <f>AD10</f>
        <v>1.992200966764611</v>
      </c>
      <c r="AU10" s="183">
        <f>AF10</f>
        <v>2.2008290610959422</v>
      </c>
      <c r="AW10" s="183">
        <f>AH10</f>
        <v>2.4094571554272739</v>
      </c>
      <c r="AY10" s="183">
        <f>AJ10</f>
        <v>2.6180852497586056</v>
      </c>
    </row>
    <row r="11" spans="1:51" x14ac:dyDescent="0.25">
      <c r="B11" s="100" t="str">
        <f>PPR!B28</f>
        <v>FY 2025P Revenue</v>
      </c>
      <c r="G11" s="171">
        <f>PPR!W28</f>
        <v>1.6617831667328893</v>
      </c>
      <c r="I11" s="171">
        <f>PPR!I28</f>
        <v>1.2977458301489286</v>
      </c>
      <c r="K11" s="171">
        <f>PPR!K28</f>
        <v>1.5011040547284524</v>
      </c>
      <c r="M11" s="171">
        <f>PPR!M28</f>
        <v>1.6992030148791959</v>
      </c>
      <c r="O11" s="171">
        <f>PPR!O28</f>
        <v>1.8983538279156953</v>
      </c>
      <c r="Q11" s="171">
        <f>PPR!Q28</f>
        <v>2.097154023323609</v>
      </c>
      <c r="S11" s="171">
        <f>PPR!S28</f>
        <v>2.2959542187315236</v>
      </c>
      <c r="U11" s="171">
        <f>PPR!U28</f>
        <v>2.4947544141394373</v>
      </c>
      <c r="V11" s="180"/>
      <c r="X11" s="183">
        <f>I11</f>
        <v>1.2977458301489286</v>
      </c>
      <c r="Z11" s="183">
        <f>K11</f>
        <v>1.5011040547284524</v>
      </c>
      <c r="AB11" s="183">
        <f>M11</f>
        <v>1.6992030148791959</v>
      </c>
      <c r="AD11" s="183">
        <f>O11</f>
        <v>1.8983538279156953</v>
      </c>
      <c r="AF11" s="183">
        <f>Q11</f>
        <v>2.097154023323609</v>
      </c>
      <c r="AH11" s="183">
        <f>S11</f>
        <v>2.2959542187315236</v>
      </c>
      <c r="AJ11" s="183">
        <f>U11</f>
        <v>2.4947544141394373</v>
      </c>
      <c r="AK11" s="191"/>
      <c r="AL11" s="171"/>
      <c r="AM11" s="183">
        <f>X11</f>
        <v>1.2977458301489286</v>
      </c>
      <c r="AO11" s="183">
        <f>Z11</f>
        <v>1.5011040547284524</v>
      </c>
      <c r="AQ11" s="183">
        <f>AB11</f>
        <v>1.6992030148791959</v>
      </c>
      <c r="AS11" s="183">
        <f>AD11</f>
        <v>1.8983538279156953</v>
      </c>
      <c r="AU11" s="183">
        <f>AF11</f>
        <v>2.097154023323609</v>
      </c>
      <c r="AW11" s="183">
        <f>AH11</f>
        <v>2.2959542187315236</v>
      </c>
      <c r="AY11" s="183">
        <f>AJ11</f>
        <v>2.4947544141394373</v>
      </c>
    </row>
    <row r="12" spans="1:51" ht="5" customHeight="1" x14ac:dyDescent="0.25">
      <c r="V12" s="180"/>
      <c r="X12" s="69"/>
      <c r="Z12" s="69"/>
      <c r="AB12" s="69"/>
      <c r="AD12" s="69"/>
      <c r="AF12" s="69"/>
      <c r="AH12" s="69"/>
      <c r="AJ12" s="69"/>
      <c r="AK12" s="180"/>
      <c r="AM12" s="69"/>
      <c r="AO12" s="69"/>
      <c r="AQ12" s="69"/>
      <c r="AS12" s="69"/>
      <c r="AU12" s="69"/>
      <c r="AW12" s="69"/>
      <c r="AY12" s="69"/>
    </row>
    <row r="13" spans="1:51" x14ac:dyDescent="0.25">
      <c r="B13" s="100" t="str">
        <f>PPR!B31</f>
        <v>FY 2024P EBITDA</v>
      </c>
      <c r="G13" s="172">
        <f>PPR!W31</f>
        <v>9.5192601078193846</v>
      </c>
      <c r="I13" s="172">
        <f>PPR!I31</f>
        <v>9.7000584235091587</v>
      </c>
      <c r="K13" s="172">
        <f>PPR!K31</f>
        <v>11.220068438949628</v>
      </c>
      <c r="M13" s="172">
        <f>PPR!M31</f>
        <v>12.700767850542501</v>
      </c>
      <c r="O13" s="172">
        <f>PPR!O31</f>
        <v>14.189329382904894</v>
      </c>
      <c r="Q13" s="172">
        <f>PPR!Q31</f>
        <v>15.675270208344111</v>
      </c>
      <c r="S13" s="172">
        <f>PPR!S31</f>
        <v>17.161211033783331</v>
      </c>
      <c r="U13" s="172">
        <f>PPR!U31</f>
        <v>18.64715185922255</v>
      </c>
      <c r="V13" s="180"/>
      <c r="X13" s="184">
        <f>I13</f>
        <v>9.7000584235091587</v>
      </c>
      <c r="Z13" s="184">
        <f>K13</f>
        <v>11.220068438949628</v>
      </c>
      <c r="AB13" s="184">
        <f>M13</f>
        <v>12.700767850542501</v>
      </c>
      <c r="AD13" s="184">
        <f>O13</f>
        <v>14.189329382904894</v>
      </c>
      <c r="AF13" s="184">
        <f>Q13</f>
        <v>15.675270208344111</v>
      </c>
      <c r="AH13" s="184">
        <f>S13</f>
        <v>17.161211033783331</v>
      </c>
      <c r="AJ13" s="184">
        <f>U13</f>
        <v>18.64715185922255</v>
      </c>
      <c r="AK13" s="192"/>
      <c r="AL13" s="172"/>
      <c r="AM13" s="184">
        <f>X13</f>
        <v>9.7000584235091587</v>
      </c>
      <c r="AO13" s="184">
        <f>Z13</f>
        <v>11.220068438949628</v>
      </c>
      <c r="AQ13" s="184">
        <f>AB13</f>
        <v>12.700767850542501</v>
      </c>
      <c r="AS13" s="184">
        <f>AD13</f>
        <v>14.189329382904894</v>
      </c>
      <c r="AU13" s="184">
        <f>AF13</f>
        <v>15.675270208344111</v>
      </c>
      <c r="AW13" s="184">
        <f>AH13</f>
        <v>17.161211033783331</v>
      </c>
      <c r="AY13" s="184">
        <f>AJ13</f>
        <v>18.64715185922255</v>
      </c>
    </row>
    <row r="14" spans="1:51" x14ac:dyDescent="0.25">
      <c r="B14" s="100" t="str">
        <f>PPR!B32</f>
        <v>FY 2025P EBITDA</v>
      </c>
      <c r="G14" s="172">
        <f>PPR!W32</f>
        <v>8.515751899408869</v>
      </c>
      <c r="I14" s="172">
        <f>PPR!I32</f>
        <v>8.1032769741171329</v>
      </c>
      <c r="K14" s="172">
        <f>PPR!K32</f>
        <v>9.3730695486334294</v>
      </c>
      <c r="M14" s="172">
        <f>PPR!M32</f>
        <v>10.610022660015686</v>
      </c>
      <c r="O14" s="172">
        <f>PPR!O32</f>
        <v>11.85354366402475</v>
      </c>
      <c r="Q14" s="172">
        <f>PPR!Q32</f>
        <v>13.094875370491543</v>
      </c>
      <c r="S14" s="172">
        <f>PPR!S32</f>
        <v>14.336207076958338</v>
      </c>
      <c r="U14" s="172">
        <f>PPR!U32</f>
        <v>15.577538783425133</v>
      </c>
      <c r="V14" s="180"/>
      <c r="X14" s="184">
        <f>I14</f>
        <v>8.1032769741171329</v>
      </c>
      <c r="Z14" s="184">
        <f>K14</f>
        <v>9.3730695486334294</v>
      </c>
      <c r="AB14" s="184">
        <f>M14</f>
        <v>10.610022660015686</v>
      </c>
      <c r="AD14" s="184">
        <f>O14</f>
        <v>11.85354366402475</v>
      </c>
      <c r="AF14" s="184">
        <f>Q14</f>
        <v>13.094875370491543</v>
      </c>
      <c r="AH14" s="184">
        <f>S14</f>
        <v>14.336207076958338</v>
      </c>
      <c r="AJ14" s="184">
        <f>U14</f>
        <v>15.577538783425133</v>
      </c>
      <c r="AK14" s="192"/>
      <c r="AL14" s="172"/>
      <c r="AM14" s="184">
        <f>X14</f>
        <v>8.1032769741171329</v>
      </c>
      <c r="AO14" s="184">
        <f>Z14</f>
        <v>9.3730695486334294</v>
      </c>
      <c r="AQ14" s="184">
        <f>AB14</f>
        <v>10.610022660015686</v>
      </c>
      <c r="AS14" s="184">
        <f>AD14</f>
        <v>11.85354366402475</v>
      </c>
      <c r="AU14" s="184">
        <f>AF14</f>
        <v>13.094875370491543</v>
      </c>
      <c r="AW14" s="184">
        <f>AH14</f>
        <v>14.336207076958338</v>
      </c>
      <c r="AY14" s="184">
        <f>AJ14</f>
        <v>15.577538783425133</v>
      </c>
    </row>
    <row r="15" spans="1:51" ht="5" customHeight="1" x14ac:dyDescent="0.25">
      <c r="V15" s="180"/>
      <c r="X15" s="69"/>
      <c r="Z15" s="69"/>
      <c r="AB15" s="69"/>
      <c r="AD15" s="69"/>
      <c r="AF15" s="69"/>
      <c r="AH15" s="69"/>
      <c r="AJ15" s="69"/>
      <c r="AK15" s="180"/>
      <c r="AM15" s="69"/>
      <c r="AO15" s="69"/>
      <c r="AQ15" s="69"/>
      <c r="AS15" s="69"/>
      <c r="AU15" s="69"/>
      <c r="AW15" s="69"/>
      <c r="AY15" s="69"/>
    </row>
    <row r="16" spans="1:51" x14ac:dyDescent="0.25">
      <c r="B16" s="100" t="str">
        <f>PPR!B39</f>
        <v>FY 2024P Cash P/E</v>
      </c>
      <c r="G16" s="172">
        <f>PPR!W39</f>
        <v>7.2540882326379483</v>
      </c>
      <c r="I16" s="172">
        <f>PPR!I39</f>
        <v>23.392402256836458</v>
      </c>
      <c r="K16" s="172">
        <f>PPR!K39</f>
        <v>26.784300584077741</v>
      </c>
      <c r="M16" s="172">
        <f>PPR!M39</f>
        <v>30.088477402855894</v>
      </c>
      <c r="O16" s="172">
        <f>PPR!O39</f>
        <v>33.41019852332667</v>
      </c>
      <c r="Q16" s="172">
        <f>PPR!Q39</f>
        <v>36.726071543233239</v>
      </c>
      <c r="S16" s="172">
        <f>PPR!S39</f>
        <v>40.041944563139808</v>
      </c>
      <c r="U16" s="172">
        <f>PPR!U39</f>
        <v>43.357817583046376</v>
      </c>
      <c r="V16" s="180"/>
      <c r="X16" s="184">
        <f>I16</f>
        <v>23.392402256836458</v>
      </c>
      <c r="Z16" s="184">
        <f>K16</f>
        <v>26.784300584077741</v>
      </c>
      <c r="AB16" s="184">
        <f>M16</f>
        <v>30.088477402855894</v>
      </c>
      <c r="AD16" s="184">
        <f>O16</f>
        <v>33.41019852332667</v>
      </c>
      <c r="AF16" s="184">
        <f>Q16</f>
        <v>36.726071543233239</v>
      </c>
      <c r="AH16" s="184">
        <f>S16</f>
        <v>40.041944563139808</v>
      </c>
      <c r="AJ16" s="184">
        <f>U16</f>
        <v>43.357817583046376</v>
      </c>
      <c r="AK16" s="192"/>
      <c r="AL16" s="172"/>
      <c r="AM16" s="184">
        <f>X16</f>
        <v>23.392402256836458</v>
      </c>
      <c r="AO16" s="184">
        <f>Z16</f>
        <v>26.784300584077741</v>
      </c>
      <c r="AQ16" s="184">
        <f>AB16</f>
        <v>30.088477402855894</v>
      </c>
      <c r="AS16" s="184">
        <f>AD16</f>
        <v>33.41019852332667</v>
      </c>
      <c r="AU16" s="184">
        <f>AF16</f>
        <v>36.726071543233239</v>
      </c>
      <c r="AW16" s="184">
        <f>AH16</f>
        <v>40.041944563139808</v>
      </c>
      <c r="AY16" s="184">
        <f>AJ16</f>
        <v>43.357817583046376</v>
      </c>
    </row>
    <row r="17" spans="1:51" x14ac:dyDescent="0.25">
      <c r="B17" s="100" t="str">
        <f>PPR!B40</f>
        <v>FY 2025P Cash P/E</v>
      </c>
      <c r="G17" s="172">
        <f>PPR!W40</f>
        <v>7.3622836642749885</v>
      </c>
      <c r="I17" s="172">
        <f>PPR!I40</f>
        <v>18.827339984669155</v>
      </c>
      <c r="K17" s="172">
        <f>PPR!K40</f>
        <v>21.557304282446182</v>
      </c>
      <c r="M17" s="172">
        <f>PPR!M40</f>
        <v>24.216666055280701</v>
      </c>
      <c r="O17" s="172">
        <f>PPR!O40</f>
        <v>26.890148333103721</v>
      </c>
      <c r="Q17" s="172">
        <f>PPR!Q40</f>
        <v>29.558923775930573</v>
      </c>
      <c r="S17" s="172">
        <f>PPR!S40</f>
        <v>32.227699218757422</v>
      </c>
      <c r="U17" s="172">
        <f>PPR!U40</f>
        <v>34.896474661584278</v>
      </c>
      <c r="V17" s="180"/>
      <c r="X17" s="184">
        <f>I17</f>
        <v>18.827339984669155</v>
      </c>
      <c r="Z17" s="184">
        <f>K17</f>
        <v>21.557304282446182</v>
      </c>
      <c r="AB17" s="184">
        <f>M17</f>
        <v>24.216666055280701</v>
      </c>
      <c r="AD17" s="184">
        <f>O17</f>
        <v>26.890148333103721</v>
      </c>
      <c r="AF17" s="184">
        <f>Q17</f>
        <v>29.558923775930573</v>
      </c>
      <c r="AH17" s="184">
        <f>S17</f>
        <v>32.227699218757422</v>
      </c>
      <c r="AJ17" s="184">
        <f>U17</f>
        <v>34.896474661584278</v>
      </c>
      <c r="AK17" s="192"/>
      <c r="AL17" s="172"/>
      <c r="AM17" s="184">
        <f>X17</f>
        <v>18.827339984669155</v>
      </c>
      <c r="AO17" s="184">
        <f>Z17</f>
        <v>21.557304282446182</v>
      </c>
      <c r="AQ17" s="184">
        <f>AB17</f>
        <v>24.216666055280701</v>
      </c>
      <c r="AS17" s="184">
        <f>AD17</f>
        <v>26.890148333103721</v>
      </c>
      <c r="AU17" s="184">
        <f>AF17</f>
        <v>29.558923775930573</v>
      </c>
      <c r="AW17" s="184">
        <f>AH17</f>
        <v>32.227699218757422</v>
      </c>
      <c r="AY17" s="184">
        <f>AJ17</f>
        <v>34.896474661584278</v>
      </c>
    </row>
    <row r="18" spans="1:51" x14ac:dyDescent="0.25">
      <c r="V18" s="180"/>
      <c r="AK18" s="180"/>
    </row>
    <row r="19" spans="1:51" ht="13" x14ac:dyDescent="0.3">
      <c r="A19" s="39" t="str">
        <f>acq&amp;" Standalone"</f>
        <v>Bath &amp; Body Works, Inc. Standalone</v>
      </c>
      <c r="B19" s="39"/>
      <c r="V19" s="180"/>
      <c r="AK19" s="180"/>
    </row>
    <row r="20" spans="1:51" x14ac:dyDescent="0.25">
      <c r="B20" t="str">
        <f>year&amp;" "&amp;'Buyer P&amp;L'!$O$5&amp;"P "&amp;eps&amp;" Net Income"</f>
        <v>FY 2025P Cash Net Income</v>
      </c>
      <c r="I20" s="113">
        <f>IF(eps="GAAP",'Buyer P&amp;L'!O60,'Buyer P&amp;L'!O48)</f>
        <v>1198.5999999999999</v>
      </c>
      <c r="K20" s="16">
        <f>I20</f>
        <v>1198.5999999999999</v>
      </c>
      <c r="M20" s="16">
        <f>K20</f>
        <v>1198.5999999999999</v>
      </c>
      <c r="O20" s="16">
        <f>M20</f>
        <v>1198.5999999999999</v>
      </c>
      <c r="Q20" s="16">
        <f>O20</f>
        <v>1198.5999999999999</v>
      </c>
      <c r="S20" s="16">
        <f>Q20</f>
        <v>1198.5999999999999</v>
      </c>
      <c r="U20" s="16">
        <f>S20</f>
        <v>1198.5999999999999</v>
      </c>
      <c r="V20" s="180"/>
      <c r="X20" s="16">
        <f>I20</f>
        <v>1198.5999999999999</v>
      </c>
      <c r="Z20" s="16">
        <f>K20</f>
        <v>1198.5999999999999</v>
      </c>
      <c r="AB20" s="16">
        <f>M20</f>
        <v>1198.5999999999999</v>
      </c>
      <c r="AD20" s="16">
        <f>O20</f>
        <v>1198.5999999999999</v>
      </c>
      <c r="AF20" s="16">
        <f>Q20</f>
        <v>1198.5999999999999</v>
      </c>
      <c r="AH20" s="16">
        <f>S20</f>
        <v>1198.5999999999999</v>
      </c>
      <c r="AJ20" s="16">
        <f>U20</f>
        <v>1198.5999999999999</v>
      </c>
      <c r="AK20" s="193"/>
      <c r="AL20" s="16"/>
      <c r="AM20" s="16">
        <f>X20</f>
        <v>1198.5999999999999</v>
      </c>
      <c r="AO20" s="16">
        <f>Z20</f>
        <v>1198.5999999999999</v>
      </c>
      <c r="AQ20" s="16">
        <f>AB20</f>
        <v>1198.5999999999999</v>
      </c>
      <c r="AS20" s="16">
        <f>AD20</f>
        <v>1198.5999999999999</v>
      </c>
      <c r="AU20" s="16">
        <f>AF20</f>
        <v>1198.5999999999999</v>
      </c>
      <c r="AW20" s="16">
        <f>AH20</f>
        <v>1198.5999999999999</v>
      </c>
      <c r="AY20" s="16">
        <f>AJ20</f>
        <v>1198.5999999999999</v>
      </c>
    </row>
    <row r="21" spans="1:51" ht="13.5" customHeight="1" thickBot="1" x14ac:dyDescent="0.3">
      <c r="B21" t="str">
        <f>year&amp;" "&amp;'Buyer P&amp;L'!$O$5&amp;"P Shares Outstanding"</f>
        <v>FY 2025P Shares Outstanding</v>
      </c>
      <c r="I21" s="173">
        <f>'Buyer P&amp;L'!O53</f>
        <v>251.48</v>
      </c>
      <c r="K21" s="14">
        <f>I21</f>
        <v>251.48</v>
      </c>
      <c r="M21" s="14">
        <f>K21</f>
        <v>251.48</v>
      </c>
      <c r="O21" s="14">
        <f>M21</f>
        <v>251.48</v>
      </c>
      <c r="Q21" s="14">
        <f>O21</f>
        <v>251.48</v>
      </c>
      <c r="S21" s="14">
        <f>Q21</f>
        <v>251.48</v>
      </c>
      <c r="U21" s="14">
        <f>S21</f>
        <v>251.48</v>
      </c>
      <c r="V21" s="180"/>
      <c r="X21" s="14">
        <f>I21</f>
        <v>251.48</v>
      </c>
      <c r="Z21" s="14">
        <f>K21</f>
        <v>251.48</v>
      </c>
      <c r="AB21" s="14">
        <f>M21</f>
        <v>251.48</v>
      </c>
      <c r="AD21" s="14">
        <f>O21</f>
        <v>251.48</v>
      </c>
      <c r="AF21" s="14">
        <f>Q21</f>
        <v>251.48</v>
      </c>
      <c r="AH21" s="14">
        <f>S21</f>
        <v>251.48</v>
      </c>
      <c r="AJ21" s="14">
        <f>U21</f>
        <v>251.48</v>
      </c>
      <c r="AK21" s="194"/>
      <c r="AL21" s="14"/>
      <c r="AM21" s="14">
        <f>X21</f>
        <v>251.48</v>
      </c>
      <c r="AO21" s="14">
        <f>Z21</f>
        <v>251.48</v>
      </c>
      <c r="AQ21" s="14">
        <f>AB21</f>
        <v>251.48</v>
      </c>
      <c r="AS21" s="14">
        <f>AD21</f>
        <v>251.48</v>
      </c>
      <c r="AU21" s="14">
        <f>AF21</f>
        <v>251.48</v>
      </c>
      <c r="AW21" s="14">
        <f>AH21</f>
        <v>251.48</v>
      </c>
      <c r="AY21" s="14">
        <f>AJ21</f>
        <v>251.48</v>
      </c>
    </row>
    <row r="22" spans="1:51" x14ac:dyDescent="0.25">
      <c r="B22" t="str">
        <f>year&amp;" "&amp;'Buyer P&amp;L'!$O$5&amp;"P "&amp;eps&amp;" EPS"</f>
        <v>FY 2025P Cash EPS</v>
      </c>
      <c r="I22" s="174">
        <f>I20/I21</f>
        <v>4.7661841895975821</v>
      </c>
      <c r="K22" s="174">
        <f>K20/K21</f>
        <v>4.7661841895975821</v>
      </c>
      <c r="M22" s="174">
        <f>M20/M21</f>
        <v>4.7661841895975821</v>
      </c>
      <c r="O22" s="174">
        <f>O20/O21</f>
        <v>4.7661841895975821</v>
      </c>
      <c r="Q22" s="174">
        <f>Q20/Q21</f>
        <v>4.7661841895975821</v>
      </c>
      <c r="S22" s="174">
        <f>S20/S21</f>
        <v>4.7661841895975821</v>
      </c>
      <c r="U22" s="174">
        <f>U20/U21</f>
        <v>4.7661841895975821</v>
      </c>
      <c r="V22" s="180"/>
      <c r="X22" s="174">
        <f>X20/X21</f>
        <v>4.7661841895975821</v>
      </c>
      <c r="Z22" s="174">
        <f>Z20/Z21</f>
        <v>4.7661841895975821</v>
      </c>
      <c r="AB22" s="174">
        <f>AB20/AB21</f>
        <v>4.7661841895975821</v>
      </c>
      <c r="AD22" s="174">
        <f>AD20/AD21</f>
        <v>4.7661841895975821</v>
      </c>
      <c r="AF22" s="174">
        <f>AF20/AF21</f>
        <v>4.7661841895975821</v>
      </c>
      <c r="AH22" s="174">
        <f>AH20/AH21</f>
        <v>4.7661841895975821</v>
      </c>
      <c r="AJ22" s="174">
        <f>AJ20/AJ21</f>
        <v>4.7661841895975821</v>
      </c>
      <c r="AK22" s="195"/>
      <c r="AL22" s="32"/>
      <c r="AM22" s="174">
        <f>AM20/AM21</f>
        <v>4.7661841895975821</v>
      </c>
      <c r="AO22" s="174">
        <f>AO20/AO21</f>
        <v>4.7661841895975821</v>
      </c>
      <c r="AQ22" s="174">
        <f>AQ20/AQ21</f>
        <v>4.7661841895975821</v>
      </c>
      <c r="AS22" s="174">
        <f>AS20/AS21</f>
        <v>4.7661841895975821</v>
      </c>
      <c r="AU22" s="174">
        <f>AU20/AU21</f>
        <v>4.7661841895975821</v>
      </c>
      <c r="AW22" s="174">
        <f>AW20/AW21</f>
        <v>4.7661841895975821</v>
      </c>
      <c r="AY22" s="174">
        <f>AY20/AY21</f>
        <v>4.7661841895975821</v>
      </c>
    </row>
    <row r="23" spans="1:51" x14ac:dyDescent="0.25">
      <c r="V23" s="180"/>
      <c r="AK23" s="180"/>
    </row>
    <row r="24" spans="1:51" ht="13" x14ac:dyDescent="0.3">
      <c r="A24" s="39" t="s">
        <v>270</v>
      </c>
      <c r="B24" s="39"/>
      <c r="V24" s="180"/>
      <c r="AK24" s="180"/>
    </row>
    <row r="25" spans="1:51" x14ac:dyDescent="0.25">
      <c r="B25" t="str">
        <f>tgt&amp;" "&amp;year&amp;" "&amp;'Target P&amp;L'!O5&amp;"P "&amp;eps&amp;" Net Income"</f>
        <v>Tapestry, Inc. FY 2025P Cash Net Income</v>
      </c>
      <c r="I25" s="113">
        <f>IF(eps="GAAP",'Target P&amp;L'!O60,'Target P&amp;L'!O48)</f>
        <v>577.24564430501937</v>
      </c>
      <c r="K25" s="16">
        <f>I25</f>
        <v>577.24564430501937</v>
      </c>
      <c r="M25" s="16">
        <f>K25</f>
        <v>577.24564430501937</v>
      </c>
      <c r="O25" s="16">
        <f>M25</f>
        <v>577.24564430501937</v>
      </c>
      <c r="Q25" s="16">
        <f>O25</f>
        <v>577.24564430501937</v>
      </c>
      <c r="S25" s="16">
        <f>Q25</f>
        <v>577.24564430501937</v>
      </c>
      <c r="U25" s="16">
        <f>S25</f>
        <v>577.24564430501937</v>
      </c>
      <c r="V25" s="180"/>
      <c r="X25" s="16">
        <f>I25</f>
        <v>577.24564430501937</v>
      </c>
      <c r="Z25" s="16">
        <f>K25</f>
        <v>577.24564430501937</v>
      </c>
      <c r="AB25" s="16">
        <f>M25</f>
        <v>577.24564430501937</v>
      </c>
      <c r="AD25" s="16">
        <f>O25</f>
        <v>577.24564430501937</v>
      </c>
      <c r="AF25" s="16">
        <f>Q25</f>
        <v>577.24564430501937</v>
      </c>
      <c r="AH25" s="16">
        <f>S25</f>
        <v>577.24564430501937</v>
      </c>
      <c r="AJ25" s="16">
        <f>U25</f>
        <v>577.24564430501937</v>
      </c>
      <c r="AK25" s="193"/>
      <c r="AL25" s="16"/>
      <c r="AM25" s="16">
        <f>X25</f>
        <v>577.24564430501937</v>
      </c>
      <c r="AO25" s="16">
        <f>Z25</f>
        <v>577.24564430501937</v>
      </c>
      <c r="AQ25" s="16">
        <f>AB25</f>
        <v>577.24564430501937</v>
      </c>
      <c r="AS25" s="16">
        <f>AD25</f>
        <v>577.24564430501937</v>
      </c>
      <c r="AU25" s="16">
        <f>AF25</f>
        <v>577.24564430501937</v>
      </c>
      <c r="AW25" s="16">
        <f>AH25</f>
        <v>577.24564430501937</v>
      </c>
      <c r="AY25" s="16">
        <f>AJ25</f>
        <v>577.24564430501937</v>
      </c>
    </row>
    <row r="26" spans="1:51" x14ac:dyDescent="0.25">
      <c r="B26" t="s">
        <v>271</v>
      </c>
      <c r="I26" s="101">
        <f>-fees*cash_rate*(1-tax_rate)</f>
        <v>-5.7581527499999989</v>
      </c>
      <c r="K26" s="74">
        <f>I26</f>
        <v>-5.7581527499999989</v>
      </c>
      <c r="M26" s="74">
        <f>K26</f>
        <v>-5.7581527499999989</v>
      </c>
      <c r="O26" s="74">
        <f>M26</f>
        <v>-5.7581527499999989</v>
      </c>
      <c r="Q26" s="74">
        <f>O26</f>
        <v>-5.7581527499999989</v>
      </c>
      <c r="S26" s="74">
        <f>Q26</f>
        <v>-5.7581527499999989</v>
      </c>
      <c r="U26" s="74">
        <f>S26</f>
        <v>-5.7581527499999989</v>
      </c>
      <c r="V26" s="180"/>
      <c r="X26" s="162">
        <f>-'S&amp;U'!E31*cash_rate*(1-tax_rate)</f>
        <v>0</v>
      </c>
      <c r="Y26" s="163"/>
      <c r="Z26" s="162">
        <f>-'S&amp;U'!G31*cash_rate*(1-tax_rate)</f>
        <v>0</v>
      </c>
      <c r="AA26" s="163"/>
      <c r="AB26" s="162">
        <f>-'S&amp;U'!I31*cash_rate*(1-tax_rate)</f>
        <v>0</v>
      </c>
      <c r="AC26" s="163"/>
      <c r="AD26" s="162">
        <f>-'S&amp;U'!K31*cash_rate*(1-tax_rate)</f>
        <v>0</v>
      </c>
      <c r="AE26" s="163"/>
      <c r="AF26" s="162">
        <f>-'S&amp;U'!M31*cash_rate*(1-tax_rate)</f>
        <v>0</v>
      </c>
      <c r="AG26" s="163"/>
      <c r="AH26" s="162">
        <f>-'S&amp;U'!O31*cash_rate*(1-tax_rate)</f>
        <v>0</v>
      </c>
      <c r="AI26" s="163"/>
      <c r="AJ26" s="162">
        <f>-'S&amp;U'!Q31*cash_rate*(1-tax_rate)</f>
        <v>0</v>
      </c>
      <c r="AK26" s="196"/>
      <c r="AL26" s="74"/>
      <c r="AM26" s="186">
        <f>-(AM7+fees)*cash_rate*(1-tax_rate)</f>
        <v>-372.23022374999994</v>
      </c>
      <c r="AO26" s="186">
        <f>-(AO7+fees)*cash_rate*(1-tax_rate)</f>
        <v>-427.53278294999996</v>
      </c>
      <c r="AQ26" s="186">
        <f>-(AQ7+fees)*cash_rate*(1-tax_rate)</f>
        <v>-481.40510354999998</v>
      </c>
      <c r="AS26" s="186">
        <f>-(AS7+fees)*cash_rate*(1-tax_rate)</f>
        <v>-535.56347187000006</v>
      </c>
      <c r="AU26" s="186">
        <f>-(AU7+fees)*cash_rate*(1-tax_rate)</f>
        <v>-589.62649094999995</v>
      </c>
      <c r="AW26" s="186">
        <f>-(AW7+fees)*cash_rate*(1-tax_rate)</f>
        <v>-643.68951003000006</v>
      </c>
      <c r="AY26" s="186">
        <f>-(AY7+fees)*cash_rate*(1-tax_rate)</f>
        <v>-697.75252910999995</v>
      </c>
    </row>
    <row r="27" spans="1:51" x14ac:dyDescent="0.25">
      <c r="B27" t="s">
        <v>272</v>
      </c>
      <c r="I27" s="175">
        <v>0</v>
      </c>
      <c r="J27" s="163"/>
      <c r="K27" s="176">
        <f>I27</f>
        <v>0</v>
      </c>
      <c r="L27" s="163"/>
      <c r="M27" s="176">
        <f>K27</f>
        <v>0</v>
      </c>
      <c r="N27" s="163"/>
      <c r="O27" s="176">
        <f>M27</f>
        <v>0</v>
      </c>
      <c r="P27" s="163"/>
      <c r="Q27" s="176">
        <f>O27</f>
        <v>0</v>
      </c>
      <c r="R27" s="163"/>
      <c r="S27" s="176">
        <f>Q27</f>
        <v>0</v>
      </c>
      <c r="T27" s="163"/>
      <c r="U27" s="176">
        <f>S27</f>
        <v>0</v>
      </c>
      <c r="V27" s="180"/>
      <c r="X27" s="162">
        <f>-'S&amp;U'!E33*debt_rate*(1-tax_rate)</f>
        <v>0</v>
      </c>
      <c r="Y27" s="163"/>
      <c r="Z27" s="162">
        <f>-'S&amp;U'!G33*debt_rate*(1-tax_rate)</f>
        <v>0</v>
      </c>
      <c r="AA27" s="163"/>
      <c r="AB27" s="162">
        <f>-'S&amp;U'!I33*debt_rate*(1-tax_rate)</f>
        <v>0</v>
      </c>
      <c r="AC27" s="163"/>
      <c r="AD27" s="162">
        <f>-'S&amp;U'!K33*debt_rate*(1-tax_rate)</f>
        <v>0</v>
      </c>
      <c r="AE27" s="163"/>
      <c r="AF27" s="162">
        <f>-'S&amp;U'!M33*debt_rate*(1-tax_rate)</f>
        <v>0</v>
      </c>
      <c r="AG27" s="163"/>
      <c r="AH27" s="162">
        <f>-'S&amp;U'!O33*debt_rate*(1-tax_rate)</f>
        <v>0</v>
      </c>
      <c r="AI27" s="163"/>
      <c r="AJ27" s="162">
        <f>-'S&amp;U'!Q33*debt_rate*(1-tax_rate)</f>
        <v>0</v>
      </c>
      <c r="AK27" s="197"/>
      <c r="AL27" s="198"/>
      <c r="AM27" s="175">
        <v>0</v>
      </c>
      <c r="AN27" s="163"/>
      <c r="AO27" s="175">
        <v>0</v>
      </c>
      <c r="AP27" s="163"/>
      <c r="AQ27" s="175">
        <v>0</v>
      </c>
      <c r="AR27" s="163"/>
      <c r="AS27" s="175">
        <v>0</v>
      </c>
      <c r="AT27" s="163"/>
      <c r="AU27" s="175">
        <v>0</v>
      </c>
      <c r="AV27" s="163"/>
      <c r="AW27" s="175">
        <v>0</v>
      </c>
      <c r="AX27" s="163"/>
      <c r="AY27" s="175">
        <v>0</v>
      </c>
    </row>
    <row r="28" spans="1:51" x14ac:dyDescent="0.25">
      <c r="B28" t="s">
        <v>273</v>
      </c>
      <c r="I28" s="162">
        <f>(IF(Assumptions!$L$26&gt;I6,0,Assumptions!$L$25*Assumptions!$L$28)+IF(Assumptions!$N$26&gt;I6,0,Assumptions!$N$25*Assumptions!$N$28))*(1-tax_rate)</f>
        <v>0</v>
      </c>
      <c r="J28" s="163"/>
      <c r="K28" s="162">
        <f>(IF(Assumptions!$L$26&gt;K6,0,Assumptions!$L$25*Assumptions!$L$28)+IF(Assumptions!$N$26&gt;K6,0,Assumptions!$N$25*Assumptions!$N$28))*(1-tax_rate)</f>
        <v>0</v>
      </c>
      <c r="L28" s="163"/>
      <c r="M28" s="162">
        <f>(IF(Assumptions!$L$26&gt;M6,0,Assumptions!$L$25*Assumptions!$L$28)+IF(Assumptions!$N$26&gt;M6,0,Assumptions!$N$25*Assumptions!$N$28))*(1-tax_rate)</f>
        <v>0</v>
      </c>
      <c r="N28" s="163"/>
      <c r="O28" s="162">
        <f>(IF(Assumptions!$L$26&gt;O6,0,Assumptions!$L$25*Assumptions!$L$28)+IF(Assumptions!$N$26&gt;O6,0,Assumptions!$N$25*Assumptions!$N$28))*(1-tax_rate)</f>
        <v>0</v>
      </c>
      <c r="P28" s="163"/>
      <c r="Q28" s="162">
        <f>(IF(Assumptions!$L$26&gt;Q6,0,Assumptions!$L$25*Assumptions!$L$28)+IF(Assumptions!$N$26&gt;Q6,0,Assumptions!$N$25*Assumptions!$N$28))*(1-tax_rate)</f>
        <v>0</v>
      </c>
      <c r="R28" s="163"/>
      <c r="S28" s="162">
        <f>(IF(Assumptions!$L$26&gt;S6,0,Assumptions!$L$25*Assumptions!$L$28)+IF(Assumptions!$N$26&gt;S6,0,Assumptions!$N$25*Assumptions!$N$28))*(1-tax_rate)</f>
        <v>0</v>
      </c>
      <c r="T28" s="163"/>
      <c r="U28" s="162">
        <f>(IF(Assumptions!$L$26&gt;U6,0,Assumptions!$L$25*Assumptions!$L$28)+IF(Assumptions!$N$26&gt;U6,0,Assumptions!$N$25*Assumptions!$N$28))*(1-tax_rate)</f>
        <v>0</v>
      </c>
      <c r="V28" s="180"/>
      <c r="X28" s="185">
        <f>I28</f>
        <v>0</v>
      </c>
      <c r="Y28" s="185"/>
      <c r="Z28" s="185">
        <f>K28</f>
        <v>0</v>
      </c>
      <c r="AA28" s="185"/>
      <c r="AB28" s="185">
        <f>M28</f>
        <v>0</v>
      </c>
      <c r="AC28" s="185"/>
      <c r="AD28" s="185">
        <f>O28</f>
        <v>0</v>
      </c>
      <c r="AE28" s="185"/>
      <c r="AF28" s="185">
        <f>Q28</f>
        <v>0</v>
      </c>
      <c r="AG28" s="185"/>
      <c r="AH28" s="185">
        <f>S28</f>
        <v>0</v>
      </c>
      <c r="AI28" s="185"/>
      <c r="AJ28" s="185">
        <f>U28</f>
        <v>0</v>
      </c>
      <c r="AK28" s="180"/>
      <c r="AM28" s="185">
        <f>X28</f>
        <v>0</v>
      </c>
      <c r="AN28" s="185"/>
      <c r="AO28" s="185">
        <f>Z28</f>
        <v>0</v>
      </c>
      <c r="AP28" s="185"/>
      <c r="AQ28" s="185">
        <f>AB28</f>
        <v>0</v>
      </c>
      <c r="AR28" s="185"/>
      <c r="AS28" s="185">
        <f>AD28</f>
        <v>0</v>
      </c>
      <c r="AT28" s="185"/>
      <c r="AU28" s="185">
        <f>AF28</f>
        <v>0</v>
      </c>
      <c r="AV28" s="185"/>
      <c r="AW28" s="185">
        <f>AH28</f>
        <v>0</v>
      </c>
      <c r="AX28" s="185"/>
      <c r="AY28" s="185">
        <f>AJ28</f>
        <v>0</v>
      </c>
    </row>
    <row r="29" spans="1:51" x14ac:dyDescent="0.25">
      <c r="B29" t="s">
        <v>274</v>
      </c>
      <c r="I29" s="162">
        <f>IF(eps="GAAP",-GAAP!L89,0)</f>
        <v>0</v>
      </c>
      <c r="J29" s="163"/>
      <c r="K29" s="162">
        <f>IF(eps="GAAP",-GAAP!N89,0)</f>
        <v>0</v>
      </c>
      <c r="L29" s="163"/>
      <c r="M29" s="162">
        <f>IF(eps="GAAP",-GAAP!P89,0)</f>
        <v>0</v>
      </c>
      <c r="N29" s="163"/>
      <c r="O29" s="162">
        <f>IF(eps="GAAP",-GAAP!R89,0)</f>
        <v>0</v>
      </c>
      <c r="P29" s="163"/>
      <c r="Q29" s="162">
        <f>IF(eps="GAAP",-GAAP!T89,0)</f>
        <v>0</v>
      </c>
      <c r="R29" s="163"/>
      <c r="S29" s="162">
        <f>IF(eps="GAAP",-GAAP!V89,0)</f>
        <v>0</v>
      </c>
      <c r="T29" s="163"/>
      <c r="U29" s="162">
        <f>IF(eps="GAAP",-GAAP!X89,0)</f>
        <v>0</v>
      </c>
      <c r="V29" s="180"/>
      <c r="X29" s="185">
        <f>I29</f>
        <v>0</v>
      </c>
      <c r="Y29" s="185"/>
      <c r="Z29" s="185">
        <f>K29</f>
        <v>0</v>
      </c>
      <c r="AA29" s="185"/>
      <c r="AB29" s="185">
        <f>M29</f>
        <v>0</v>
      </c>
      <c r="AC29" s="185"/>
      <c r="AD29" s="185">
        <f>O29</f>
        <v>0</v>
      </c>
      <c r="AE29" s="185"/>
      <c r="AF29" s="185">
        <f>Q29</f>
        <v>0</v>
      </c>
      <c r="AG29" s="185"/>
      <c r="AH29" s="185">
        <f>S29</f>
        <v>0</v>
      </c>
      <c r="AI29" s="185"/>
      <c r="AJ29" s="185">
        <f>U29</f>
        <v>0</v>
      </c>
      <c r="AK29" s="180"/>
      <c r="AM29" s="185">
        <f>X29</f>
        <v>0</v>
      </c>
      <c r="AN29" s="185"/>
      <c r="AO29" s="185">
        <f>Z29</f>
        <v>0</v>
      </c>
      <c r="AP29" s="185"/>
      <c r="AQ29" s="185">
        <f>AB29</f>
        <v>0</v>
      </c>
      <c r="AR29" s="185"/>
      <c r="AS29" s="185">
        <f>AD29</f>
        <v>0</v>
      </c>
      <c r="AT29" s="185"/>
      <c r="AU29" s="185">
        <f>AF29</f>
        <v>0</v>
      </c>
      <c r="AV29" s="185"/>
      <c r="AW29" s="185">
        <f>AH29</f>
        <v>0</v>
      </c>
      <c r="AX29" s="185"/>
      <c r="AY29" s="185">
        <f>AJ29</f>
        <v>0</v>
      </c>
    </row>
    <row r="30" spans="1:51" x14ac:dyDescent="0.25">
      <c r="B30" t="s">
        <v>275</v>
      </c>
      <c r="I30" s="162">
        <f>IF(eps="GAAP",-GAAP!L60,0)</f>
        <v>0</v>
      </c>
      <c r="J30" s="163"/>
      <c r="K30" s="162">
        <f>IF(eps="GAAP",-GAAP!N60,0)</f>
        <v>0</v>
      </c>
      <c r="L30" s="163"/>
      <c r="M30" s="162">
        <f>IF(eps="GAAP",-GAAP!P60,0)</f>
        <v>0</v>
      </c>
      <c r="N30" s="163"/>
      <c r="O30" s="162">
        <f>IF(eps="GAAP",-GAAP!R60,0)</f>
        <v>0</v>
      </c>
      <c r="P30" s="163"/>
      <c r="Q30" s="162">
        <f>IF(eps="GAAP",-GAAP!T60,0)</f>
        <v>0</v>
      </c>
      <c r="R30" s="163"/>
      <c r="S30" s="162">
        <f>IF(eps="GAAP",-GAAP!V60,0)</f>
        <v>0</v>
      </c>
      <c r="T30" s="163"/>
      <c r="U30" s="162">
        <f>IF(eps="GAAP",-GAAP!X60,0)</f>
        <v>0</v>
      </c>
      <c r="V30" s="180"/>
      <c r="X30" s="185">
        <f>I30</f>
        <v>0</v>
      </c>
      <c r="Y30" s="185"/>
      <c r="Z30" s="185">
        <f>K30</f>
        <v>0</v>
      </c>
      <c r="AA30" s="185"/>
      <c r="AB30" s="185">
        <f>M30</f>
        <v>0</v>
      </c>
      <c r="AC30" s="185"/>
      <c r="AD30" s="185">
        <f>O30</f>
        <v>0</v>
      </c>
      <c r="AE30" s="185"/>
      <c r="AF30" s="185">
        <f>Q30</f>
        <v>0</v>
      </c>
      <c r="AG30" s="185"/>
      <c r="AH30" s="185">
        <f>S30</f>
        <v>0</v>
      </c>
      <c r="AI30" s="185"/>
      <c r="AJ30" s="185">
        <f>U30</f>
        <v>0</v>
      </c>
      <c r="AK30" s="180"/>
      <c r="AM30" s="185">
        <f>X30</f>
        <v>0</v>
      </c>
      <c r="AN30" s="185"/>
      <c r="AO30" s="185">
        <f>Z30</f>
        <v>0</v>
      </c>
      <c r="AP30" s="185"/>
      <c r="AQ30" s="185">
        <f>AB30</f>
        <v>0</v>
      </c>
      <c r="AR30" s="185"/>
      <c r="AS30" s="185">
        <f>AD30</f>
        <v>0</v>
      </c>
      <c r="AT30" s="185"/>
      <c r="AU30" s="185">
        <f>AF30</f>
        <v>0</v>
      </c>
      <c r="AV30" s="185"/>
      <c r="AW30" s="185">
        <f>AH30</f>
        <v>0</v>
      </c>
      <c r="AX30" s="185"/>
      <c r="AY30" s="185">
        <f>AJ30</f>
        <v>0</v>
      </c>
    </row>
    <row r="31" spans="1:51" x14ac:dyDescent="0.25">
      <c r="B31" t="s">
        <v>276</v>
      </c>
      <c r="I31" s="101">
        <f>-GAAP!L69</f>
        <v>-1.0845</v>
      </c>
      <c r="K31" s="101">
        <f>-GAAP!N69</f>
        <v>-1.0845</v>
      </c>
      <c r="M31" s="101">
        <f>-GAAP!P69</f>
        <v>-1.0845</v>
      </c>
      <c r="O31" s="101">
        <f>-GAAP!R69</f>
        <v>-1.0845</v>
      </c>
      <c r="Q31" s="101">
        <f>-GAAP!T69</f>
        <v>-1.0845</v>
      </c>
      <c r="S31" s="101">
        <f>-GAAP!V69</f>
        <v>-1.0845</v>
      </c>
      <c r="U31" s="101">
        <f>-GAAP!X69</f>
        <v>-1.0845</v>
      </c>
      <c r="V31" s="180"/>
      <c r="X31" s="186">
        <f>I31</f>
        <v>-1.0845</v>
      </c>
      <c r="Y31" s="69"/>
      <c r="Z31" s="186">
        <f>K31</f>
        <v>-1.0845</v>
      </c>
      <c r="AA31" s="69"/>
      <c r="AB31" s="186">
        <f>M31</f>
        <v>-1.0845</v>
      </c>
      <c r="AC31" s="69"/>
      <c r="AD31" s="186">
        <f>O31</f>
        <v>-1.0845</v>
      </c>
      <c r="AE31" s="69"/>
      <c r="AF31" s="186">
        <f>Q31</f>
        <v>-1.0845</v>
      </c>
      <c r="AG31" s="69"/>
      <c r="AH31" s="186">
        <f>S31</f>
        <v>-1.0845</v>
      </c>
      <c r="AI31" s="69"/>
      <c r="AJ31" s="186">
        <f>U31</f>
        <v>-1.0845</v>
      </c>
      <c r="AK31" s="180"/>
      <c r="AM31" s="186">
        <f>X31</f>
        <v>-1.0845</v>
      </c>
      <c r="AN31" s="69"/>
      <c r="AO31" s="186">
        <f>Z31</f>
        <v>-1.0845</v>
      </c>
      <c r="AP31" s="69"/>
      <c r="AQ31" s="186">
        <f>AB31</f>
        <v>-1.0845</v>
      </c>
      <c r="AR31" s="69"/>
      <c r="AS31" s="186">
        <f>AD31</f>
        <v>-1.0845</v>
      </c>
      <c r="AT31" s="69"/>
      <c r="AU31" s="186">
        <f>AF31</f>
        <v>-1.0845</v>
      </c>
      <c r="AV31" s="69"/>
      <c r="AW31" s="186">
        <f>AH31</f>
        <v>-1.0845</v>
      </c>
      <c r="AX31" s="69"/>
      <c r="AY31" s="186">
        <f>AJ31</f>
        <v>-1.0845</v>
      </c>
    </row>
    <row r="32" spans="1:51" ht="12.75" customHeight="1" x14ac:dyDescent="0.25">
      <c r="B32" t="s">
        <v>277</v>
      </c>
      <c r="I32" s="101">
        <f>-GAAP!L81</f>
        <v>0</v>
      </c>
      <c r="K32" s="101">
        <f>-GAAP!N81</f>
        <v>0</v>
      </c>
      <c r="M32" s="101">
        <f>-GAAP!P81</f>
        <v>0</v>
      </c>
      <c r="O32" s="101">
        <f>-GAAP!R81</f>
        <v>0</v>
      </c>
      <c r="Q32" s="101">
        <f>-GAAP!T81</f>
        <v>0</v>
      </c>
      <c r="S32" s="101">
        <f>-GAAP!V81</f>
        <v>0</v>
      </c>
      <c r="U32" s="101">
        <f>-GAAP!X81</f>
        <v>0</v>
      </c>
      <c r="V32" s="180"/>
      <c r="X32" s="186">
        <f>I32</f>
        <v>0</v>
      </c>
      <c r="Y32" s="69"/>
      <c r="Z32" s="186">
        <f>K32</f>
        <v>0</v>
      </c>
      <c r="AA32" s="69"/>
      <c r="AB32" s="186">
        <f>M32</f>
        <v>0</v>
      </c>
      <c r="AC32" s="69"/>
      <c r="AD32" s="186">
        <f>O32</f>
        <v>0</v>
      </c>
      <c r="AE32" s="69"/>
      <c r="AF32" s="186">
        <f>Q32</f>
        <v>0</v>
      </c>
      <c r="AG32" s="69"/>
      <c r="AH32" s="186">
        <f>S32</f>
        <v>0</v>
      </c>
      <c r="AI32" s="69"/>
      <c r="AJ32" s="186">
        <f>U32</f>
        <v>0</v>
      </c>
      <c r="AK32" s="180"/>
      <c r="AM32" s="186">
        <f>X32</f>
        <v>0</v>
      </c>
      <c r="AN32" s="69"/>
      <c r="AO32" s="186">
        <f>Z32</f>
        <v>0</v>
      </c>
      <c r="AP32" s="69"/>
      <c r="AQ32" s="186">
        <f>AB32</f>
        <v>0</v>
      </c>
      <c r="AR32" s="69"/>
      <c r="AS32" s="186">
        <f>AD32</f>
        <v>0</v>
      </c>
      <c r="AT32" s="69"/>
      <c r="AU32" s="186">
        <f>AF32</f>
        <v>0</v>
      </c>
      <c r="AV32" s="69"/>
      <c r="AW32" s="186">
        <f>AH32</f>
        <v>0</v>
      </c>
      <c r="AX32" s="69"/>
      <c r="AY32" s="186">
        <f>AJ32</f>
        <v>0</v>
      </c>
    </row>
    <row r="33" spans="1:51" ht="5" customHeight="1" thickBot="1" x14ac:dyDescent="0.3">
      <c r="V33" s="180"/>
      <c r="AK33" s="180"/>
    </row>
    <row r="34" spans="1:51" ht="13" x14ac:dyDescent="0.3">
      <c r="B34" s="19" t="str">
        <f>"Pro Forma "&amp;eps&amp;" Net Income Without Synergies"</f>
        <v>Pro Forma Cash Net Income Without Synergies</v>
      </c>
      <c r="I34" s="59">
        <f>I20+SUM(I25:I32)</f>
        <v>1769.0029915550192</v>
      </c>
      <c r="K34" s="59">
        <f>K20+SUM(K25:K32)</f>
        <v>1769.0029915550192</v>
      </c>
      <c r="M34" s="59">
        <f>M20+SUM(M25:M32)</f>
        <v>1769.0029915550192</v>
      </c>
      <c r="O34" s="59">
        <f>O20+SUM(O25:O32)</f>
        <v>1769.0029915550192</v>
      </c>
      <c r="Q34" s="59">
        <f>Q20+SUM(Q25:Q32)</f>
        <v>1769.0029915550192</v>
      </c>
      <c r="S34" s="59">
        <f>S20+SUM(S25:S32)</f>
        <v>1769.0029915550192</v>
      </c>
      <c r="U34" s="59">
        <f>U20+SUM(U25:U32)</f>
        <v>1769.0029915550192</v>
      </c>
      <c r="V34" s="180"/>
      <c r="X34" s="59">
        <f>X20+SUM(X25:X32)</f>
        <v>1774.7611443050191</v>
      </c>
      <c r="Z34" s="59">
        <f>Z20+SUM(Z25:Z32)</f>
        <v>1774.7611443050191</v>
      </c>
      <c r="AB34" s="59">
        <f>AB20+SUM(AB25:AB32)</f>
        <v>1774.7611443050191</v>
      </c>
      <c r="AD34" s="59">
        <f>AD20+SUM(AD25:AD32)</f>
        <v>1774.7611443050191</v>
      </c>
      <c r="AF34" s="59">
        <f>AF20+SUM(AF25:AF32)</f>
        <v>1774.7611443050191</v>
      </c>
      <c r="AH34" s="59">
        <f>AH20+SUM(AH25:AH32)</f>
        <v>1774.7611443050191</v>
      </c>
      <c r="AJ34" s="59">
        <f>AJ20+SUM(AJ25:AJ32)</f>
        <v>1774.7611443050191</v>
      </c>
      <c r="AK34" s="193"/>
      <c r="AL34" s="16"/>
      <c r="AM34" s="59">
        <f>AM20+SUM(AM25:AM32)</f>
        <v>1402.5309205550193</v>
      </c>
      <c r="AO34" s="59">
        <f>AO20+SUM(AO25:AO32)</f>
        <v>1347.2283613550194</v>
      </c>
      <c r="AQ34" s="59">
        <f>AQ20+SUM(AQ25:AQ32)</f>
        <v>1293.3560407550192</v>
      </c>
      <c r="AS34" s="59">
        <f>AS20+SUM(AS25:AS32)</f>
        <v>1239.1976724350193</v>
      </c>
      <c r="AU34" s="59">
        <f>AU20+SUM(AU25:AU32)</f>
        <v>1185.1346533550193</v>
      </c>
      <c r="AW34" s="59">
        <f>AW20+SUM(AW25:AW32)</f>
        <v>1131.0716342750193</v>
      </c>
      <c r="AY34" s="59">
        <f>AY20+SUM(AY25:AY32)</f>
        <v>1077.0086151950193</v>
      </c>
    </row>
    <row r="35" spans="1:51" s="57" customFormat="1" ht="13.5" customHeight="1" thickBot="1" x14ac:dyDescent="0.35">
      <c r="A35" s="177"/>
      <c r="B35" s="57" t="s">
        <v>278</v>
      </c>
      <c r="I35" s="101">
        <f>SUM(Assumptions!T29:T30)*(1-tax_rate)</f>
        <v>1171.26</v>
      </c>
      <c r="K35" s="74">
        <f>I35</f>
        <v>1171.26</v>
      </c>
      <c r="M35" s="74">
        <f>K35</f>
        <v>1171.26</v>
      </c>
      <c r="O35" s="74">
        <f>M35</f>
        <v>1171.26</v>
      </c>
      <c r="Q35" s="74">
        <f>O35</f>
        <v>1171.26</v>
      </c>
      <c r="S35" s="74">
        <f>Q35</f>
        <v>1171.26</v>
      </c>
      <c r="U35" s="74">
        <f>S35</f>
        <v>1171.26</v>
      </c>
      <c r="V35" s="187"/>
      <c r="X35" s="74">
        <f>I35</f>
        <v>1171.26</v>
      </c>
      <c r="Z35" s="74">
        <f>K35</f>
        <v>1171.26</v>
      </c>
      <c r="AB35" s="74">
        <f>M35</f>
        <v>1171.26</v>
      </c>
      <c r="AD35" s="74">
        <f>O35</f>
        <v>1171.26</v>
      </c>
      <c r="AF35" s="74">
        <f>Q35</f>
        <v>1171.26</v>
      </c>
      <c r="AH35" s="74">
        <f>S35</f>
        <v>1171.26</v>
      </c>
      <c r="AJ35" s="74">
        <f>U35</f>
        <v>1171.26</v>
      </c>
      <c r="AK35" s="196"/>
      <c r="AL35" s="74"/>
      <c r="AM35" s="74">
        <f>X35</f>
        <v>1171.26</v>
      </c>
      <c r="AO35" s="74">
        <f>Z35</f>
        <v>1171.26</v>
      </c>
      <c r="AQ35" s="74">
        <f>AB35</f>
        <v>1171.26</v>
      </c>
      <c r="AS35" s="74">
        <f>AD35</f>
        <v>1171.26</v>
      </c>
      <c r="AU35" s="74">
        <f>AF35</f>
        <v>1171.26</v>
      </c>
      <c r="AW35" s="74">
        <f>AH35</f>
        <v>1171.26</v>
      </c>
      <c r="AY35" s="74">
        <f>AJ35</f>
        <v>1171.26</v>
      </c>
    </row>
    <row r="36" spans="1:51" ht="13" x14ac:dyDescent="0.3">
      <c r="B36" s="19"/>
      <c r="C36" s="19" t="str">
        <f>"Pro Forma "&amp;eps&amp;" Net Income With Synergies"</f>
        <v>Pro Forma Cash Net Income With Synergies</v>
      </c>
      <c r="I36" s="59">
        <f>SUM(I34:I35)</f>
        <v>2940.2629915550192</v>
      </c>
      <c r="K36" s="59">
        <f>SUM(K34:K35)</f>
        <v>2940.2629915550192</v>
      </c>
      <c r="M36" s="59">
        <f>SUM(M34:M35)</f>
        <v>2940.2629915550192</v>
      </c>
      <c r="O36" s="59">
        <f>SUM(O34:O35)</f>
        <v>2940.2629915550192</v>
      </c>
      <c r="Q36" s="59">
        <f>SUM(Q34:Q35)</f>
        <v>2940.2629915550192</v>
      </c>
      <c r="S36" s="59">
        <f>SUM(S34:S35)</f>
        <v>2940.2629915550192</v>
      </c>
      <c r="U36" s="59">
        <f>SUM(U34:U35)</f>
        <v>2940.2629915550192</v>
      </c>
      <c r="V36" s="180"/>
      <c r="X36" s="59">
        <f>SUM(X34:X35)</f>
        <v>2946.0211443050193</v>
      </c>
      <c r="Z36" s="59">
        <f>SUM(Z34:Z35)</f>
        <v>2946.0211443050193</v>
      </c>
      <c r="AB36" s="59">
        <f>SUM(AB34:AB35)</f>
        <v>2946.0211443050193</v>
      </c>
      <c r="AD36" s="59">
        <f>SUM(AD34:AD35)</f>
        <v>2946.0211443050193</v>
      </c>
      <c r="AF36" s="59">
        <f>SUM(AF34:AF35)</f>
        <v>2946.0211443050193</v>
      </c>
      <c r="AH36" s="59">
        <f>SUM(AH34:AH35)</f>
        <v>2946.0211443050193</v>
      </c>
      <c r="AJ36" s="59">
        <f>SUM(AJ34:AJ35)</f>
        <v>2946.0211443050193</v>
      </c>
      <c r="AK36" s="193"/>
      <c r="AL36" s="16"/>
      <c r="AM36" s="59">
        <f>SUM(AM34:AM35)</f>
        <v>2573.7909205550195</v>
      </c>
      <c r="AO36" s="59">
        <f>SUM(AO34:AO35)</f>
        <v>2518.4883613550192</v>
      </c>
      <c r="AQ36" s="59">
        <f>SUM(AQ34:AQ35)</f>
        <v>2464.6160407550192</v>
      </c>
      <c r="AS36" s="59">
        <f>SUM(AS34:AS35)</f>
        <v>2410.457672435019</v>
      </c>
      <c r="AU36" s="59">
        <f>SUM(AU34:AU35)</f>
        <v>2356.3946533550193</v>
      </c>
      <c r="AW36" s="59">
        <f>SUM(AW34:AW35)</f>
        <v>2302.3316342750195</v>
      </c>
      <c r="AY36" s="59">
        <f>SUM(AY34:AY35)</f>
        <v>2248.2686151950193</v>
      </c>
    </row>
    <row r="37" spans="1:51" x14ac:dyDescent="0.25">
      <c r="V37" s="180"/>
      <c r="AK37" s="180"/>
    </row>
    <row r="38" spans="1:51" ht="13" x14ac:dyDescent="0.3">
      <c r="A38" s="39" t="s">
        <v>279</v>
      </c>
      <c r="B38" s="39"/>
      <c r="V38" s="180"/>
      <c r="AK38" s="180"/>
    </row>
    <row r="39" spans="1:51" x14ac:dyDescent="0.25">
      <c r="B39" t="str">
        <f>acq&amp;" "&amp;year&amp;" "&amp;'Buyer P&amp;L'!$O$5&amp;"P Shares Outstanding"</f>
        <v>Bath &amp; Body Works, Inc. FY 2025P Shares Outstanding</v>
      </c>
      <c r="I39" s="14">
        <f>I21</f>
        <v>251.48</v>
      </c>
      <c r="K39" s="14">
        <f>K21</f>
        <v>251.48</v>
      </c>
      <c r="M39" s="14">
        <f>M21</f>
        <v>251.48</v>
      </c>
      <c r="O39" s="14">
        <f>O21</f>
        <v>251.48</v>
      </c>
      <c r="Q39" s="14">
        <f>Q21</f>
        <v>251.48</v>
      </c>
      <c r="S39" s="14">
        <f>S21</f>
        <v>251.48</v>
      </c>
      <c r="U39" s="14">
        <f>U21</f>
        <v>251.48</v>
      </c>
      <c r="V39" s="180"/>
      <c r="X39" s="14">
        <f>X21</f>
        <v>251.48</v>
      </c>
      <c r="Z39" s="14">
        <f>Z21</f>
        <v>251.48</v>
      </c>
      <c r="AB39" s="14">
        <f>AB21</f>
        <v>251.48</v>
      </c>
      <c r="AD39" s="14">
        <f>AD21</f>
        <v>251.48</v>
      </c>
      <c r="AF39" s="14">
        <f>AF21</f>
        <v>251.48</v>
      </c>
      <c r="AH39" s="14">
        <f>AH21</f>
        <v>251.48</v>
      </c>
      <c r="AJ39" s="14">
        <f>AJ21</f>
        <v>251.48</v>
      </c>
      <c r="AK39" s="194"/>
      <c r="AL39" s="14"/>
      <c r="AM39" s="14">
        <f>AM21</f>
        <v>251.48</v>
      </c>
      <c r="AO39" s="14">
        <f>AO21</f>
        <v>251.48</v>
      </c>
      <c r="AQ39" s="14">
        <f>AQ21</f>
        <v>251.48</v>
      </c>
      <c r="AS39" s="14">
        <f>AS21</f>
        <v>251.48</v>
      </c>
      <c r="AU39" s="14">
        <f>AU21</f>
        <v>251.48</v>
      </c>
      <c r="AW39" s="14">
        <f>AW21</f>
        <v>251.48</v>
      </c>
      <c r="AY39" s="14">
        <f>AY21</f>
        <v>251.48</v>
      </c>
    </row>
    <row r="40" spans="1:51" ht="13.5" customHeight="1" thickBot="1" x14ac:dyDescent="0.3">
      <c r="B40" t="str">
        <f>"Shares Issued for "&amp;tgt&amp;" Basic Shares"</f>
        <v>Shares Issued for Tapestry, Inc. Basic Shares</v>
      </c>
      <c r="I40" s="95">
        <f>I7/acq_price</f>
        <v>275.14391564548299</v>
      </c>
      <c r="J40" s="69"/>
      <c r="K40" s="95">
        <f>K7/acq_price</f>
        <v>316.66457680250778</v>
      </c>
      <c r="L40" s="69"/>
      <c r="M40" s="95">
        <f>M7/acq_price</f>
        <v>357.11142775719571</v>
      </c>
      <c r="N40" s="69"/>
      <c r="O40" s="95">
        <f>O7/acq_price</f>
        <v>397.77304075235105</v>
      </c>
      <c r="P40" s="69"/>
      <c r="Q40" s="95">
        <f>Q7/acq_price</f>
        <v>438.36306640068386</v>
      </c>
      <c r="R40" s="69"/>
      <c r="S40" s="95">
        <f>S7/acq_price</f>
        <v>478.95309204901679</v>
      </c>
      <c r="T40" s="69"/>
      <c r="U40" s="95">
        <f>U7/acq_price</f>
        <v>519.54311769734966</v>
      </c>
      <c r="V40" s="180"/>
      <c r="X40" s="95">
        <f>IF(OR(pct_cash=0,pct_cash=1),X7*0.5/acq_price,X7*(1-pct_cash)/acq_price)</f>
        <v>90.79749216300938</v>
      </c>
      <c r="Y40" s="69"/>
      <c r="Z40" s="95">
        <f>IF(OR(pct_cash=0,pct_cash=1),Z7*0.5/acq_price,Z7*(1-pct_cash)/acq_price)</f>
        <v>104.49931034482755</v>
      </c>
      <c r="AA40" s="69"/>
      <c r="AB40" s="95">
        <f>IF(OR(pct_cash=0,pct_cash=1),AB7*0.5/acq_price,AB7*(1-pct_cash)/acq_price)</f>
        <v>117.84677115987456</v>
      </c>
      <c r="AC40" s="69"/>
      <c r="AD40" s="95">
        <f>IF(OR(pct_cash=0,pct_cash=1),AD7*0.5/acq_price,AD7*(1-pct_cash)/acq_price)</f>
        <v>131.26510344827582</v>
      </c>
      <c r="AE40" s="69"/>
      <c r="AF40" s="95">
        <f>IF(OR(pct_cash=0,pct_cash=1),AF7*0.5/acq_price,AF7*(1-pct_cash)/acq_price)</f>
        <v>144.65981191222565</v>
      </c>
      <c r="AG40" s="69"/>
      <c r="AH40" s="95">
        <f>IF(OR(pct_cash=0,pct_cash=1),AH7*0.5/acq_price,AH7*(1-pct_cash)/acq_price)</f>
        <v>158.05452037617553</v>
      </c>
      <c r="AI40" s="69"/>
      <c r="AJ40" s="95">
        <f>IF(OR(pct_cash=0,pct_cash=1),AJ7*0.5/acq_price,AJ7*(1-pct_cash)/acq_price)</f>
        <v>171.44922884012536</v>
      </c>
      <c r="AK40" s="199"/>
      <c r="AL40" s="173"/>
      <c r="AM40" s="175">
        <v>0</v>
      </c>
      <c r="AN40" s="185"/>
      <c r="AO40" s="185">
        <f>AM40</f>
        <v>0</v>
      </c>
      <c r="AP40" s="185"/>
      <c r="AQ40" s="185">
        <f>AO40</f>
        <v>0</v>
      </c>
      <c r="AR40" s="185"/>
      <c r="AS40" s="185">
        <f>AQ40</f>
        <v>0</v>
      </c>
      <c r="AT40" s="185"/>
      <c r="AU40" s="185">
        <f>AS40</f>
        <v>0</v>
      </c>
      <c r="AV40" s="185"/>
      <c r="AW40" s="185">
        <f>AU40</f>
        <v>0</v>
      </c>
      <c r="AX40" s="185"/>
      <c r="AY40" s="185">
        <f>AW40</f>
        <v>0</v>
      </c>
    </row>
    <row r="41" spans="1:51" ht="13" x14ac:dyDescent="0.3">
      <c r="B41" s="19"/>
      <c r="C41" s="19" t="s">
        <v>280</v>
      </c>
      <c r="I41" s="15">
        <f>SUM(I39:I40)</f>
        <v>526.62391564548295</v>
      </c>
      <c r="K41" s="15">
        <f>SUM(K39:K40)</f>
        <v>568.1445768025078</v>
      </c>
      <c r="M41" s="15">
        <f>SUM(M39:M40)</f>
        <v>608.59142775719567</v>
      </c>
      <c r="O41" s="15">
        <f>SUM(O39:O40)</f>
        <v>649.25304075235101</v>
      </c>
      <c r="Q41" s="15">
        <f>SUM(Q39:Q40)</f>
        <v>689.84306640068382</v>
      </c>
      <c r="S41" s="15">
        <f>SUM(S39:S40)</f>
        <v>730.43309204901675</v>
      </c>
      <c r="U41" s="15">
        <f>SUM(U39:U40)</f>
        <v>771.02311769734968</v>
      </c>
      <c r="V41" s="180"/>
      <c r="X41" s="15">
        <f>SUM(X39:X40)</f>
        <v>342.27749216300936</v>
      </c>
      <c r="Z41" s="15">
        <f>SUM(Z39:Z40)</f>
        <v>355.97931034482752</v>
      </c>
      <c r="AB41" s="15">
        <f>SUM(AB39:AB40)</f>
        <v>369.32677115987457</v>
      </c>
      <c r="AD41" s="15">
        <f>SUM(AD39:AD40)</f>
        <v>382.74510344827581</v>
      </c>
      <c r="AF41" s="15">
        <f>SUM(AF39:AF40)</f>
        <v>396.13981191222564</v>
      </c>
      <c r="AH41" s="15">
        <f>SUM(AH39:AH40)</f>
        <v>409.53452037617552</v>
      </c>
      <c r="AJ41" s="15">
        <f>SUM(AJ39:AJ40)</f>
        <v>422.92922884012535</v>
      </c>
      <c r="AK41" s="194"/>
      <c r="AL41" s="14"/>
      <c r="AM41" s="15">
        <f>SUM(AM39:AM40)</f>
        <v>251.48</v>
      </c>
      <c r="AO41" s="15">
        <f>SUM(AO39:AO40)</f>
        <v>251.48</v>
      </c>
      <c r="AQ41" s="15">
        <f>SUM(AQ39:AQ40)</f>
        <v>251.48</v>
      </c>
      <c r="AS41" s="15">
        <f>SUM(AS39:AS40)</f>
        <v>251.48</v>
      </c>
      <c r="AU41" s="15">
        <f>SUM(AU39:AU40)</f>
        <v>251.48</v>
      </c>
      <c r="AW41" s="15">
        <f>SUM(AW39:AW40)</f>
        <v>251.48</v>
      </c>
      <c r="AY41" s="15">
        <f>SUM(AY39:AY40)</f>
        <v>251.48</v>
      </c>
    </row>
    <row r="42" spans="1:51" x14ac:dyDescent="0.25">
      <c r="V42" s="180"/>
      <c r="AK42" s="180"/>
    </row>
    <row r="43" spans="1:51" ht="13" x14ac:dyDescent="0.3">
      <c r="A43" s="39" t="str">
        <f>year&amp;" "&amp;'Buyer P&amp;L'!$O$5&amp;"P "&amp;eps&amp;" EPS Without Synergies"</f>
        <v>FY 2025P Cash EPS Without Synergies</v>
      </c>
      <c r="B43" s="39"/>
      <c r="G43" s="97">
        <f>IF(eps="GAAP",'Buyer P&amp;L'!O63,'Buyer P&amp;L'!O51)</f>
        <v>4.7661841895975821</v>
      </c>
      <c r="I43" s="32">
        <f>I34/I41</f>
        <v>3.3591391104727029</v>
      </c>
      <c r="K43" s="32">
        <f>K34/K41</f>
        <v>3.1136493487465615</v>
      </c>
      <c r="M43" s="32">
        <f>M34/M41</f>
        <v>2.906716905419152</v>
      </c>
      <c r="O43" s="32">
        <f>O34/O41</f>
        <v>2.7246741724999977</v>
      </c>
      <c r="Q43" s="32">
        <f>Q34/Q41</f>
        <v>2.5643556885842838</v>
      </c>
      <c r="S43" s="32">
        <f>S34/S41</f>
        <v>2.4218549389549122</v>
      </c>
      <c r="U43" s="32">
        <f>U34/U41</f>
        <v>2.2943579134671386</v>
      </c>
      <c r="V43" s="180"/>
      <c r="X43" s="32">
        <f>X34/X41</f>
        <v>5.185152938598109</v>
      </c>
      <c r="Z43" s="32">
        <f>Z34/Z41</f>
        <v>4.985573859856788</v>
      </c>
      <c r="AB43" s="32">
        <f>AB34/AB41</f>
        <v>4.8053953379316727</v>
      </c>
      <c r="AD43" s="32">
        <f>AD34/AD41</f>
        <v>4.6369271045288771</v>
      </c>
      <c r="AF43" s="32">
        <f>AF34/AF41</f>
        <v>4.4801383020251961</v>
      </c>
      <c r="AH43" s="32">
        <f>AH34/AH41</f>
        <v>4.3336057304151616</v>
      </c>
      <c r="AJ43" s="32">
        <f>AJ34/AJ41</f>
        <v>4.1963549059313419</v>
      </c>
      <c r="AK43" s="195"/>
      <c r="AL43" s="32"/>
      <c r="AM43" s="32">
        <f>AM34/AM41</f>
        <v>5.5771072075513732</v>
      </c>
      <c r="AO43" s="32">
        <f>AO34/AO41</f>
        <v>5.3571988283562089</v>
      </c>
      <c r="AQ43" s="32">
        <f>AQ34/AQ41</f>
        <v>5.1429777348298842</v>
      </c>
      <c r="AS43" s="32">
        <f>AS34/AS41</f>
        <v>4.9276191841697923</v>
      </c>
      <c r="AU43" s="32">
        <f>AU34/AU41</f>
        <v>4.7126397858876228</v>
      </c>
      <c r="AW43" s="32">
        <f>AW34/AW41</f>
        <v>4.4976603876054533</v>
      </c>
      <c r="AY43" s="32">
        <f>AY34/AY41</f>
        <v>4.2826809893232838</v>
      </c>
    </row>
    <row r="44" spans="1:51" x14ac:dyDescent="0.25">
      <c r="B44" t="s">
        <v>281</v>
      </c>
      <c r="I44" s="32">
        <f>I43-$G43</f>
        <v>-1.4070450791248792</v>
      </c>
      <c r="K44" s="32">
        <f>K43-$G43</f>
        <v>-1.6525348408510205</v>
      </c>
      <c r="M44" s="32">
        <f>M43-$G43</f>
        <v>-1.8594672841784301</v>
      </c>
      <c r="O44" s="32">
        <f>O43-$G43</f>
        <v>-2.0415100170975844</v>
      </c>
      <c r="Q44" s="32">
        <f>Q43-$G43</f>
        <v>-2.2018285010132983</v>
      </c>
      <c r="S44" s="32">
        <f>S43-$G43</f>
        <v>-2.3443292506426698</v>
      </c>
      <c r="U44" s="32">
        <f>U43-$G43</f>
        <v>-2.4718262761304435</v>
      </c>
      <c r="V44" s="180"/>
      <c r="X44" s="32">
        <f>X43-$G43</f>
        <v>0.41896874900052694</v>
      </c>
      <c r="Z44" s="32">
        <f>Z43-$G43</f>
        <v>0.21938967025920597</v>
      </c>
      <c r="AB44" s="32">
        <f>AB43-$G43</f>
        <v>3.9211148334090673E-2</v>
      </c>
      <c r="AD44" s="32">
        <f>AD43-$G43</f>
        <v>-0.12925708506870492</v>
      </c>
      <c r="AF44" s="32">
        <f>AF43-$G43</f>
        <v>-0.28604588757238592</v>
      </c>
      <c r="AH44" s="32">
        <f>AH43-$G43</f>
        <v>-0.43257845918242044</v>
      </c>
      <c r="AJ44" s="32">
        <f>AJ43-$G43</f>
        <v>-0.56982928366624019</v>
      </c>
      <c r="AK44" s="195"/>
      <c r="AL44" s="32"/>
      <c r="AM44" s="32">
        <f>AM43-$G43</f>
        <v>0.81092301795379118</v>
      </c>
      <c r="AO44" s="32">
        <f>AO43-$G43</f>
        <v>0.59101463875862681</v>
      </c>
      <c r="AQ44" s="32">
        <f>AQ43-$G43</f>
        <v>0.37679354523230213</v>
      </c>
      <c r="AS44" s="32">
        <f>AS43-$G43</f>
        <v>0.16143499457221022</v>
      </c>
      <c r="AU44" s="32">
        <f>AU43-$G43</f>
        <v>-5.3544403709959276E-2</v>
      </c>
      <c r="AW44" s="32">
        <f>AW43-$G43</f>
        <v>-0.26852380199212877</v>
      </c>
      <c r="AY44" s="32">
        <f>AY43-$G43</f>
        <v>-0.48350320027429827</v>
      </c>
    </row>
    <row r="45" spans="1:51" s="178" customFormat="1" ht="13" x14ac:dyDescent="0.3">
      <c r="A45" s="166"/>
      <c r="B45" s="166" t="s">
        <v>282</v>
      </c>
      <c r="C45" s="111"/>
      <c r="D45" s="166"/>
      <c r="E45" s="166"/>
      <c r="F45" s="166"/>
      <c r="G45" s="166"/>
      <c r="H45" s="166"/>
      <c r="I45" s="167">
        <f>I44/$G43</f>
        <v>-0.29521416360614439</v>
      </c>
      <c r="J45" s="166"/>
      <c r="K45" s="167">
        <f>K44/$G43</f>
        <v>-0.34672072566095002</v>
      </c>
      <c r="L45" s="166"/>
      <c r="M45" s="167">
        <f>M44/$G43</f>
        <v>-0.39013752096211551</v>
      </c>
      <c r="N45" s="166"/>
      <c r="O45" s="167">
        <f>O44/$G43</f>
        <v>-0.4283321701148845</v>
      </c>
      <c r="P45" s="166"/>
      <c r="Q45" s="167">
        <f>Q44/$G43</f>
        <v>-0.4619688231560356</v>
      </c>
      <c r="R45" s="166"/>
      <c r="S45" s="167">
        <f>S44/$G43</f>
        <v>-0.4918671115898704</v>
      </c>
      <c r="T45" s="166"/>
      <c r="U45" s="167">
        <f>U44/$G43</f>
        <v>-0.51861744695585177</v>
      </c>
      <c r="V45" s="188"/>
      <c r="W45" s="166"/>
      <c r="X45" s="167">
        <f>X44/$G43</f>
        <v>8.7904439344779345E-2</v>
      </c>
      <c r="Y45" s="166"/>
      <c r="Z45" s="167">
        <f>Z44/$G43</f>
        <v>4.6030464105443952E-2</v>
      </c>
      <c r="AA45" s="166"/>
      <c r="AB45" s="167">
        <f>AB44/$G43</f>
        <v>8.2269477582655789E-3</v>
      </c>
      <c r="AC45" s="166"/>
      <c r="AD45" s="167">
        <f>AD44/$G43</f>
        <v>-2.7119616012913329E-2</v>
      </c>
      <c r="AE45" s="166"/>
      <c r="AF45" s="167">
        <f>AF44/$G43</f>
        <v>-6.0015701490658782E-2</v>
      </c>
      <c r="AG45" s="166"/>
      <c r="AH45" s="167">
        <f>AH44/$G43</f>
        <v>-9.0759912327044126E-2</v>
      </c>
      <c r="AI45" s="166"/>
      <c r="AJ45" s="167">
        <f>AJ44/$G43</f>
        <v>-0.11955670637108801</v>
      </c>
      <c r="AK45" s="200"/>
      <c r="AL45" s="167"/>
      <c r="AM45" s="167">
        <f>AM44/$G43</f>
        <v>0.17014093154932372</v>
      </c>
      <c r="AN45" s="166"/>
      <c r="AO45" s="167">
        <f>AO44/$G43</f>
        <v>0.12400163637161644</v>
      </c>
      <c r="AP45" s="166"/>
      <c r="AQ45" s="167">
        <f>AQ44/$G43</f>
        <v>7.9055598827815238E-2</v>
      </c>
      <c r="AR45" s="166"/>
      <c r="AS45" s="167">
        <f>AS44/$G43</f>
        <v>3.3870909757232961E-2</v>
      </c>
      <c r="AT45" s="166"/>
      <c r="AU45" s="167">
        <f>AU44/$G43</f>
        <v>-1.1234228804422292E-2</v>
      </c>
      <c r="AV45" s="166"/>
      <c r="AW45" s="167">
        <f>AW44/$G43</f>
        <v>-5.6339367366077545E-2</v>
      </c>
      <c r="AX45" s="166"/>
      <c r="AY45" s="167">
        <f>AY44/$G43</f>
        <v>-0.1014445059277328</v>
      </c>
    </row>
    <row r="46" spans="1:51" x14ac:dyDescent="0.25">
      <c r="B46" t="s">
        <v>283</v>
      </c>
      <c r="I46" s="144">
        <f>-I44*I$41/(1-tax_rate)</f>
        <v>1024.8735671624513</v>
      </c>
      <c r="J46" s="69"/>
      <c r="K46" s="144">
        <f>-K44*K$41/(1-tax_rate)</f>
        <v>1298.5874243522858</v>
      </c>
      <c r="L46" s="69"/>
      <c r="M46" s="144">
        <f>-M44*M$41/(1-tax_rate)</f>
        <v>1565.2224748906583</v>
      </c>
      <c r="N46" s="69"/>
      <c r="O46" s="144">
        <f>-O44*O$41/(1-tax_rate)</f>
        <v>1833.2732867593236</v>
      </c>
      <c r="P46" s="69"/>
      <c r="Q46" s="144">
        <f>-Q44*Q$41/(1-tax_rate)</f>
        <v>2100.8521781845575</v>
      </c>
      <c r="R46" s="69"/>
      <c r="S46" s="144">
        <f>-S44*S$41/(1-tax_rate)</f>
        <v>2368.4310696097923</v>
      </c>
      <c r="T46" s="69"/>
      <c r="U46" s="144">
        <f>-U44*U$41/(1-tax_rate)</f>
        <v>2636.0099610350271</v>
      </c>
      <c r="V46" s="180"/>
      <c r="X46" s="144">
        <f>-X44*X$41/(1-tax_rate)</f>
        <v>-198.34519045999127</v>
      </c>
      <c r="Y46" s="69"/>
      <c r="Z46" s="144">
        <f>-Z44*Z$41/(1-tax_rate)</f>
        <v>-108.01961758734615</v>
      </c>
      <c r="AA46" s="69"/>
      <c r="AB46" s="144">
        <f>-AB44*AB$41/(1-tax_rate)</f>
        <v>-20.030050909682718</v>
      </c>
      <c r="AC46" s="69"/>
      <c r="AD46" s="144">
        <f>-AD44*AD$41/(1-tax_rate)</f>
        <v>68.426717006976574</v>
      </c>
      <c r="AE46" s="69"/>
      <c r="AF46" s="144">
        <f>-AF44*AF$41/(1-tax_rate)</f>
        <v>156.72775117730373</v>
      </c>
      <c r="AG46" s="69"/>
      <c r="AH46" s="144">
        <f>-AH44*AH$41/(1-tax_rate)</f>
        <v>245.0287853476315</v>
      </c>
      <c r="AI46" s="69"/>
      <c r="AJ46" s="144">
        <f>-AJ44*AJ$41/(1-tax_rate)</f>
        <v>333.32981951795853</v>
      </c>
      <c r="AK46" s="201"/>
      <c r="AL46" s="113"/>
      <c r="AM46" s="144">
        <f>-AM44*AM$41/(1-tax_rate)</f>
        <v>-282.06213078149295</v>
      </c>
      <c r="AN46" s="69"/>
      <c r="AO46" s="144">
        <f>-AO44*AO$41/(1-tax_rate)</f>
        <v>-205.57173078149302</v>
      </c>
      <c r="AP46" s="69"/>
      <c r="AQ46" s="144">
        <f>-AQ44*AQ$41/(1-tax_rate)</f>
        <v>-131.05953078149287</v>
      </c>
      <c r="AR46" s="69"/>
      <c r="AS46" s="144">
        <f>-AS44*AS$41/(1-tax_rate)</f>
        <v>-56.151690781492981</v>
      </c>
      <c r="AT46" s="69"/>
      <c r="AU46" s="144">
        <f>-AU44*AU$41/(1-tax_rate)</f>
        <v>18.624269218506996</v>
      </c>
      <c r="AV46" s="69"/>
      <c r="AW46" s="144">
        <f>-AW44*AW$41/(1-tax_rate)</f>
        <v>93.400229218506979</v>
      </c>
      <c r="AX46" s="69"/>
      <c r="AY46" s="144">
        <f>-AY44*AY$41/(1-tax_rate)</f>
        <v>168.17618921850695</v>
      </c>
    </row>
    <row r="47" spans="1:51" s="147" customFormat="1" ht="13" x14ac:dyDescent="0.3">
      <c r="B47" s="147" t="s">
        <v>284</v>
      </c>
      <c r="I47" s="179">
        <f>I46/('PF P&amp;L'!$O$10+'PF P&amp;L'!$O$16+'PF P&amp;L'!$O$30)</f>
        <v>7.5679265732013765E-2</v>
      </c>
      <c r="J47" s="179"/>
      <c r="K47" s="179">
        <f>K46/('PF P&amp;L'!$O$10+'PF P&amp;L'!$O$16+'PF P&amp;L'!$O$30)</f>
        <v>9.5890991740477147E-2</v>
      </c>
      <c r="L47" s="179"/>
      <c r="M47" s="179">
        <f>M46/('PF P&amp;L'!$O$10+'PF P&amp;L'!$O$16+'PF P&amp;L'!$O$30)</f>
        <v>0.11558000069699745</v>
      </c>
      <c r="N47" s="179"/>
      <c r="O47" s="179">
        <f>O46/('PF P&amp;L'!$O$10+'PF P&amp;L'!$O$16+'PF P&amp;L'!$O$30)</f>
        <v>0.13537355306390639</v>
      </c>
      <c r="P47" s="179"/>
      <c r="Q47" s="179">
        <f>Q46/('PF P&amp;L'!$O$10+'PF P&amp;L'!$O$16+'PF P&amp;L'!$O$30)</f>
        <v>0.15513225762735242</v>
      </c>
      <c r="R47" s="179"/>
      <c r="S47" s="179">
        <f>S46/('PF P&amp;L'!$O$10+'PF P&amp;L'!$O$16+'PF P&amp;L'!$O$30)</f>
        <v>0.17489096219079853</v>
      </c>
      <c r="T47" s="179"/>
      <c r="U47" s="179">
        <f>U46/('PF P&amp;L'!$O$10+'PF P&amp;L'!$O$16+'PF P&amp;L'!$O$30)</f>
        <v>0.19464966675424461</v>
      </c>
      <c r="V47" s="189"/>
      <c r="X47" s="179">
        <f>X46/('PF P&amp;L'!$O$10+'PF P&amp;L'!$O$16+'PF P&amp;L'!$O$30)</f>
        <v>-1.4646312341773226E-2</v>
      </c>
      <c r="Y47" s="179"/>
      <c r="Z47" s="179">
        <f>Z46/('PF P&amp;L'!$O$10+'PF P&amp;L'!$O$16+'PF P&amp;L'!$O$30)</f>
        <v>-7.976442758980332E-3</v>
      </c>
      <c r="AA47" s="179"/>
      <c r="AB47" s="179">
        <f>AB46/('PF P&amp;L'!$O$10+'PF P&amp;L'!$O$16+'PF P&amp;L'!$O$30)</f>
        <v>-1.479069803328595E-3</v>
      </c>
      <c r="AC47" s="179"/>
      <c r="AD47" s="179">
        <f>AD46/('PF P&amp;L'!$O$10+'PF P&amp;L'!$O$16+'PF P&amp;L'!$O$30)</f>
        <v>5.052802477751338E-3</v>
      </c>
      <c r="AE47" s="179"/>
      <c r="AF47" s="179">
        <f>AF46/('PF P&amp;L'!$O$10+'PF P&amp;L'!$O$16+'PF P&amp;L'!$O$30)</f>
        <v>1.1573174983688525E-2</v>
      </c>
      <c r="AG47" s="179"/>
      <c r="AH47" s="179">
        <f>AH46/('PF P&amp;L'!$O$10+'PF P&amp;L'!$O$16+'PF P&amp;L'!$O$30)</f>
        <v>1.8093547489625758E-2</v>
      </c>
      <c r="AI47" s="179"/>
      <c r="AJ47" s="179">
        <f>AJ46/('PF P&amp;L'!$O$10+'PF P&amp;L'!$O$16+'PF P&amp;L'!$O$30)</f>
        <v>2.4613919995562936E-2</v>
      </c>
      <c r="AK47" s="202"/>
      <c r="AL47" s="49"/>
      <c r="AM47" s="179">
        <f>AM46/('PF P&amp;L'!$O$10+'PF P&amp;L'!$O$16+'PF P&amp;L'!$O$30)</f>
        <v>-2.0828183721677603E-2</v>
      </c>
      <c r="AN47" s="179"/>
      <c r="AO47" s="179">
        <f>AO46/('PF P&amp;L'!$O$10+'PF P&amp;L'!$O$16+'PF P&amp;L'!$O$30)</f>
        <v>-1.5179938422918272E-2</v>
      </c>
      <c r="AP47" s="179"/>
      <c r="AQ47" s="179">
        <f>AQ46/('PF P&amp;L'!$O$10+'PF P&amp;L'!$O$16+'PF P&amp;L'!$O$30)</f>
        <v>-9.6777684336095977E-3</v>
      </c>
      <c r="AR47" s="179"/>
      <c r="AS47" s="179">
        <f>AS46/('PF P&amp;L'!$O$10+'PF P&amp;L'!$O$16+'PF P&amp;L'!$O$30)</f>
        <v>-4.1463833824108079E-3</v>
      </c>
      <c r="AT47" s="179"/>
      <c r="AU47" s="179">
        <f>AU46/('PF P&amp;L'!$O$10+'PF P&amp;L'!$O$16+'PF P&amp;L'!$O$30)</f>
        <v>1.37526331482461E-3</v>
      </c>
      <c r="AV47" s="179"/>
      <c r="AW47" s="179">
        <f>AW46/('PF P&amp;L'!$O$10+'PF P&amp;L'!$O$16+'PF P&amp;L'!$O$30)</f>
        <v>6.8969100120600283E-3</v>
      </c>
      <c r="AX47" s="179"/>
      <c r="AY47" s="179">
        <f>AY46/('PF P&amp;L'!$O$10+'PF P&amp;L'!$O$16+'PF P&amp;L'!$O$30)</f>
        <v>1.2418556709295446E-2</v>
      </c>
    </row>
    <row r="48" spans="1:51" x14ac:dyDescent="0.25">
      <c r="V48" s="180"/>
      <c r="AK48" s="180"/>
    </row>
    <row r="49" spans="1:51" ht="13" x14ac:dyDescent="0.3">
      <c r="A49" s="39" t="str">
        <f>year&amp;" "&amp;'Buyer P&amp;L'!$O$5&amp;"P "&amp;eps&amp;" EPS With Synergies"</f>
        <v>FY 2025P Cash EPS With Synergies</v>
      </c>
      <c r="B49" s="39"/>
      <c r="G49" s="32">
        <f>G43</f>
        <v>4.7661841895975821</v>
      </c>
      <c r="I49" s="32">
        <f>I36/I41</f>
        <v>5.5832310387027118</v>
      </c>
      <c r="K49" s="32">
        <f>K36/K41</f>
        <v>5.1752020728644235</v>
      </c>
      <c r="M49" s="32">
        <f>M36/M41</f>
        <v>4.8312592939249708</v>
      </c>
      <c r="O49" s="32">
        <f>O36/O41</f>
        <v>4.528685746543224</v>
      </c>
      <c r="Q49" s="32">
        <f>Q36/Q41</f>
        <v>4.2622201117365677</v>
      </c>
      <c r="S49" s="32">
        <f>S36/S41</f>
        <v>4.0253693645053374</v>
      </c>
      <c r="U49" s="32">
        <f>U36/U41</f>
        <v>3.8134563336259952</v>
      </c>
      <c r="V49" s="180"/>
      <c r="X49" s="32">
        <f>X36/X41</f>
        <v>8.6071132684996403</v>
      </c>
      <c r="Z49" s="32">
        <f>Z36/Z41</f>
        <v>8.2758212589694846</v>
      </c>
      <c r="AB49" s="32">
        <f>AB36/AB41</f>
        <v>7.9767332734992626</v>
      </c>
      <c r="AD49" s="32">
        <f>AD36/AD41</f>
        <v>7.6970838235769738</v>
      </c>
      <c r="AF49" s="32">
        <f>AF36/AF41</f>
        <v>7.4368216869800037</v>
      </c>
      <c r="AH49" s="32">
        <f>AH36/AH41</f>
        <v>7.1935844177408264</v>
      </c>
      <c r="AJ49" s="32">
        <f>AJ36/AJ41</f>
        <v>6.9657544180250239</v>
      </c>
      <c r="AK49" s="195"/>
      <c r="AL49" s="32"/>
      <c r="AM49" s="32">
        <f>AM36/AM41</f>
        <v>10.234574998230553</v>
      </c>
      <c r="AO49" s="32">
        <f>AO36/AO41</f>
        <v>10.014666619035388</v>
      </c>
      <c r="AQ49" s="32">
        <f>AQ36/AQ41</f>
        <v>9.8004455255090637</v>
      </c>
      <c r="AS49" s="32">
        <f>AS36/AS41</f>
        <v>9.58508697484897</v>
      </c>
      <c r="AU49" s="32">
        <f>AU36/AU41</f>
        <v>9.3701075765668023</v>
      </c>
      <c r="AW49" s="32">
        <f>AW36/AW41</f>
        <v>9.1551281782846328</v>
      </c>
      <c r="AY49" s="32">
        <f>AY36/AY41</f>
        <v>8.9401487800024633</v>
      </c>
    </row>
    <row r="50" spans="1:51" x14ac:dyDescent="0.25">
      <c r="B50" t="s">
        <v>281</v>
      </c>
      <c r="I50" s="32">
        <f>I49-$G49</f>
        <v>0.8170468491051297</v>
      </c>
      <c r="K50" s="32">
        <f>K49-$G49</f>
        <v>0.40901788326684141</v>
      </c>
      <c r="M50" s="32">
        <f>M49-$G49</f>
        <v>6.5075104327388722E-2</v>
      </c>
      <c r="O50" s="32">
        <f>O49-$G49</f>
        <v>-0.23749844305435808</v>
      </c>
      <c r="Q50" s="32">
        <f>Q49-$G49</f>
        <v>-0.50396407786101438</v>
      </c>
      <c r="S50" s="32">
        <f>S49-$G49</f>
        <v>-0.74081482509224461</v>
      </c>
      <c r="U50" s="32">
        <f>U49-$G49</f>
        <v>-0.95272785597158682</v>
      </c>
      <c r="V50" s="180"/>
      <c r="X50" s="32">
        <f>X49-$G49</f>
        <v>3.8409290789020583</v>
      </c>
      <c r="Z50" s="32">
        <f>Z49-$G49</f>
        <v>3.5096370693719026</v>
      </c>
      <c r="AB50" s="32">
        <f>AB49-$G49</f>
        <v>3.2105490839016806</v>
      </c>
      <c r="AD50" s="32">
        <f>AD49-$G49</f>
        <v>2.9308996339793918</v>
      </c>
      <c r="AF50" s="32">
        <f>AF49-$G49</f>
        <v>2.6706374973824216</v>
      </c>
      <c r="AH50" s="32">
        <f>AH49-$G49</f>
        <v>2.4274002281432443</v>
      </c>
      <c r="AJ50" s="32">
        <f>AJ49-$G49</f>
        <v>2.1995702284274419</v>
      </c>
      <c r="AK50" s="195"/>
      <c r="AL50" s="32"/>
      <c r="AM50" s="32">
        <f>AM49-$G49</f>
        <v>5.4683908086329707</v>
      </c>
      <c r="AO50" s="32">
        <f>AO49-$G49</f>
        <v>5.2484824294378063</v>
      </c>
      <c r="AQ50" s="32">
        <f>AQ49-$G49</f>
        <v>5.0342613359114816</v>
      </c>
      <c r="AS50" s="32">
        <f>AS49-$G49</f>
        <v>4.8189027852513879</v>
      </c>
      <c r="AU50" s="32">
        <f>AU49-$G49</f>
        <v>4.6039233869692202</v>
      </c>
      <c r="AW50" s="32">
        <f>AW49-$G49</f>
        <v>4.3889439886870507</v>
      </c>
      <c r="AY50" s="32">
        <f>AY49-$G49</f>
        <v>4.1739645904048812</v>
      </c>
    </row>
    <row r="51" spans="1:51" ht="13" x14ac:dyDescent="0.3">
      <c r="A51" s="111"/>
      <c r="B51" s="166" t="s">
        <v>282</v>
      </c>
      <c r="C51" s="111"/>
      <c r="D51" s="111"/>
      <c r="E51" s="111"/>
      <c r="F51" s="111"/>
      <c r="G51" s="111"/>
      <c r="H51" s="111"/>
      <c r="I51" s="167">
        <f>I50/$G49</f>
        <v>0.1714257814224579</v>
      </c>
      <c r="J51" s="111"/>
      <c r="K51" s="167">
        <f>K50/$G49</f>
        <v>8.5816633809398704E-2</v>
      </c>
      <c r="L51" s="111"/>
      <c r="M51" s="167">
        <f>M50/$G49</f>
        <v>1.3653501782289102E-2</v>
      </c>
      <c r="N51" s="111"/>
      <c r="O51" s="167">
        <f>O50/$G49</f>
        <v>-4.9829891923335534E-2</v>
      </c>
      <c r="P51" s="111"/>
      <c r="Q51" s="167">
        <f>Q50/$G49</f>
        <v>-0.10573743225470374</v>
      </c>
      <c r="R51" s="111"/>
      <c r="S51" s="167">
        <f>S50/$G49</f>
        <v>-0.15543143018037517</v>
      </c>
      <c r="T51" s="111"/>
      <c r="U51" s="167">
        <f>U50/$G49</f>
        <v>-0.19989320976116692</v>
      </c>
      <c r="V51" s="188"/>
      <c r="W51" s="166"/>
      <c r="X51" s="167">
        <f>X50/$G49</f>
        <v>0.80587088666968931</v>
      </c>
      <c r="Y51" s="111"/>
      <c r="Z51" s="167">
        <f>Z50/$G49</f>
        <v>0.73636203087405816</v>
      </c>
      <c r="AA51" s="111"/>
      <c r="AB51" s="331">
        <f>AB50/$G49</f>
        <v>0.67360994795561047</v>
      </c>
      <c r="AC51" s="111"/>
      <c r="AD51" s="167">
        <f>AD50/$G49</f>
        <v>0.61493629230196689</v>
      </c>
      <c r="AE51" s="111"/>
      <c r="AF51" s="167">
        <f>AF50/$G49</f>
        <v>0.56033031690449808</v>
      </c>
      <c r="AG51" s="111"/>
      <c r="AH51" s="167">
        <f>AH50/$G49</f>
        <v>0.50929635355703584</v>
      </c>
      <c r="AI51" s="111"/>
      <c r="AJ51" s="167">
        <f>AJ50/$G49</f>
        <v>0.46149501171778168</v>
      </c>
      <c r="AK51" s="200"/>
      <c r="AL51" s="167"/>
      <c r="AM51" s="167">
        <f>AM50/$G49</f>
        <v>1.1473309866135655</v>
      </c>
      <c r="AN51" s="111"/>
      <c r="AO51" s="167">
        <f>AO50/$G49</f>
        <v>1.1011916914358582</v>
      </c>
      <c r="AP51" s="111"/>
      <c r="AQ51" s="167">
        <f>AQ50/$G49</f>
        <v>1.056245653892057</v>
      </c>
      <c r="AR51" s="111"/>
      <c r="AS51" s="167">
        <f>AS50/$G49</f>
        <v>1.0110609648214743</v>
      </c>
      <c r="AT51" s="111"/>
      <c r="AU51" s="167">
        <f>AU50/$G49</f>
        <v>0.96595582625981946</v>
      </c>
      <c r="AV51" s="111"/>
      <c r="AW51" s="167">
        <f>AW50/$G49</f>
        <v>0.92085068769816414</v>
      </c>
      <c r="AX51" s="111"/>
      <c r="AY51" s="167">
        <f>AY50/$G49</f>
        <v>0.87574554913650893</v>
      </c>
    </row>
    <row r="52" spans="1:51" x14ac:dyDescent="0.25">
      <c r="B52" t="s">
        <v>283</v>
      </c>
      <c r="I52" s="144">
        <f>-I50*I$41/(1-tax_rate)</f>
        <v>-595.12643283754835</v>
      </c>
      <c r="J52" s="69"/>
      <c r="K52" s="144">
        <f>-K50*K$41/(1-tax_rate)</f>
        <v>-321.41257564771394</v>
      </c>
      <c r="L52" s="69"/>
      <c r="M52" s="144">
        <f>-M50*M$41/(1-tax_rate)</f>
        <v>-54.777525109341589</v>
      </c>
      <c r="N52" s="69"/>
      <c r="O52" s="144">
        <f>-O50*O$41/(1-tax_rate)</f>
        <v>213.27328675932372</v>
      </c>
      <c r="P52" s="69"/>
      <c r="Q52" s="144">
        <f>-Q50*Q$41/(1-tax_rate)</f>
        <v>480.8521781845576</v>
      </c>
      <c r="R52" s="69"/>
      <c r="S52" s="144">
        <f>-S50*S$41/(1-tax_rate)</f>
        <v>748.43106960979219</v>
      </c>
      <c r="T52" s="69"/>
      <c r="U52" s="144">
        <f>-U50*U$41/(1-tax_rate)</f>
        <v>1016.0099610350269</v>
      </c>
      <c r="V52" s="180"/>
      <c r="X52" s="144">
        <f>-X50*X$41/(1-tax_rate)</f>
        <v>-1818.3451904599917</v>
      </c>
      <c r="Y52" s="69"/>
      <c r="Z52" s="144">
        <f>-Z50*Z$41/(1-tax_rate)</f>
        <v>-1728.0196175873466</v>
      </c>
      <c r="AA52" s="69"/>
      <c r="AB52" s="144">
        <f>-AB50*AB$41/(1-tax_rate)</f>
        <v>-1640.030050909683</v>
      </c>
      <c r="AC52" s="69"/>
      <c r="AD52" s="144">
        <f>-AD50*AD$41/(1-tax_rate)</f>
        <v>-1551.5732829930234</v>
      </c>
      <c r="AE52" s="69"/>
      <c r="AF52" s="144">
        <f>-AF50*AF$41/(1-tax_rate)</f>
        <v>-1463.2722488226964</v>
      </c>
      <c r="AG52" s="69"/>
      <c r="AH52" s="144">
        <f>-AH50*AH$41/(1-tax_rate)</f>
        <v>-1374.9712146523689</v>
      </c>
      <c r="AI52" s="69"/>
      <c r="AJ52" s="144">
        <f>-AJ50*AJ$41/(1-tax_rate)</f>
        <v>-1286.670180482042</v>
      </c>
      <c r="AK52" s="201"/>
      <c r="AL52" s="113"/>
      <c r="AM52" s="144">
        <f>-AM50*AM$41/(1-tax_rate)</f>
        <v>-1902.0621307814929</v>
      </c>
      <c r="AN52" s="69"/>
      <c r="AO52" s="144">
        <f>-AO50*AO$41/(1-tax_rate)</f>
        <v>-1825.5717307814932</v>
      </c>
      <c r="AP52" s="69"/>
      <c r="AQ52" s="144">
        <f>-AQ50*AQ$41/(1-tax_rate)</f>
        <v>-1751.0595307814929</v>
      </c>
      <c r="AR52" s="69"/>
      <c r="AS52" s="144">
        <f>-AS50*AS$41/(1-tax_rate)</f>
        <v>-1676.1516907814923</v>
      </c>
      <c r="AT52" s="69"/>
      <c r="AU52" s="144">
        <f>-AU50*AU$41/(1-tax_rate)</f>
        <v>-1601.3757307814928</v>
      </c>
      <c r="AV52" s="69"/>
      <c r="AW52" s="144">
        <f>-AW50*AW$41/(1-tax_rate)</f>
        <v>-1526.5997707814929</v>
      </c>
      <c r="AX52" s="69"/>
      <c r="AY52" s="144">
        <f>-AY50*AY$41/(1-tax_rate)</f>
        <v>-1451.8238107814932</v>
      </c>
    </row>
    <row r="53" spans="1:51" s="147" customFormat="1" ht="13" x14ac:dyDescent="0.3">
      <c r="B53" s="147" t="s">
        <v>284</v>
      </c>
      <c r="I53" s="179">
        <f>I52/('PF P&amp;L'!$O$10+'PF P&amp;L'!$O$16+'PF P&amp;L'!$O$30)</f>
        <v>-4.3945646465989148E-2</v>
      </c>
      <c r="J53" s="179"/>
      <c r="K53" s="179">
        <f>K52/('PF P&amp;L'!$O$10+'PF P&amp;L'!$O$16+'PF P&amp;L'!$O$30)</f>
        <v>-2.3733920457525776E-2</v>
      </c>
      <c r="L53" s="179"/>
      <c r="M53" s="179">
        <f>M52/('PF P&amp;L'!$O$10+'PF P&amp;L'!$O$16+'PF P&amp;L'!$O$30)</f>
        <v>-4.0449115010054871E-3</v>
      </c>
      <c r="N53" s="179"/>
      <c r="O53" s="179">
        <f>O52/('PF P&amp;L'!$O$10+'PF P&amp;L'!$O$16+'PF P&amp;L'!$O$30)</f>
        <v>1.5748640865903458E-2</v>
      </c>
      <c r="P53" s="179"/>
      <c r="Q53" s="179">
        <f>Q52/('PF P&amp;L'!$O$10+'PF P&amp;L'!$O$16+'PF P&amp;L'!$O$30)</f>
        <v>3.5507345429349489E-2</v>
      </c>
      <c r="R53" s="179"/>
      <c r="S53" s="179">
        <f>S52/('PF P&amp;L'!$O$10+'PF P&amp;L'!$O$16+'PF P&amp;L'!$O$30)</f>
        <v>5.5266049992795566E-2</v>
      </c>
      <c r="T53" s="179"/>
      <c r="U53" s="179">
        <f>U52/('PF P&amp;L'!$O$10+'PF P&amp;L'!$O$16+'PF P&amp;L'!$O$30)</f>
        <v>7.5024754556241649E-2</v>
      </c>
      <c r="V53" s="189"/>
      <c r="X53" s="179">
        <f>X52/('PF P&amp;L'!$O$10+'PF P&amp;L'!$O$16+'PF P&amp;L'!$O$30)</f>
        <v>-0.13427122453977619</v>
      </c>
      <c r="Y53" s="179"/>
      <c r="Z53" s="179">
        <f>Z52/('PF P&amp;L'!$O$10+'PF P&amp;L'!$O$16+'PF P&amp;L'!$O$30)</f>
        <v>-0.1276013549569833</v>
      </c>
      <c r="AA53" s="179"/>
      <c r="AB53" s="179">
        <f>AB52/('PF P&amp;L'!$O$10+'PF P&amp;L'!$O$16+'PF P&amp;L'!$O$30)</f>
        <v>-0.12110398200133156</v>
      </c>
      <c r="AC53" s="179"/>
      <c r="AD53" s="179">
        <f>AD52/('PF P&amp;L'!$O$10+'PF P&amp;L'!$O$16+'PF P&amp;L'!$O$30)</f>
        <v>-0.1145721097202516</v>
      </c>
      <c r="AE53" s="179"/>
      <c r="AF53" s="179">
        <f>AF52/('PF P&amp;L'!$O$10+'PF P&amp;L'!$O$16+'PF P&amp;L'!$O$30)</f>
        <v>-0.10805173721431442</v>
      </c>
      <c r="AG53" s="179"/>
      <c r="AH53" s="179">
        <f>AH52/('PF P&amp;L'!$O$10+'PF P&amp;L'!$O$16+'PF P&amp;L'!$O$30)</f>
        <v>-0.10153136470837722</v>
      </c>
      <c r="AI53" s="179"/>
      <c r="AJ53" s="179">
        <f>AJ52/('PF P&amp;L'!$O$10+'PF P&amp;L'!$O$16+'PF P&amp;L'!$O$30)</f>
        <v>-9.5010992202440053E-2</v>
      </c>
      <c r="AK53" s="189"/>
      <c r="AM53" s="179">
        <f>AM52/('PF P&amp;L'!$O$10+'PF P&amp;L'!$O$16+'PF P&amp;L'!$O$30)</f>
        <v>-0.14045309591968055</v>
      </c>
      <c r="AN53" s="179"/>
      <c r="AO53" s="179">
        <f>AO52/('PF P&amp;L'!$O$10+'PF P&amp;L'!$O$16+'PF P&amp;L'!$O$30)</f>
        <v>-0.13480485062092123</v>
      </c>
      <c r="AP53" s="179"/>
      <c r="AQ53" s="179">
        <f>AQ52/('PF P&amp;L'!$O$10+'PF P&amp;L'!$O$16+'PF P&amp;L'!$O$30)</f>
        <v>-0.12930268063161254</v>
      </c>
      <c r="AR53" s="179"/>
      <c r="AS53" s="179">
        <f>AS52/('PF P&amp;L'!$O$10+'PF P&amp;L'!$O$16+'PF P&amp;L'!$O$30)</f>
        <v>-0.12377129558041371</v>
      </c>
      <c r="AT53" s="179"/>
      <c r="AU53" s="179">
        <f>AU52/('PF P&amp;L'!$O$10+'PF P&amp;L'!$O$16+'PF P&amp;L'!$O$30)</f>
        <v>-0.11824964888317832</v>
      </c>
      <c r="AV53" s="179"/>
      <c r="AW53" s="179">
        <f>AW52/('PF P&amp;L'!$O$10+'PF P&amp;L'!$O$16+'PF P&amp;L'!$O$30)</f>
        <v>-0.11272800218594291</v>
      </c>
      <c r="AX53" s="179"/>
      <c r="AY53" s="179">
        <f>AY52/('PF P&amp;L'!$O$10+'PF P&amp;L'!$O$16+'PF P&amp;L'!$O$30)</f>
        <v>-0.10720635548870751</v>
      </c>
    </row>
  </sheetData>
  <phoneticPr fontId="12" type="noConversion"/>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6"/>
  <sheetViews>
    <sheetView showGridLines="0" topLeftCell="B4" zoomScaleNormal="100" workbookViewId="0">
      <selection activeCell="Z33" sqref="Z33"/>
    </sheetView>
  </sheetViews>
  <sheetFormatPr defaultColWidth="8.81640625" defaultRowHeight="12.5" x14ac:dyDescent="0.25"/>
  <cols>
    <col min="1" max="1" width="0.81640625" customWidth="1"/>
    <col min="2" max="3" width="8.6328125" customWidth="1"/>
    <col min="4" max="4" width="9.36328125" customWidth="1"/>
    <col min="5" max="5" width="1.6328125" customWidth="1"/>
    <col min="6" max="6" width="9.36328125" customWidth="1"/>
    <col min="7" max="8" width="0.81640625" customWidth="1"/>
    <col min="9" max="9" width="9.36328125" customWidth="1"/>
    <col min="10" max="10" width="1.6328125" customWidth="1"/>
    <col min="11" max="11" width="9.36328125" customWidth="1"/>
    <col min="12" max="13" width="0.81640625" customWidth="1"/>
    <col min="14" max="14" width="9.36328125" customWidth="1"/>
    <col min="15" max="15" width="1.6328125" customWidth="1"/>
    <col min="16" max="16" width="9.36328125" customWidth="1"/>
    <col min="17" max="18" width="0.81640625" customWidth="1"/>
    <col min="19" max="19" width="9.36328125" customWidth="1"/>
    <col min="20" max="20" width="1.6328125" customWidth="1"/>
    <col min="21" max="21" width="9.36328125" customWidth="1"/>
    <col min="22" max="23" width="0.81640625" customWidth="1"/>
    <col min="24" max="24" width="9.36328125" customWidth="1"/>
    <col min="25" max="25" width="1.6328125" customWidth="1"/>
    <col min="26" max="26" width="9.36328125" customWidth="1"/>
  </cols>
  <sheetData>
    <row r="1" spans="1:26" ht="24" customHeight="1" thickBot="1" x14ac:dyDescent="0.5">
      <c r="A1" s="1" t="s">
        <v>286</v>
      </c>
      <c r="B1" s="2"/>
      <c r="C1" s="2"/>
      <c r="D1" s="2"/>
      <c r="E1" s="2"/>
      <c r="F1" s="2"/>
      <c r="G1" s="2"/>
      <c r="H1" s="2"/>
      <c r="I1" s="2"/>
      <c r="J1" s="2"/>
      <c r="K1" s="2"/>
      <c r="L1" s="2"/>
      <c r="M1" s="2"/>
      <c r="N1" s="2"/>
      <c r="O1" s="2"/>
      <c r="P1" s="2"/>
      <c r="Q1" s="2"/>
      <c r="R1" s="2"/>
      <c r="S1" s="2"/>
      <c r="T1" s="2"/>
      <c r="U1" s="2"/>
      <c r="V1" s="2"/>
      <c r="W1" s="2"/>
      <c r="X1" s="2"/>
      <c r="Y1" s="2"/>
      <c r="Z1" s="2"/>
    </row>
    <row r="2" spans="1:26" ht="13" x14ac:dyDescent="0.3">
      <c r="A2" s="90" t="s">
        <v>1</v>
      </c>
    </row>
    <row r="4" spans="1:26" ht="15" customHeight="1" thickBot="1" x14ac:dyDescent="0.35">
      <c r="D4" s="203" t="str">
        <f>acq</f>
        <v>Bath &amp; Body Works, Inc.</v>
      </c>
      <c r="E4" s="7"/>
      <c r="F4" s="7"/>
      <c r="I4" s="203" t="str">
        <f>tgt</f>
        <v>Tapestry, Inc.</v>
      </c>
      <c r="J4" s="7"/>
      <c r="K4" s="7"/>
      <c r="N4" s="7" t="s">
        <v>287</v>
      </c>
      <c r="O4" s="7"/>
      <c r="P4" s="7"/>
      <c r="S4" s="7" t="s">
        <v>67</v>
      </c>
      <c r="T4" s="7"/>
      <c r="U4" s="7"/>
      <c r="X4" s="7" t="s">
        <v>288</v>
      </c>
      <c r="Y4" s="7"/>
      <c r="Z4" s="7"/>
    </row>
    <row r="5" spans="1:26" ht="13.5" customHeight="1" thickBot="1" x14ac:dyDescent="0.35">
      <c r="D5" s="204" t="str">
        <f>year&amp;TEXT('PF P&amp;L'!M5-2000,"00")</f>
        <v>FY24</v>
      </c>
      <c r="F5" s="204" t="str">
        <f>year&amp;TEXT('PF P&amp;L'!O5-2000,"00")</f>
        <v>FY25</v>
      </c>
      <c r="I5" s="205" t="str">
        <f>D5</f>
        <v>FY24</v>
      </c>
      <c r="K5" s="205" t="str">
        <f>F5</f>
        <v>FY25</v>
      </c>
      <c r="N5" s="205" t="str">
        <f>I5</f>
        <v>FY24</v>
      </c>
      <c r="P5" s="205" t="str">
        <f>K5</f>
        <v>FY25</v>
      </c>
      <c r="S5" s="205" t="str">
        <f>N5</f>
        <v>FY24</v>
      </c>
      <c r="U5" s="205" t="str">
        <f>P5</f>
        <v>FY25</v>
      </c>
      <c r="X5" s="205" t="str">
        <f>S5</f>
        <v>FY24</v>
      </c>
      <c r="Z5" s="205" t="str">
        <f>U5</f>
        <v>FY25</v>
      </c>
    </row>
    <row r="7" spans="1:26" ht="13" x14ac:dyDescent="0.3">
      <c r="A7" s="19" t="s">
        <v>289</v>
      </c>
      <c r="D7" s="113">
        <f>'Buyer P&amp;L'!M7</f>
        <v>7485</v>
      </c>
      <c r="E7" s="75"/>
      <c r="F7" s="113">
        <f>'Buyer P&amp;L'!O7</f>
        <v>7802</v>
      </c>
      <c r="G7" s="180"/>
      <c r="I7" s="113">
        <f>'Target P&amp;L'!M7</f>
        <v>6827</v>
      </c>
      <c r="J7" s="75"/>
      <c r="K7" s="113">
        <f>'Target P&amp;L'!O7</f>
        <v>7164.5</v>
      </c>
      <c r="L7" s="180"/>
      <c r="N7" s="16">
        <f>D7+I7</f>
        <v>14312</v>
      </c>
      <c r="P7" s="16">
        <f>F7+K7</f>
        <v>14966.5</v>
      </c>
      <c r="Q7" s="180"/>
      <c r="S7" s="23">
        <v>118.4</v>
      </c>
      <c r="T7" s="18"/>
      <c r="U7" s="23">
        <v>250</v>
      </c>
      <c r="V7" s="180"/>
      <c r="X7" s="16">
        <f>S7+N7</f>
        <v>14430.4</v>
      </c>
      <c r="Z7" s="16">
        <f>U7+P7</f>
        <v>15216.5</v>
      </c>
    </row>
    <row r="8" spans="1:26" s="147" customFormat="1" ht="13" x14ac:dyDescent="0.3">
      <c r="B8" s="147" t="s">
        <v>82</v>
      </c>
      <c r="D8" s="49">
        <f>'Buyer P&amp;L'!M8</f>
        <v>-9.9206349206348854E-3</v>
      </c>
      <c r="F8" s="56">
        <f>F7/D7-1</f>
        <v>4.2351369405477568E-2</v>
      </c>
      <c r="G8" s="189"/>
      <c r="I8" s="49">
        <f>'Target P&amp;L'!M8</f>
        <v>3.5288051802314202E-2</v>
      </c>
      <c r="K8" s="56">
        <f>K7/I7-1</f>
        <v>4.9436062692251426E-2</v>
      </c>
      <c r="L8" s="189"/>
      <c r="N8" s="49">
        <f>'PF P&amp;L'!M8</f>
        <v>1.1141490571769719E-2</v>
      </c>
      <c r="P8" s="56">
        <f>P7/N7-1</f>
        <v>4.5730855226383538E-2</v>
      </c>
      <c r="Q8" s="189"/>
      <c r="V8" s="189"/>
      <c r="X8" s="56">
        <f>N8</f>
        <v>1.1141490571769719E-2</v>
      </c>
      <c r="Z8" s="56">
        <f>Z7/X7-1</f>
        <v>5.4475274420667574E-2</v>
      </c>
    </row>
    <row r="9" spans="1:26" x14ac:dyDescent="0.25">
      <c r="G9" s="180"/>
      <c r="L9" s="180"/>
      <c r="Q9" s="180"/>
      <c r="V9" s="180"/>
    </row>
    <row r="10" spans="1:26" ht="13" x14ac:dyDescent="0.3">
      <c r="A10" s="19" t="s">
        <v>88</v>
      </c>
      <c r="D10" s="113">
        <f>'Buyer P&amp;L'!M19</f>
        <v>1362</v>
      </c>
      <c r="F10" s="113">
        <f>'Buyer P&amp;L'!O19</f>
        <v>1522.5</v>
      </c>
      <c r="G10" s="180"/>
      <c r="I10" s="113">
        <f>'Target P&amp;L'!M19</f>
        <v>958.52</v>
      </c>
      <c r="K10" s="113">
        <f>'Target P&amp;L'!O19</f>
        <v>1147.4000000000001</v>
      </c>
      <c r="L10" s="180"/>
      <c r="N10" s="16">
        <f>D10+I10</f>
        <v>2320.52</v>
      </c>
      <c r="P10" s="16">
        <f>F10+K10</f>
        <v>2669.9</v>
      </c>
      <c r="Q10" s="180"/>
      <c r="S10" s="113">
        <f>-'PF P&amp;L'!M11-'PF P&amp;L'!M17</f>
        <v>0</v>
      </c>
      <c r="U10" s="113">
        <f>-'PF P&amp;L'!O11-'PF P&amp;L'!O17</f>
        <v>1620</v>
      </c>
      <c r="V10" s="180"/>
      <c r="X10" s="16">
        <f>S10+N10</f>
        <v>2320.52</v>
      </c>
      <c r="Z10" s="16">
        <f>U10+P10</f>
        <v>4289.8999999999996</v>
      </c>
    </row>
    <row r="11" spans="1:26" s="147" customFormat="1" ht="13" x14ac:dyDescent="0.3">
      <c r="B11" s="147" t="s">
        <v>86</v>
      </c>
      <c r="D11" s="56">
        <f>D10/D$7</f>
        <v>0.18196392785571142</v>
      </c>
      <c r="F11" s="56">
        <f>F10/F$7</f>
        <v>0.1951422712125096</v>
      </c>
      <c r="G11" s="189"/>
      <c r="H11" s="56"/>
      <c r="I11" s="56">
        <f>I10/I$7</f>
        <v>0.14040134759044967</v>
      </c>
      <c r="K11" s="56">
        <f>K10/K$7</f>
        <v>0.16015074324795869</v>
      </c>
      <c r="L11" s="189"/>
      <c r="N11" s="56">
        <f>N10/N$7</f>
        <v>0.16213806595863611</v>
      </c>
      <c r="P11" s="56">
        <f>P10/P$7</f>
        <v>0.17839174155614207</v>
      </c>
      <c r="Q11" s="189"/>
      <c r="V11" s="189"/>
      <c r="X11" s="56">
        <f>X10/X$7</f>
        <v>0.16080773921720812</v>
      </c>
      <c r="Z11" s="56">
        <f>Z10/Z$7</f>
        <v>0.28192422699043801</v>
      </c>
    </row>
    <row r="12" spans="1:26" x14ac:dyDescent="0.25">
      <c r="G12" s="180"/>
      <c r="L12" s="180"/>
      <c r="Q12" s="180"/>
      <c r="V12" s="180"/>
    </row>
    <row r="13" spans="1:26" ht="13" x14ac:dyDescent="0.3">
      <c r="A13" s="19" t="s">
        <v>107</v>
      </c>
      <c r="D13" s="113">
        <f>'Buyer P&amp;L'!M60</f>
        <v>891.45134199699601</v>
      </c>
      <c r="F13" s="113">
        <f>'Buyer P&amp;L'!O60</f>
        <v>980.94881756756752</v>
      </c>
      <c r="G13" s="180"/>
      <c r="I13" s="113">
        <f>'Target P&amp;L'!M60</f>
        <v>440.07217788806889</v>
      </c>
      <c r="K13" s="113">
        <f>'Target P&amp;L'!O60</f>
        <v>531.12673262548265</v>
      </c>
      <c r="L13" s="180"/>
      <c r="N13" s="16">
        <f>D13+I13</f>
        <v>1331.5235198850648</v>
      </c>
      <c r="P13" s="16">
        <f>F13+K13</f>
        <v>1512.0755501930503</v>
      </c>
      <c r="Q13" s="180"/>
      <c r="S13" s="144">
        <f>S$10*(1-tax_rate)</f>
        <v>0</v>
      </c>
      <c r="U13" s="144">
        <f>U$10*(1-tax_rate)</f>
        <v>1171.26</v>
      </c>
      <c r="V13" s="180"/>
      <c r="X13" s="16">
        <f>U13+N13</f>
        <v>2502.7835198850648</v>
      </c>
      <c r="Z13" s="16">
        <f>U13+P13</f>
        <v>2683.33555019305</v>
      </c>
    </row>
    <row r="14" spans="1:26" s="147" customFormat="1" ht="13" x14ac:dyDescent="0.3">
      <c r="B14" s="147" t="s">
        <v>86</v>
      </c>
      <c r="D14" s="56">
        <f>D13/D$7</f>
        <v>0.1190983756843014</v>
      </c>
      <c r="F14" s="56">
        <f>F13/F$7</f>
        <v>0.12573043034703504</v>
      </c>
      <c r="G14" s="189"/>
      <c r="I14" s="56">
        <f>I13/I$7</f>
        <v>6.4460550445007897E-2</v>
      </c>
      <c r="K14" s="56">
        <f>K13/K$7</f>
        <v>7.4133119216342053E-2</v>
      </c>
      <c r="L14" s="189"/>
      <c r="N14" s="56">
        <f>N13/N$7</f>
        <v>9.3035461143450585E-2</v>
      </c>
      <c r="P14" s="56">
        <f>P13/P$7</f>
        <v>0.1010306718466609</v>
      </c>
      <c r="Q14" s="189"/>
      <c r="S14" s="179"/>
      <c r="U14" s="179"/>
      <c r="V14" s="189"/>
      <c r="X14" s="56">
        <f>X13/X$7</f>
        <v>0.17343826365763007</v>
      </c>
      <c r="Z14" s="56">
        <f>Z13/Z$7</f>
        <v>0.17634380772142411</v>
      </c>
    </row>
    <row r="15" spans="1:26" x14ac:dyDescent="0.25">
      <c r="G15" s="180"/>
      <c r="L15" s="180"/>
      <c r="Q15" s="180"/>
      <c r="S15" s="69"/>
      <c r="U15" s="69"/>
      <c r="V15" s="180"/>
    </row>
    <row r="16" spans="1:26" ht="13" x14ac:dyDescent="0.3">
      <c r="A16" s="19" t="s">
        <v>102</v>
      </c>
      <c r="D16" s="113">
        <f>'Buyer P&amp;L'!M48</f>
        <v>1107.3</v>
      </c>
      <c r="F16" s="113">
        <f>'Buyer P&amp;L'!O48</f>
        <v>1198.5999999999999</v>
      </c>
      <c r="G16" s="180"/>
      <c r="I16" s="113">
        <f>'Target P&amp;L'!M48</f>
        <v>489.5606647946189</v>
      </c>
      <c r="K16" s="113">
        <f>'Target P&amp;L'!O48</f>
        <v>577.24564430501937</v>
      </c>
      <c r="L16" s="180"/>
      <c r="N16" s="16">
        <f>D16+I16</f>
        <v>1596.860664794619</v>
      </c>
      <c r="P16" s="16">
        <f>F16+K16</f>
        <v>1775.8456443050193</v>
      </c>
      <c r="Q16" s="180"/>
      <c r="S16" s="144">
        <f>S$10*(1-tax_rate)</f>
        <v>0</v>
      </c>
      <c r="U16" s="144">
        <f>U$10*(1-tax_rate)</f>
        <v>1171.26</v>
      </c>
      <c r="V16" s="180"/>
      <c r="X16" s="16">
        <f>U16+N16</f>
        <v>2768.1206647946192</v>
      </c>
      <c r="Z16" s="16">
        <f>U16+P16</f>
        <v>2947.1056443050193</v>
      </c>
    </row>
    <row r="17" spans="1:26" s="147" customFormat="1" ht="13" x14ac:dyDescent="0.3">
      <c r="B17" s="147" t="s">
        <v>86</v>
      </c>
      <c r="D17" s="56">
        <f>D16/D$7</f>
        <v>0.14793587174348696</v>
      </c>
      <c r="F17" s="56">
        <f>F16/F$7</f>
        <v>0.15362727505767751</v>
      </c>
      <c r="G17" s="189"/>
      <c r="I17" s="56">
        <f>I16/I$7</f>
        <v>7.1709486567250458E-2</v>
      </c>
      <c r="K17" s="56">
        <f>K16/K$7</f>
        <v>8.0570262307909743E-2</v>
      </c>
      <c r="L17" s="189"/>
      <c r="N17" s="56">
        <f>N16/N$7</f>
        <v>0.11157494863014386</v>
      </c>
      <c r="P17" s="56">
        <f>P16/P$7</f>
        <v>0.11865470512845483</v>
      </c>
      <c r="Q17" s="189"/>
      <c r="V17" s="189"/>
      <c r="X17" s="56">
        <f>X16/X$7</f>
        <v>0.19182563648926013</v>
      </c>
      <c r="Z17" s="56">
        <f>Z16/Z$7</f>
        <v>0.19367828635395914</v>
      </c>
    </row>
    <row r="18" spans="1:26" x14ac:dyDescent="0.25">
      <c r="G18" s="180"/>
      <c r="L18" s="180"/>
    </row>
    <row r="19" spans="1:26" ht="13" x14ac:dyDescent="0.3">
      <c r="A19" s="19" t="s">
        <v>290</v>
      </c>
      <c r="G19" s="189"/>
      <c r="L19" s="189"/>
      <c r="Q19" s="147"/>
      <c r="V19" s="147"/>
    </row>
    <row r="20" spans="1:26" s="52" customFormat="1" ht="13" x14ac:dyDescent="0.3">
      <c r="B20" s="52" t="s">
        <v>289</v>
      </c>
      <c r="D20" s="56">
        <f>D7/$N7</f>
        <v>0.52298770262716598</v>
      </c>
      <c r="F20" s="56">
        <f>F7/$P7</f>
        <v>0.52129756456085252</v>
      </c>
      <c r="G20" s="180"/>
      <c r="I20" s="56">
        <f>I7/$N7</f>
        <v>0.47701229737283396</v>
      </c>
      <c r="K20" s="56">
        <f>K7/$P7</f>
        <v>0.47870243543914742</v>
      </c>
      <c r="L20" s="180"/>
      <c r="N20" s="56">
        <f>N7/$N7</f>
        <v>1</v>
      </c>
      <c r="P20" s="56">
        <f>P7/$P7</f>
        <v>1</v>
      </c>
      <c r="Q20"/>
      <c r="V20"/>
    </row>
    <row r="21" spans="1:26" s="52" customFormat="1" ht="13" x14ac:dyDescent="0.3">
      <c r="B21" s="52" t="s">
        <v>88</v>
      </c>
      <c r="D21" s="56">
        <f>D10/$N10</f>
        <v>0.58693741058038718</v>
      </c>
      <c r="F21" s="56">
        <f>F10/$P10</f>
        <v>0.5702460766320836</v>
      </c>
      <c r="G21" s="189"/>
      <c r="I21" s="56">
        <f>I10/$N10</f>
        <v>0.41306258941961282</v>
      </c>
      <c r="K21" s="56">
        <f>K10/$P10</f>
        <v>0.4297539233679164</v>
      </c>
      <c r="L21" s="189"/>
      <c r="N21" s="56">
        <f>N10/$N10</f>
        <v>1</v>
      </c>
      <c r="P21" s="56">
        <f>P10/$P10</f>
        <v>1</v>
      </c>
      <c r="Q21" s="147"/>
      <c r="V21" s="147"/>
    </row>
    <row r="22" spans="1:26" s="52" customFormat="1" ht="13" x14ac:dyDescent="0.3">
      <c r="B22" s="52" t="s">
        <v>107</v>
      </c>
      <c r="D22" s="56">
        <f>D13/$N13</f>
        <v>0.66949725534998039</v>
      </c>
      <c r="F22" s="56">
        <f>F13/$P13</f>
        <v>0.6487432572018822</v>
      </c>
      <c r="G22" s="180"/>
      <c r="I22" s="56">
        <f>I13/$N13</f>
        <v>0.33050274465001961</v>
      </c>
      <c r="K22" s="56">
        <f>K13/$P13</f>
        <v>0.35125674279811775</v>
      </c>
      <c r="L22" s="180"/>
      <c r="N22" s="56">
        <f>N13/$N13</f>
        <v>1</v>
      </c>
      <c r="P22" s="56">
        <f>P13/$P13</f>
        <v>1</v>
      </c>
      <c r="Q22"/>
      <c r="V22"/>
    </row>
    <row r="23" spans="1:26" s="52" customFormat="1" ht="13" x14ac:dyDescent="0.3">
      <c r="B23" s="52" t="s">
        <v>102</v>
      </c>
      <c r="D23" s="56">
        <f>D16/$N16</f>
        <v>0.69342305462976372</v>
      </c>
      <c r="F23" s="56">
        <f>F16/$P16</f>
        <v>0.67494604829186855</v>
      </c>
      <c r="G23" s="189"/>
      <c r="I23" s="56">
        <f>I16/$N16</f>
        <v>0.30657694537023616</v>
      </c>
      <c r="K23" s="56">
        <f>K16/$P16</f>
        <v>0.32505395170813151</v>
      </c>
      <c r="L23" s="189"/>
      <c r="N23" s="56">
        <f>N16/$N16</f>
        <v>1</v>
      </c>
      <c r="P23" s="56">
        <f>P16/$P16</f>
        <v>1</v>
      </c>
      <c r="Q23" s="147"/>
      <c r="V23" s="147"/>
    </row>
    <row r="25" spans="1:26" x14ac:dyDescent="0.25">
      <c r="A25" t="s">
        <v>291</v>
      </c>
    </row>
    <row r="26" spans="1:26" x14ac:dyDescent="0.25">
      <c r="A26" t="s">
        <v>292</v>
      </c>
    </row>
  </sheetData>
  <phoneticPr fontId="12" type="noConversion"/>
  <pageMargins left="0.75" right="0.75" top="1" bottom="1" header="0.5" footer="0.5"/>
  <headerFooter alignWithMargins="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41"/>
  <sheetViews>
    <sheetView showGridLines="0" tabSelected="1" zoomScale="120" zoomScaleNormal="120" workbookViewId="0">
      <selection activeCell="M17" sqref="M17"/>
    </sheetView>
  </sheetViews>
  <sheetFormatPr defaultColWidth="8.81640625" defaultRowHeight="12.5" x14ac:dyDescent="0.25"/>
  <cols>
    <col min="1" max="1" width="1.6328125" customWidth="1"/>
    <col min="2" max="4" width="8.81640625" customWidth="1"/>
    <col min="5" max="5" width="9.453125" bestFit="1" customWidth="1"/>
    <col min="6" max="6" width="1.6328125" customWidth="1"/>
    <col min="7" max="7" width="9.6328125" bestFit="1" customWidth="1"/>
    <col min="8" max="8" width="1.6328125" customWidth="1"/>
    <col min="9" max="9" width="9.6328125" bestFit="1" customWidth="1"/>
    <col min="10" max="10" width="1.6328125" customWidth="1"/>
    <col min="11" max="11" width="9.6328125" bestFit="1" customWidth="1"/>
    <col min="12" max="12" width="1.6328125" customWidth="1"/>
    <col min="13" max="13" width="9.6328125" bestFit="1" customWidth="1"/>
    <col min="14" max="14" width="1.6328125" customWidth="1"/>
    <col min="15" max="15" width="9.6328125" bestFit="1" customWidth="1"/>
    <col min="16" max="16" width="1.6328125" customWidth="1"/>
    <col min="17" max="17" width="9.6328125" bestFit="1" customWidth="1"/>
    <col min="18" max="18" width="1.6328125" customWidth="1"/>
    <col min="19" max="19" width="9.6328125" bestFit="1" customWidth="1"/>
    <col min="20" max="20" width="1.6328125" customWidth="1"/>
    <col min="21" max="21" width="9.6328125" bestFit="1" customWidth="1"/>
    <col min="22" max="22" width="1.6328125" customWidth="1"/>
    <col min="23" max="23" width="9.6328125" bestFit="1" customWidth="1"/>
    <col min="24" max="24" width="1.6328125" customWidth="1"/>
    <col min="25" max="25" width="9.453125" bestFit="1" customWidth="1"/>
  </cols>
  <sheetData>
    <row r="1" spans="1:25" ht="24" customHeight="1" thickBot="1" x14ac:dyDescent="0.5">
      <c r="A1" s="1" t="s">
        <v>151</v>
      </c>
      <c r="B1" s="2"/>
      <c r="C1" s="2"/>
      <c r="D1" s="2"/>
      <c r="E1" s="2"/>
      <c r="F1" s="2"/>
      <c r="G1" s="2"/>
      <c r="H1" s="2"/>
      <c r="I1" s="2"/>
      <c r="J1" s="2"/>
      <c r="K1" s="2"/>
      <c r="L1" s="2"/>
      <c r="M1" s="2"/>
      <c r="N1" s="2"/>
      <c r="O1" s="2"/>
      <c r="P1" s="2"/>
      <c r="Q1" s="2"/>
      <c r="R1" s="2"/>
      <c r="S1" s="2"/>
      <c r="T1" s="2"/>
      <c r="U1" s="2"/>
      <c r="V1" s="2"/>
      <c r="W1" s="2"/>
      <c r="X1" s="2"/>
      <c r="Y1" s="2"/>
    </row>
    <row r="2" spans="1:25" ht="13" x14ac:dyDescent="0.3">
      <c r="A2" s="90" t="s">
        <v>1</v>
      </c>
    </row>
    <row r="3" spans="1:25" ht="13" x14ac:dyDescent="0.3">
      <c r="G3" s="82"/>
      <c r="H3" s="82"/>
    </row>
    <row r="4" spans="1:25" ht="13.5" customHeight="1" thickBot="1" x14ac:dyDescent="0.35">
      <c r="G4" s="103" t="str">
        <f>tgt</f>
        <v>Tapestry, Inc.</v>
      </c>
      <c r="H4" s="82"/>
      <c r="I4" s="7" t="str">
        <f>"Transaction Prices Per "&amp;tgt&amp;" Share"</f>
        <v>Transaction Prices Per Tapestry, Inc. Share</v>
      </c>
      <c r="J4" s="31"/>
      <c r="K4" s="31"/>
      <c r="L4" s="31"/>
      <c r="M4" s="31"/>
      <c r="N4" s="31"/>
      <c r="O4" s="31"/>
      <c r="P4" s="31"/>
      <c r="Q4" s="31"/>
      <c r="R4" s="31"/>
      <c r="S4" s="31"/>
      <c r="T4" s="31"/>
      <c r="U4" s="31"/>
      <c r="W4" s="103" t="str">
        <f>acq</f>
        <v>Bath &amp; Body Works, Inc.</v>
      </c>
    </row>
    <row r="5" spans="1:25" s="19" customFormat="1" ht="13.5" customHeight="1" thickBot="1" x14ac:dyDescent="0.35">
      <c r="G5" s="104">
        <f>tgt_price</f>
        <v>43.61</v>
      </c>
      <c r="H5" s="105"/>
      <c r="I5" s="283">
        <v>40</v>
      </c>
      <c r="J5" s="107"/>
      <c r="K5" s="283">
        <v>45.8</v>
      </c>
      <c r="L5" s="283"/>
      <c r="M5" s="283">
        <v>51.45</v>
      </c>
      <c r="N5" s="283"/>
      <c r="O5" s="283">
        <v>57.13</v>
      </c>
      <c r="P5" s="283"/>
      <c r="Q5" s="283">
        <v>62.8</v>
      </c>
      <c r="R5" s="283"/>
      <c r="S5" s="283">
        <v>68.47</v>
      </c>
      <c r="T5" s="283"/>
      <c r="U5" s="283">
        <v>74.14</v>
      </c>
      <c r="W5" s="110">
        <f>acq_price</f>
        <v>35.090000000000003</v>
      </c>
    </row>
    <row r="6" spans="1:25" s="19" customFormat="1" ht="13.5" customHeight="1" x14ac:dyDescent="0.3">
      <c r="G6" s="284"/>
      <c r="H6" s="105"/>
      <c r="I6" s="283"/>
      <c r="J6" s="107"/>
      <c r="K6" s="283"/>
      <c r="L6" s="283"/>
      <c r="M6" s="283"/>
      <c r="N6" s="283"/>
      <c r="O6" s="283"/>
      <c r="P6" s="283"/>
      <c r="Q6" s="283"/>
      <c r="R6" s="283"/>
      <c r="S6" s="283"/>
      <c r="T6" s="283"/>
      <c r="U6" s="283"/>
      <c r="W6" s="285"/>
    </row>
    <row r="7" spans="1:25" x14ac:dyDescent="0.25">
      <c r="G7" s="111"/>
      <c r="W7" s="111"/>
    </row>
    <row r="8" spans="1:25" x14ac:dyDescent="0.25">
      <c r="A8" t="s">
        <v>152</v>
      </c>
      <c r="G8" s="112">
        <f>G5*Assumptions!$N$15</f>
        <v>10518.732</v>
      </c>
      <c r="I8" s="113">
        <f>I5*Assumptions!$N$15</f>
        <v>9648</v>
      </c>
      <c r="K8" s="113">
        <f>K5*Assumptions!$N$15</f>
        <v>11046.96</v>
      </c>
      <c r="M8" s="113">
        <f>M5*Assumptions!$N$15</f>
        <v>12409.74</v>
      </c>
      <c r="O8" s="113">
        <f>O5*Assumptions!$N$15</f>
        <v>13779.755999999999</v>
      </c>
      <c r="Q8" s="113">
        <f>Q5*Assumptions!$N$15</f>
        <v>15147.359999999999</v>
      </c>
      <c r="S8" s="113">
        <f>S5*Assumptions!$N$15</f>
        <v>16514.964</v>
      </c>
      <c r="U8" s="113">
        <f>U5*Assumptions!$N$15</f>
        <v>17882.567999999999</v>
      </c>
      <c r="W8" s="112">
        <f>W5*Assumptions!J15</f>
        <v>8035.6100000000006</v>
      </c>
    </row>
    <row r="9" spans="1:25" x14ac:dyDescent="0.25">
      <c r="A9" t="s">
        <v>153</v>
      </c>
      <c r="G9" s="114">
        <f>VLOOKUP(G5,Assumptions!$F$57:$L$66,3)*(G5-VLOOKUP(G5,Assumptions!$F$57:$L$66,7))</f>
        <v>42.899999999999991</v>
      </c>
      <c r="H9" s="100"/>
      <c r="I9" s="101">
        <f>VLOOKUP(I5,Assumptions!$F$57:$L$66,3)*(I5-VLOOKUP(I5,Assumptions!$F$57:$L$66,7))</f>
        <v>6.7999999999999972</v>
      </c>
      <c r="J9" s="100"/>
      <c r="K9" s="101">
        <f>VLOOKUP(K5,Assumptions!$F$57:$L$66,3)*(K5-VLOOKUP(K5,Assumptions!$F$57:$L$66,7))</f>
        <v>64.799999999999969</v>
      </c>
      <c r="L9" s="100"/>
      <c r="M9" s="101">
        <f>VLOOKUP(M5,Assumptions!$F$57:$L$66,3)*(M5-VLOOKUP(M5,Assumptions!$F$57:$L$66,7))</f>
        <v>121.30000000000003</v>
      </c>
      <c r="N9" s="100"/>
      <c r="O9" s="101">
        <f>VLOOKUP(O5,Assumptions!$F$57:$L$66,3)*(O5-VLOOKUP(O5,Assumptions!$F$57:$L$66,7))</f>
        <v>178.10000000000002</v>
      </c>
      <c r="P9" s="100"/>
      <c r="Q9" s="101">
        <f>VLOOKUP(Q5,Assumptions!$F$57:$L$66,3)*(Q5-VLOOKUP(Q5,Assumptions!$F$57:$L$66,7))</f>
        <v>234.79999999999995</v>
      </c>
      <c r="R9" s="100"/>
      <c r="S9" s="101">
        <f>VLOOKUP(S5,Assumptions!$F$57:$L$66,3)*(S5-VLOOKUP(S5,Assumptions!$F$57:$L$66,7))</f>
        <v>291.5</v>
      </c>
      <c r="T9" s="100"/>
      <c r="U9" s="101">
        <f>VLOOKUP(U5,Assumptions!$F$57:$L$66,3)*(U5-VLOOKUP(U5,Assumptions!$F$57:$L$66,7))</f>
        <v>348.2</v>
      </c>
      <c r="V9" s="100"/>
      <c r="W9" s="114">
        <f>VLOOKUP(W5,Assumptions!$F$42:$L$51,3)*(W5-VLOOKUP(W5,Assumptions!$F$42:$M$51,7))</f>
        <v>-2.3777331499999992</v>
      </c>
    </row>
    <row r="10" spans="1:25" ht="13.5" customHeight="1" thickBot="1" x14ac:dyDescent="0.3">
      <c r="A10" t="s">
        <v>154</v>
      </c>
      <c r="G10" s="114">
        <f>IF(Assumptions!$L26&gt;G5,0,Assumptions!$L27*G5)+IF(Assumptions!$N26&gt;G5,0,Assumptions!$N27*G5)</f>
        <v>0</v>
      </c>
      <c r="I10" s="101">
        <f>IF(Assumptions!$L26&gt;I5,0,Assumptions!$L27*I5)+IF(Assumptions!$N26&gt;I5,0,Assumptions!$N27*I5)</f>
        <v>0</v>
      </c>
      <c r="K10" s="101">
        <f>IF(Assumptions!$L26&gt;K5,0,Assumptions!$L27*K5)+IF(Assumptions!$N26&gt;K5,0,Assumptions!$N27*K5)</f>
        <v>0</v>
      </c>
      <c r="M10" s="101">
        <f>IF(Assumptions!$L26&gt;M5,0,Assumptions!$L27*M5)+IF(Assumptions!$N26&gt;M5,0,Assumptions!$N27*M5)</f>
        <v>0</v>
      </c>
      <c r="O10" s="101">
        <f>IF(Assumptions!$L26&gt;O5,0,Assumptions!$L27*O5)+IF(Assumptions!$N26&gt;O5,0,Assumptions!$N27*O5)</f>
        <v>0</v>
      </c>
      <c r="Q10" s="101">
        <f>IF(Assumptions!$L26&gt;Q5,0,Assumptions!$L27*Q5)+IF(Assumptions!$N26&gt;Q5,0,Assumptions!$N27*Q5)</f>
        <v>0</v>
      </c>
      <c r="S10" s="101">
        <f>IF(Assumptions!$L26&gt;S5,0,Assumptions!$L27*S5)+IF(Assumptions!$N26&gt;S5,0,Assumptions!$N27*S5)</f>
        <v>0</v>
      </c>
      <c r="U10" s="101">
        <f>IF(Assumptions!$L26&gt;U5,0,Assumptions!$L27*U5)+IF(Assumptions!$N26&gt;U5,0,Assumptions!$N27*U5)</f>
        <v>0</v>
      </c>
      <c r="W10" s="114">
        <f>IF(Assumptions!H26&gt;W5,0,Assumptions!H27*W5)+IF(Assumptions!J26&gt;W5,0,Assumptions!J27*W5)</f>
        <v>0</v>
      </c>
    </row>
    <row r="11" spans="1:25" s="19" customFormat="1" ht="13" x14ac:dyDescent="0.3">
      <c r="B11" s="19" t="s">
        <v>155</v>
      </c>
      <c r="G11" s="115">
        <f>SUM(G8:G10)</f>
        <v>10561.632</v>
      </c>
      <c r="I11" s="116">
        <f>SUM(I8:I10)</f>
        <v>9654.7999999999993</v>
      </c>
      <c r="K11" s="116">
        <f>SUM(K8:K10)</f>
        <v>11111.759999999998</v>
      </c>
      <c r="M11" s="116">
        <f>SUM(M8:M10)</f>
        <v>12531.039999999999</v>
      </c>
      <c r="O11" s="116">
        <f>SUM(O8:O10)</f>
        <v>13957.856</v>
      </c>
      <c r="Q11" s="116">
        <f>SUM(Q8:Q10)</f>
        <v>15382.159999999998</v>
      </c>
      <c r="S11" s="116">
        <f>SUM(S8:S10)</f>
        <v>16806.464</v>
      </c>
      <c r="U11" s="116">
        <f>SUM(U8:U10)</f>
        <v>18230.768</v>
      </c>
      <c r="W11" s="117">
        <f>SUM(W8:W10)</f>
        <v>8033.232266850001</v>
      </c>
    </row>
    <row r="12" spans="1:25" ht="13.5" customHeight="1" thickBot="1" x14ac:dyDescent="0.3">
      <c r="A12" t="s">
        <v>15</v>
      </c>
      <c r="G12" s="114">
        <f>'PF BS'!$J$31+'PF BS'!$J$34+'PF BS'!$J$35-'PF BS'!$J$8+IF(Assumptions!$L$26&gt;G5,Assumptions!$L$25,0)+IF(Assumptions!$N$26&gt;G5,Assumptions!$N$25,0)</f>
        <v>-357.09999989799996</v>
      </c>
      <c r="I12" s="101">
        <f>'PF BS'!$J$31+'PF BS'!$J$34+'PF BS'!$J$35-'PF BS'!$J$8+IF(Assumptions!$L$26&gt;I5,Assumptions!$L$25,0)+IF(Assumptions!$N$26&gt;I5,Assumptions!$N$25,0)</f>
        <v>-357.09999989799996</v>
      </c>
      <c r="J12" s="118"/>
      <c r="K12" s="101">
        <f>'PF BS'!$J$31+'PF BS'!$J$34+'PF BS'!$J$35-'PF BS'!$J$8+IF(Assumptions!$L$26&gt;K5,Assumptions!$L$25,0)+IF(Assumptions!$N$26&gt;K5,Assumptions!$N$25,0)</f>
        <v>-357.09999989799996</v>
      </c>
      <c r="L12" s="118"/>
      <c r="M12" s="101">
        <f>'PF BS'!$J$31+'PF BS'!$J$34+'PF BS'!$J$35-'PF BS'!$J$8+IF(Assumptions!$L$26&gt;M5,Assumptions!$L$25,0)+IF(Assumptions!$N$26&gt;M5,Assumptions!$N$25,0)</f>
        <v>-357.09999989799996</v>
      </c>
      <c r="N12" s="118"/>
      <c r="O12" s="101">
        <f>'PF BS'!$J$31+'PF BS'!$J$34+'PF BS'!$J$35-'PF BS'!$J$8+IF(Assumptions!$L$26&gt;O5,Assumptions!$L$25,0)+IF(Assumptions!$N$26&gt;O5,Assumptions!$N$25,0)</f>
        <v>-357.09999989799996</v>
      </c>
      <c r="P12" s="118"/>
      <c r="Q12" s="101">
        <f>'PF BS'!$J$31+'PF BS'!$J$34+'PF BS'!$J$35-'PF BS'!$J$8+IF(Assumptions!$L$26&gt;Q5,Assumptions!$L$25,0)+IF(Assumptions!$N$26&gt;Q5,Assumptions!$N$25,0)</f>
        <v>-357.09999989799996</v>
      </c>
      <c r="R12" s="118"/>
      <c r="S12" s="101">
        <f>'PF BS'!$J$31+'PF BS'!$J$34+'PF BS'!$J$35-'PF BS'!$J$8+IF(Assumptions!$L$26&gt;S5,Assumptions!$L$25,0)+IF(Assumptions!$N$26&gt;S5,Assumptions!$N$25,0)</f>
        <v>-357.09999989799996</v>
      </c>
      <c r="T12" s="118"/>
      <c r="U12" s="101">
        <f>'PF BS'!$J$31+'PF BS'!$J$34+'PF BS'!$J$35-'PF BS'!$J$8+IF(Assumptions!$L$26&gt;U5,Assumptions!$L$25,0)+IF(Assumptions!$N$26&gt;U5,Assumptions!$N$25,0)</f>
        <v>-357.09999989799996</v>
      </c>
      <c r="W12" s="114">
        <f>Assumptions!J21</f>
        <v>4932</v>
      </c>
    </row>
    <row r="13" spans="1:25" s="19" customFormat="1" ht="13" x14ac:dyDescent="0.3">
      <c r="B13" s="19" t="s">
        <v>156</v>
      </c>
      <c r="G13" s="115">
        <f>SUM(G11:G12)</f>
        <v>10204.532000101999</v>
      </c>
      <c r="I13" s="88">
        <f>SUM(I11:I12)</f>
        <v>9297.7000001019987</v>
      </c>
      <c r="K13" s="88">
        <f>SUM(K11:K12)</f>
        <v>10754.660000101998</v>
      </c>
      <c r="M13" s="88">
        <f>SUM(M11:M12)</f>
        <v>12173.940000101999</v>
      </c>
      <c r="O13" s="88">
        <f>SUM(O11:O12)</f>
        <v>13600.756000101999</v>
      </c>
      <c r="Q13" s="88">
        <f>SUM(Q11:Q12)</f>
        <v>15025.060000101998</v>
      </c>
      <c r="S13" s="88">
        <f>SUM(S11:S12)</f>
        <v>16449.364000101999</v>
      </c>
      <c r="U13" s="88">
        <f>SUM(U11:U12)</f>
        <v>17873.668000101999</v>
      </c>
      <c r="W13" s="117">
        <f>SUM(W11:W12)</f>
        <v>12965.232266850002</v>
      </c>
    </row>
    <row r="14" spans="1:25" x14ac:dyDescent="0.25">
      <c r="G14" s="111"/>
      <c r="W14" s="111"/>
    </row>
    <row r="15" spans="1:25" ht="13.5" customHeight="1" thickBot="1" x14ac:dyDescent="0.35">
      <c r="A15" s="19" t="s">
        <v>157</v>
      </c>
      <c r="E15" s="119" t="str">
        <f>tgt</f>
        <v>Tapestry, Inc.</v>
      </c>
      <c r="G15" s="111"/>
      <c r="W15" s="120"/>
      <c r="Y15" s="119" t="str">
        <f>acq</f>
        <v>Bath &amp; Body Works, Inc.</v>
      </c>
    </row>
    <row r="16" spans="1:25" ht="5" customHeight="1" x14ac:dyDescent="0.3">
      <c r="G16" s="111"/>
      <c r="W16" s="120"/>
    </row>
    <row r="17" spans="1:32" ht="13" x14ac:dyDescent="0.3">
      <c r="B17" t="s">
        <v>7</v>
      </c>
      <c r="E17" s="32">
        <f>G5</f>
        <v>43.61</v>
      </c>
      <c r="G17" s="121">
        <f t="shared" ref="G17:G23" si="0">G$5/$E17-1</f>
        <v>0</v>
      </c>
      <c r="I17" s="56">
        <f t="shared" ref="I17:I23" si="1">I$5/$E17-1</f>
        <v>-8.2779179087365318E-2</v>
      </c>
      <c r="K17" s="56">
        <f t="shared" ref="K17:K23" si="2">K$5/$E17-1</f>
        <v>5.0217839944966647E-2</v>
      </c>
      <c r="M17" s="56">
        <f t="shared" ref="M17:M23" si="3">M$5/$E17-1</f>
        <v>0.1797752808988764</v>
      </c>
      <c r="O17" s="56">
        <f t="shared" ref="O17:O23" si="4">O$5/$E17-1</f>
        <v>0.31002063746847064</v>
      </c>
      <c r="Q17" s="56">
        <f t="shared" ref="Q17:Q23" si="5">Q$5/$E17-1</f>
        <v>0.44003668883283642</v>
      </c>
      <c r="S17" s="56">
        <f t="shared" ref="S17:S23" si="6">S$5/$E17-1</f>
        <v>0.57005274019720242</v>
      </c>
      <c r="U17" s="56">
        <f t="shared" ref="U17:U23" si="7">U$5/$E17-1</f>
        <v>0.70006879156156843</v>
      </c>
      <c r="W17" s="121">
        <f t="shared" ref="W17:W23" si="8">W$5/Y17-1</f>
        <v>0</v>
      </c>
      <c r="Y17" s="32">
        <f>W5</f>
        <v>35.090000000000003</v>
      </c>
    </row>
    <row r="18" spans="1:32" ht="13" x14ac:dyDescent="0.3">
      <c r="B18" s="11" t="s">
        <v>8</v>
      </c>
      <c r="E18" s="122">
        <f>Assumptions!N12</f>
        <v>46.86</v>
      </c>
      <c r="G18" s="121">
        <f t="shared" si="0"/>
        <v>-6.9355527102005987E-2</v>
      </c>
      <c r="I18" s="56">
        <f t="shared" si="1"/>
        <v>-0.14639351259069566</v>
      </c>
      <c r="K18" s="56">
        <f t="shared" si="2"/>
        <v>-2.2620571916346588E-2</v>
      </c>
      <c r="M18" s="56">
        <f t="shared" si="3"/>
        <v>9.7951344430217802E-2</v>
      </c>
      <c r="O18" s="56">
        <f t="shared" si="4"/>
        <v>0.21916346564233891</v>
      </c>
      <c r="Q18" s="56">
        <f t="shared" si="5"/>
        <v>0.34016218523260777</v>
      </c>
      <c r="S18" s="56">
        <f t="shared" si="6"/>
        <v>0.46116090482287664</v>
      </c>
      <c r="U18" s="56">
        <f t="shared" si="7"/>
        <v>0.5821596244131455</v>
      </c>
      <c r="W18" s="121">
        <f t="shared" si="8"/>
        <v>-0.27664399092970515</v>
      </c>
      <c r="Y18" s="122">
        <f>Assumptions!J12</f>
        <v>48.51</v>
      </c>
    </row>
    <row r="19" spans="1:32" ht="13" x14ac:dyDescent="0.3">
      <c r="B19" s="11" t="s">
        <v>9</v>
      </c>
      <c r="E19" s="122">
        <f>Assumptions!N13</f>
        <v>28.66</v>
      </c>
      <c r="G19" s="121">
        <f t="shared" si="0"/>
        <v>0.52163293789253307</v>
      </c>
      <c r="I19" s="56">
        <f t="shared" si="1"/>
        <v>0.39567341242149334</v>
      </c>
      <c r="K19" s="56">
        <f t="shared" si="2"/>
        <v>0.59804605722260984</v>
      </c>
      <c r="M19" s="56">
        <f t="shared" si="3"/>
        <v>0.79518492672714602</v>
      </c>
      <c r="O19" s="56">
        <f t="shared" si="4"/>
        <v>0.99337055129099805</v>
      </c>
      <c r="Q19" s="56">
        <f t="shared" si="5"/>
        <v>1.1912072575017443</v>
      </c>
      <c r="S19" s="56">
        <f t="shared" si="6"/>
        <v>1.3890439637124912</v>
      </c>
      <c r="U19" s="56">
        <f t="shared" si="7"/>
        <v>1.5868806699232381</v>
      </c>
      <c r="W19" s="121">
        <f t="shared" si="8"/>
        <v>0.19883840109326978</v>
      </c>
      <c r="Y19" s="122">
        <f>Assumptions!J13</f>
        <v>29.27</v>
      </c>
    </row>
    <row r="20" spans="1:32" ht="13" x14ac:dyDescent="0.3">
      <c r="B20" t="s">
        <v>158</v>
      </c>
      <c r="E20" s="33">
        <v>42.81</v>
      </c>
      <c r="G20" s="121">
        <f t="shared" si="0"/>
        <v>1.8687222611539323E-2</v>
      </c>
      <c r="I20" s="56">
        <f t="shared" si="1"/>
        <v>-6.5638869423032098E-2</v>
      </c>
      <c r="K20" s="56">
        <f t="shared" si="2"/>
        <v>6.9843494510628323E-2</v>
      </c>
      <c r="M20" s="56">
        <f t="shared" si="3"/>
        <v>0.20182200420462504</v>
      </c>
      <c r="O20" s="56">
        <f t="shared" si="4"/>
        <v>0.33450128474655449</v>
      </c>
      <c r="Q20" s="56">
        <f t="shared" si="5"/>
        <v>0.4669469750058397</v>
      </c>
      <c r="S20" s="56">
        <f t="shared" si="6"/>
        <v>0.59939266526512491</v>
      </c>
      <c r="U20" s="56">
        <f t="shared" si="7"/>
        <v>0.73183835552441012</v>
      </c>
      <c r="W20" s="121">
        <f t="shared" si="8"/>
        <v>-2.0926339285714302E-2</v>
      </c>
      <c r="Y20" s="33">
        <v>35.840000000000003</v>
      </c>
      <c r="AD20" s="302"/>
      <c r="AE20" s="302"/>
      <c r="AF20" s="302"/>
    </row>
    <row r="21" spans="1:32" ht="13" x14ac:dyDescent="0.3">
      <c r="B21" t="s">
        <v>159</v>
      </c>
      <c r="E21" s="33">
        <v>42.88</v>
      </c>
      <c r="G21" s="121">
        <f t="shared" si="0"/>
        <v>1.7024253731343197E-2</v>
      </c>
      <c r="I21" s="56">
        <f t="shared" si="1"/>
        <v>-6.7164179104477695E-2</v>
      </c>
      <c r="K21" s="56">
        <f t="shared" si="2"/>
        <v>6.8097014925373012E-2</v>
      </c>
      <c r="M21" s="56">
        <f t="shared" si="3"/>
        <v>0.19986007462686572</v>
      </c>
      <c r="O21" s="56">
        <f t="shared" si="4"/>
        <v>0.33232276119402981</v>
      </c>
      <c r="Q21" s="56">
        <f t="shared" si="5"/>
        <v>0.46455223880596996</v>
      </c>
      <c r="S21" s="56">
        <f t="shared" si="6"/>
        <v>0.59678171641791034</v>
      </c>
      <c r="U21" s="56">
        <f t="shared" si="7"/>
        <v>0.72901119402985071</v>
      </c>
      <c r="W21" s="121">
        <f t="shared" si="8"/>
        <v>-5.1108707409410314E-2</v>
      </c>
      <c r="Y21" s="33">
        <v>36.979999999999997</v>
      </c>
    </row>
    <row r="22" spans="1:32" ht="13" x14ac:dyDescent="0.3">
      <c r="B22" t="s">
        <v>160</v>
      </c>
      <c r="E22" s="33">
        <v>42.85</v>
      </c>
      <c r="G22" s="121">
        <f t="shared" si="0"/>
        <v>1.7736289381563575E-2</v>
      </c>
      <c r="I22" s="56">
        <f t="shared" si="1"/>
        <v>-6.6511085180863461E-2</v>
      </c>
      <c r="K22" s="56">
        <f t="shared" si="2"/>
        <v>6.8844807467911107E-2</v>
      </c>
      <c r="M22" s="56">
        <f t="shared" si="3"/>
        <v>0.20070011668611443</v>
      </c>
      <c r="O22" s="56">
        <f t="shared" si="4"/>
        <v>0.33325554259043177</v>
      </c>
      <c r="Q22" s="56">
        <f t="shared" si="5"/>
        <v>0.46557759626604422</v>
      </c>
      <c r="S22" s="56">
        <f t="shared" si="6"/>
        <v>0.5978996499416569</v>
      </c>
      <c r="U22" s="56">
        <f t="shared" si="7"/>
        <v>0.73022170361726957</v>
      </c>
      <c r="W22" s="121">
        <f t="shared" si="8"/>
        <v>-2.8247022985322556E-2</v>
      </c>
      <c r="Y22" s="33">
        <v>36.11</v>
      </c>
    </row>
    <row r="23" spans="1:32" ht="13" x14ac:dyDescent="0.3">
      <c r="B23" t="s">
        <v>161</v>
      </c>
      <c r="E23" s="33">
        <v>41.53</v>
      </c>
      <c r="G23" s="121">
        <f t="shared" si="0"/>
        <v>5.0084276426679564E-2</v>
      </c>
      <c r="I23" s="56">
        <f t="shared" si="1"/>
        <v>-3.6840837948471039E-2</v>
      </c>
      <c r="K23" s="56">
        <f t="shared" si="2"/>
        <v>0.10281724054900065</v>
      </c>
      <c r="M23" s="56">
        <f t="shared" si="3"/>
        <v>0.23886347218877924</v>
      </c>
      <c r="O23" s="56">
        <f t="shared" si="4"/>
        <v>0.37563207320009639</v>
      </c>
      <c r="Q23" s="56">
        <f t="shared" si="5"/>
        <v>0.51215988442090055</v>
      </c>
      <c r="S23" s="56">
        <f t="shared" si="6"/>
        <v>0.6486876956417047</v>
      </c>
      <c r="U23" s="56">
        <f t="shared" si="7"/>
        <v>0.78521550686250907</v>
      </c>
      <c r="W23" s="121">
        <f t="shared" si="8"/>
        <v>-1.4602639707947063E-2</v>
      </c>
      <c r="Y23" s="33">
        <v>35.61</v>
      </c>
    </row>
    <row r="24" spans="1:32" ht="5" customHeight="1" x14ac:dyDescent="0.25">
      <c r="G24" s="111"/>
      <c r="W24" s="111"/>
    </row>
    <row r="25" spans="1:32" ht="13" x14ac:dyDescent="0.3">
      <c r="A25" s="19" t="s">
        <v>162</v>
      </c>
      <c r="G25" s="111"/>
      <c r="W25" s="111"/>
      <c r="AF25" s="300"/>
    </row>
    <row r="26" spans="1:32" ht="5" customHeight="1" x14ac:dyDescent="0.3">
      <c r="A26" s="19"/>
      <c r="G26" s="111"/>
      <c r="W26" s="111"/>
    </row>
    <row r="27" spans="1:32" x14ac:dyDescent="0.25">
      <c r="B27" t="str">
        <f>year&amp;" "&amp;'Buyer P&amp;L'!$M$5&amp;"P Revenue"</f>
        <v>FY 2024P Revenue</v>
      </c>
      <c r="E27" s="113">
        <f>'Target P&amp;L'!M7</f>
        <v>6827</v>
      </c>
      <c r="G27" s="123">
        <f>G$13/$E27</f>
        <v>1.4947315072655631</v>
      </c>
      <c r="I27" s="124">
        <f>I$13/$E27</f>
        <v>1.3619012743667789</v>
      </c>
      <c r="K27" s="124">
        <f>K$13/$E27</f>
        <v>1.575312728885601</v>
      </c>
      <c r="M27" s="124">
        <f>M$13/$E27</f>
        <v>1.7832049216496262</v>
      </c>
      <c r="O27" s="124">
        <f>O$13/$E27</f>
        <v>1.992200966764611</v>
      </c>
      <c r="Q27" s="124">
        <f>Q$13/$E27</f>
        <v>2.2008290610959422</v>
      </c>
      <c r="S27" s="124">
        <f>S$13/$E27</f>
        <v>2.4094571554272739</v>
      </c>
      <c r="U27" s="124">
        <f>U$13/$E27</f>
        <v>2.6180852497586056</v>
      </c>
      <c r="W27" s="123">
        <f>W$13/Y27</f>
        <v>1.7321619594989983</v>
      </c>
      <c r="Y27" s="113">
        <f>'Buyer P&amp;L'!M7</f>
        <v>7485</v>
      </c>
    </row>
    <row r="28" spans="1:32" x14ac:dyDescent="0.25">
      <c r="B28" t="str">
        <f>year&amp;" "&amp;'Buyer P&amp;L'!$O$5&amp;"P Revenue"</f>
        <v>FY 2025P Revenue</v>
      </c>
      <c r="E28" s="101">
        <f>'Target P&amp;L'!O7</f>
        <v>7164.5</v>
      </c>
      <c r="G28" s="123">
        <f>G$13/$E28</f>
        <v>1.4243187940682531</v>
      </c>
      <c r="I28" s="124">
        <f>I$13/$E28</f>
        <v>1.2977458301489286</v>
      </c>
      <c r="K28" s="124">
        <f>K$13/$E28</f>
        <v>1.5011040547284524</v>
      </c>
      <c r="M28" s="124">
        <f>M$13/$E28</f>
        <v>1.6992030148791959</v>
      </c>
      <c r="O28" s="124">
        <f>O$13/$E28</f>
        <v>1.8983538279156953</v>
      </c>
      <c r="Q28" s="124">
        <f>Q$13/$E28</f>
        <v>2.097154023323609</v>
      </c>
      <c r="S28" s="124">
        <f>S$13/$E28</f>
        <v>2.2959542187315236</v>
      </c>
      <c r="U28" s="124">
        <f>U$13/$E28</f>
        <v>2.4947544141394373</v>
      </c>
      <c r="W28" s="123">
        <f>W$13/Y28</f>
        <v>1.6617831667328893</v>
      </c>
      <c r="Y28" s="101">
        <f>'Buyer P&amp;L'!O7</f>
        <v>7802</v>
      </c>
    </row>
    <row r="29" spans="1:32" x14ac:dyDescent="0.25">
      <c r="B29" t="str">
        <f>year&amp;" "&amp;'Buyer P&amp;L'!$Q$5&amp;"P Revenue"</f>
        <v>FY 2026P Revenue</v>
      </c>
      <c r="E29" s="101">
        <f>'Target P&amp;L'!Q7</f>
        <v>7596</v>
      </c>
      <c r="G29" s="123">
        <f>G$13/$E29</f>
        <v>1.343408636137704</v>
      </c>
      <c r="I29" s="124">
        <f>I$13/$E29</f>
        <v>1.224025803067667</v>
      </c>
      <c r="K29" s="124">
        <f>K$13/$E29</f>
        <v>1.4158320168644021</v>
      </c>
      <c r="M29" s="124">
        <f>M$13/$E29</f>
        <v>1.6026777251319113</v>
      </c>
      <c r="O29" s="124">
        <f>O$13/$E29</f>
        <v>1.7905155345052659</v>
      </c>
      <c r="Q29" s="124">
        <f>Q$13/$E29</f>
        <v>1.978022643510005</v>
      </c>
      <c r="S29" s="124">
        <f>S$13/$E29</f>
        <v>2.1655297525147446</v>
      </c>
      <c r="U29" s="124">
        <f>U$13/$E29</f>
        <v>2.3530368615194837</v>
      </c>
      <c r="W29" s="123">
        <f>W$13/Y29</f>
        <v>1.5931718194703861</v>
      </c>
      <c r="Y29" s="101">
        <f>'Buyer P&amp;L'!Q7</f>
        <v>8138</v>
      </c>
    </row>
    <row r="30" spans="1:32" ht="5" customHeight="1" x14ac:dyDescent="0.25">
      <c r="G30" s="111"/>
      <c r="W30" s="111"/>
    </row>
    <row r="31" spans="1:32" x14ac:dyDescent="0.25">
      <c r="B31" t="str">
        <f>year&amp;" "&amp;'Buyer P&amp;L'!$M$5&amp;"P EBITDA"</f>
        <v>FY 2024P EBITDA</v>
      </c>
      <c r="E31" s="113">
        <f>'Target P&amp;L'!M19</f>
        <v>958.52</v>
      </c>
      <c r="G31" s="125">
        <f>G$13/$E31</f>
        <v>10.646133622774693</v>
      </c>
      <c r="I31" s="126">
        <f>I$13/$E31</f>
        <v>9.7000584235091587</v>
      </c>
      <c r="K31" s="126">
        <f>K$13/$E31</f>
        <v>11.220068438949628</v>
      </c>
      <c r="M31" s="126">
        <f>M$13/$E31</f>
        <v>12.700767850542501</v>
      </c>
      <c r="O31" s="126">
        <f>O$13/$E31</f>
        <v>14.189329382904894</v>
      </c>
      <c r="Q31" s="126">
        <f>Q$13/$E31</f>
        <v>15.675270208344111</v>
      </c>
      <c r="S31" s="126">
        <f>S$13/$E31</f>
        <v>17.161211033783331</v>
      </c>
      <c r="U31" s="126">
        <f>U$13/$E31</f>
        <v>18.64715185922255</v>
      </c>
      <c r="W31" s="125">
        <f>W$13/Y31</f>
        <v>9.5192601078193846</v>
      </c>
      <c r="Y31" s="113">
        <f>'Buyer P&amp;L'!M19</f>
        <v>1362</v>
      </c>
      <c r="AF31" s="301"/>
    </row>
    <row r="32" spans="1:32" x14ac:dyDescent="0.25">
      <c r="B32" t="str">
        <f>year&amp;" "&amp;'Buyer P&amp;L'!$O$5&amp;"P EBITDA"</f>
        <v>FY 2025P EBITDA</v>
      </c>
      <c r="E32" s="101">
        <f>'Target P&amp;L'!O19</f>
        <v>1147.4000000000001</v>
      </c>
      <c r="G32" s="125">
        <f>G$13/$E32</f>
        <v>8.8936133868764156</v>
      </c>
      <c r="I32" s="126">
        <f>I$13/$E32</f>
        <v>8.1032769741171329</v>
      </c>
      <c r="K32" s="126">
        <f>K$13/$E32</f>
        <v>9.3730695486334294</v>
      </c>
      <c r="M32" s="126">
        <f>M$13/$E32</f>
        <v>10.610022660015686</v>
      </c>
      <c r="O32" s="126">
        <f>O$13/$E32</f>
        <v>11.85354366402475</v>
      </c>
      <c r="Q32" s="126">
        <f>Q$13/$E32</f>
        <v>13.094875370491543</v>
      </c>
      <c r="S32" s="126">
        <f>S$13/$E32</f>
        <v>14.336207076958338</v>
      </c>
      <c r="U32" s="126">
        <f>U$13/$E32</f>
        <v>15.577538783425133</v>
      </c>
      <c r="W32" s="125">
        <f>W$13/Y32</f>
        <v>8.515751899408869</v>
      </c>
      <c r="Y32" s="101">
        <f>'Buyer P&amp;L'!O19</f>
        <v>1522.5</v>
      </c>
    </row>
    <row r="33" spans="2:25" x14ac:dyDescent="0.25">
      <c r="B33" t="str">
        <f>year&amp;" "&amp;'Buyer P&amp;L'!$Q$5&amp;"P EBITDA"</f>
        <v>FY 2026P EBITDA</v>
      </c>
      <c r="E33" s="101">
        <f>'Target P&amp;L'!Q19</f>
        <v>1487.75</v>
      </c>
      <c r="G33" s="125">
        <f>G$13/$E33</f>
        <v>6.8590368006062841</v>
      </c>
      <c r="I33" s="126">
        <f>I$13/$E33</f>
        <v>6.2495042850626774</v>
      </c>
      <c r="K33" s="126">
        <f>K$13/$E33</f>
        <v>7.2288086036645929</v>
      </c>
      <c r="M33" s="126">
        <f>M$13/$E33</f>
        <v>8.182786086440597</v>
      </c>
      <c r="O33" s="126">
        <f>O$13/$E33</f>
        <v>9.1418289363817848</v>
      </c>
      <c r="Q33" s="126">
        <f>Q$13/$E33</f>
        <v>10.099183330601242</v>
      </c>
      <c r="S33" s="126">
        <f>S$13/$E33</f>
        <v>11.056537724820702</v>
      </c>
      <c r="U33" s="126">
        <f>U$13/$E33</f>
        <v>12.013892119040161</v>
      </c>
      <c r="W33" s="125">
        <f>W$13/Y33</f>
        <v>8.2058432068670903</v>
      </c>
      <c r="Y33" s="101">
        <f>'Buyer P&amp;L'!Q19</f>
        <v>1580</v>
      </c>
    </row>
    <row r="34" spans="2:25" ht="5" customHeight="1" x14ac:dyDescent="0.25">
      <c r="G34" s="111"/>
      <c r="I34" s="126"/>
      <c r="K34" s="126"/>
      <c r="M34" s="126"/>
      <c r="O34" s="126"/>
      <c r="Q34" s="126"/>
      <c r="S34" s="126"/>
      <c r="U34" s="126"/>
      <c r="W34" s="111"/>
    </row>
    <row r="35" spans="2:25" x14ac:dyDescent="0.25">
      <c r="B35" t="str">
        <f>year&amp;" "&amp;'Buyer P&amp;L'!$M$5&amp;"P EBITA"</f>
        <v>FY 2024P EBITA</v>
      </c>
      <c r="E35" s="113">
        <f>'Target P&amp;L'!M35</f>
        <v>678.92</v>
      </c>
      <c r="G35" s="125">
        <f>G$13/$E35</f>
        <v>15.030536734964354</v>
      </c>
      <c r="I35" s="126">
        <f>I$13/$E35</f>
        <v>13.694838861871796</v>
      </c>
      <c r="K35" s="126">
        <f>K$13/$E35</f>
        <v>15.840835444679783</v>
      </c>
      <c r="M35" s="126">
        <f>M$13/$E35</f>
        <v>17.93133211586343</v>
      </c>
      <c r="O35" s="126">
        <f>O$13/$E35</f>
        <v>20.032928769371942</v>
      </c>
      <c r="Q35" s="126">
        <f>Q$13/$E35</f>
        <v>22.130825428772166</v>
      </c>
      <c r="S35" s="126">
        <f>S$13/$E35</f>
        <v>24.228722088172393</v>
      </c>
      <c r="U35" s="126">
        <f>U$13/$E35</f>
        <v>26.326618747572617</v>
      </c>
      <c r="W35" s="125">
        <f>W$13/Y35</f>
        <v>11.353093053283715</v>
      </c>
      <c r="Y35" s="113">
        <f>'Buyer P&amp;L'!M35</f>
        <v>1142</v>
      </c>
    </row>
    <row r="36" spans="2:25" x14ac:dyDescent="0.25">
      <c r="B36" t="str">
        <f>year&amp;" "&amp;'Buyer P&amp;L'!$O$5&amp;"P EBITA"</f>
        <v>FY 2025P EBITA</v>
      </c>
      <c r="E36" s="101">
        <f>'Target P&amp;L'!O35</f>
        <v>906.7</v>
      </c>
      <c r="G36" s="125">
        <f>G$13/$E36</f>
        <v>11.254584758025807</v>
      </c>
      <c r="I36" s="126">
        <f>I$13/$E36</f>
        <v>10.254439175142824</v>
      </c>
      <c r="K36" s="126">
        <f>K$13/$E36</f>
        <v>11.86132127506562</v>
      </c>
      <c r="M36" s="126">
        <f>M$13/$E36</f>
        <v>13.426646079300758</v>
      </c>
      <c r="O36" s="126">
        <f>O$13/$E36</f>
        <v>15.00028234267343</v>
      </c>
      <c r="Q36" s="126">
        <f>Q$13/$E36</f>
        <v>16.571148119666919</v>
      </c>
      <c r="S36" s="126">
        <f>S$13/$E36</f>
        <v>18.142013896660416</v>
      </c>
      <c r="U36" s="126">
        <f>U$13/$E36</f>
        <v>19.712879673653909</v>
      </c>
      <c r="W36" s="125">
        <f>W$13/Y36</f>
        <v>9.9801649348395056</v>
      </c>
      <c r="Y36" s="101">
        <f>'Buyer P&amp;L'!O35</f>
        <v>1299.0999999999999</v>
      </c>
    </row>
    <row r="37" spans="2:25" x14ac:dyDescent="0.25">
      <c r="B37" t="str">
        <f>year&amp;" "&amp;'Buyer P&amp;L'!$Q$5&amp;"P EBITA"</f>
        <v>FY 2026P EBITA</v>
      </c>
      <c r="E37" s="101">
        <f>'Target P&amp;L'!Q35</f>
        <v>1191.55</v>
      </c>
      <c r="G37" s="125">
        <f>G$13/$E37</f>
        <v>8.5640820780512765</v>
      </c>
      <c r="I37" s="126">
        <f>I$13/$E37</f>
        <v>7.8030296673257515</v>
      </c>
      <c r="K37" s="126">
        <f>K$13/$E37</f>
        <v>9.0257731527019409</v>
      </c>
      <c r="M37" s="126">
        <f>M$13/$E37</f>
        <v>10.216893961732197</v>
      </c>
      <c r="O37" s="126">
        <f>O$13/$E37</f>
        <v>11.414339306031639</v>
      </c>
      <c r="Q37" s="126">
        <f>Q$13/$E37</f>
        <v>12.609676471908017</v>
      </c>
      <c r="S37" s="126">
        <f>S$13/$E37</f>
        <v>13.805013637784398</v>
      </c>
      <c r="U37" s="126">
        <f>U$13/$E37</f>
        <v>15.000350803660778</v>
      </c>
      <c r="W37" s="125">
        <f>W$13/Y37</f>
        <v>9.6719375358821349</v>
      </c>
      <c r="Y37" s="101">
        <f>'Buyer P&amp;L'!Q35</f>
        <v>1340.5</v>
      </c>
    </row>
    <row r="38" spans="2:25" ht="5" customHeight="1" x14ac:dyDescent="0.25">
      <c r="G38" s="111"/>
      <c r="I38" s="126"/>
      <c r="K38" s="126"/>
      <c r="M38" s="126"/>
      <c r="O38" s="126"/>
      <c r="Q38" s="126"/>
      <c r="S38" s="126"/>
      <c r="U38" s="126"/>
      <c r="W38" s="111"/>
    </row>
    <row r="39" spans="2:25" x14ac:dyDescent="0.25">
      <c r="B39" t="str">
        <f>year&amp;" "&amp;'Buyer P&amp;L'!$M$5&amp;"P Cash P/E"</f>
        <v>FY 2024P Cash P/E</v>
      </c>
      <c r="E39" s="127">
        <f>'Target P&amp;L'!M51</f>
        <v>1.7099569151052005</v>
      </c>
      <c r="G39" s="125">
        <f>G$5/$E39</f>
        <v>25.503566560515946</v>
      </c>
      <c r="I39" s="126">
        <f>I$5/$E39</f>
        <v>23.392402256836458</v>
      </c>
      <c r="J39" s="126"/>
      <c r="K39" s="126">
        <f>K$5/$E39</f>
        <v>26.784300584077741</v>
      </c>
      <c r="L39" s="126"/>
      <c r="M39" s="126">
        <f>M$5/$E39</f>
        <v>30.088477402855894</v>
      </c>
      <c r="N39" s="126"/>
      <c r="O39" s="126">
        <f>O$5/$E39</f>
        <v>33.41019852332667</v>
      </c>
      <c r="P39" s="126"/>
      <c r="Q39" s="126">
        <f>Q$5/$E39</f>
        <v>36.726071543233239</v>
      </c>
      <c r="R39" s="126"/>
      <c r="S39" s="126">
        <f>S$5/$E39</f>
        <v>40.041944563139808</v>
      </c>
      <c r="T39" s="126"/>
      <c r="U39" s="126">
        <f>U$5/$E39</f>
        <v>43.357817583046376</v>
      </c>
      <c r="W39" s="125">
        <f>W$5/Y39</f>
        <v>7.2540882326379483</v>
      </c>
      <c r="Y39" s="97">
        <f>'Buyer P&amp;L'!M51</f>
        <v>4.8372722904198158</v>
      </c>
    </row>
    <row r="40" spans="2:25" x14ac:dyDescent="0.25">
      <c r="B40" t="str">
        <f>year&amp;" "&amp;'Buyer P&amp;L'!$O$5&amp;"P Cash P/E"</f>
        <v>FY 2025P Cash P/E</v>
      </c>
      <c r="E40" s="128">
        <f>'Target P&amp;L'!O51</f>
        <v>2.124569909109383</v>
      </c>
      <c r="G40" s="125">
        <f>G$5/$E40</f>
        <v>20.526507418285547</v>
      </c>
      <c r="I40" s="126">
        <f>I$5/$E40</f>
        <v>18.827339984669155</v>
      </c>
      <c r="J40" s="126"/>
      <c r="K40" s="126">
        <f>K$5/$E40</f>
        <v>21.557304282446182</v>
      </c>
      <c r="L40" s="126"/>
      <c r="M40" s="126">
        <f>M$5/$E40</f>
        <v>24.216666055280701</v>
      </c>
      <c r="N40" s="126"/>
      <c r="O40" s="126">
        <f>O$5/$E40</f>
        <v>26.890148333103721</v>
      </c>
      <c r="P40" s="126"/>
      <c r="Q40" s="126">
        <f>Q$5/$E40</f>
        <v>29.558923775930573</v>
      </c>
      <c r="R40" s="126"/>
      <c r="S40" s="126">
        <f>S$5/$E40</f>
        <v>32.227699218757422</v>
      </c>
      <c r="T40" s="126"/>
      <c r="U40" s="126">
        <f>U$5/$E40</f>
        <v>34.896474661584278</v>
      </c>
      <c r="W40" s="125">
        <f>W$5/Y40</f>
        <v>7.3622836642749885</v>
      </c>
      <c r="Y40" s="122">
        <f>'Buyer P&amp;L'!O51</f>
        <v>4.7661841895975821</v>
      </c>
    </row>
    <row r="41" spans="2:25" x14ac:dyDescent="0.25">
      <c r="B41" t="str">
        <f>year&amp;" "&amp;'Buyer P&amp;L'!$Q$5&amp;"P Cash P/E"</f>
        <v>FY 2026P Cash P/E</v>
      </c>
      <c r="E41" s="128">
        <f>'Target P&amp;L'!Q51</f>
        <v>2.9019367427956628</v>
      </c>
      <c r="G41" s="129">
        <f>G$5/$E41</f>
        <v>15.027894770024199</v>
      </c>
      <c r="I41" s="126">
        <f>I$5/$E41</f>
        <v>13.783897977550286</v>
      </c>
      <c r="J41" s="126"/>
      <c r="K41" s="126">
        <f>K$5/$E41</f>
        <v>15.782563184295077</v>
      </c>
      <c r="L41" s="126"/>
      <c r="M41" s="126">
        <f>M$5/$E41</f>
        <v>17.729538773624057</v>
      </c>
      <c r="N41" s="126"/>
      <c r="O41" s="126">
        <f>O$5/$E41</f>
        <v>19.686852286436196</v>
      </c>
      <c r="P41" s="126"/>
      <c r="Q41" s="126">
        <f>Q$5/$E41</f>
        <v>21.640719824753948</v>
      </c>
      <c r="R41" s="126"/>
      <c r="S41" s="126">
        <f>S$5/$E41</f>
        <v>23.5945873630717</v>
      </c>
      <c r="T41" s="126"/>
      <c r="U41" s="126">
        <f>U$5/$E41</f>
        <v>25.548454901389455</v>
      </c>
      <c r="W41" s="129">
        <f>W$5/Y41</f>
        <v>6.8084238262535939</v>
      </c>
      <c r="Y41" s="122">
        <f>'Buyer P&amp;L'!Q51</f>
        <v>5.1539094650205763</v>
      </c>
    </row>
  </sheetData>
  <phoneticPr fontId="12"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57"/>
  <sheetViews>
    <sheetView showGridLines="0" topLeftCell="A33" zoomScale="112" workbookViewId="0">
      <selection activeCell="W31" sqref="W31"/>
    </sheetView>
  </sheetViews>
  <sheetFormatPr defaultColWidth="8.81640625" defaultRowHeight="12.5" x14ac:dyDescent="0.25"/>
  <cols>
    <col min="1" max="1" width="1.6328125" customWidth="1"/>
    <col min="2" max="4" width="12.6328125" customWidth="1"/>
    <col min="5" max="5" width="9.6328125" customWidth="1"/>
    <col min="6" max="6" width="9.453125" customWidth="1"/>
    <col min="7" max="7" width="1.6328125" customWidth="1"/>
    <col min="8" max="8" width="9.453125" customWidth="1"/>
    <col min="9" max="9" width="1.6328125" customWidth="1"/>
    <col min="10" max="10" width="9.453125" customWidth="1"/>
    <col min="11" max="11" width="1.6328125" customWidth="1"/>
    <col min="12" max="12" width="9.453125" customWidth="1"/>
    <col min="13" max="13" width="1.6328125" customWidth="1"/>
    <col min="14" max="14" width="9.453125" customWidth="1"/>
    <col min="15" max="15" width="1.6328125" customWidth="1"/>
    <col min="16" max="16" width="9.453125" customWidth="1"/>
    <col min="17" max="17" width="1.6328125" customWidth="1"/>
    <col min="18" max="18" width="9.453125" customWidth="1"/>
    <col min="19" max="19" width="1.6328125" customWidth="1"/>
    <col min="20" max="20" width="9.453125" customWidth="1"/>
  </cols>
  <sheetData>
    <row r="1" spans="1:20" ht="24" customHeight="1" thickBot="1" x14ac:dyDescent="0.5">
      <c r="A1" s="1" t="s">
        <v>197</v>
      </c>
      <c r="B1" s="2"/>
      <c r="C1" s="2"/>
      <c r="D1" s="2"/>
      <c r="E1" s="2"/>
      <c r="F1" s="2"/>
      <c r="G1" s="2"/>
      <c r="H1" s="2"/>
      <c r="I1" s="2"/>
      <c r="J1" s="2"/>
      <c r="K1" s="2"/>
      <c r="L1" s="2"/>
      <c r="M1" s="2"/>
      <c r="N1" s="2"/>
      <c r="O1" s="2"/>
      <c r="P1" s="2"/>
      <c r="Q1" s="2"/>
      <c r="R1" s="2"/>
      <c r="S1" s="2"/>
      <c r="T1" s="2"/>
    </row>
    <row r="2" spans="1:20" ht="13" x14ac:dyDescent="0.3">
      <c r="A2" s="90" t="s">
        <v>1</v>
      </c>
    </row>
    <row r="3" spans="1:20" ht="13" x14ac:dyDescent="0.3">
      <c r="F3" s="82" t="s">
        <v>164</v>
      </c>
      <c r="G3" s="82"/>
    </row>
    <row r="4" spans="1:20" ht="13.5" customHeight="1" thickBot="1" x14ac:dyDescent="0.35">
      <c r="F4" s="130" t="s">
        <v>165</v>
      </c>
      <c r="G4" s="82"/>
      <c r="H4" s="7" t="str">
        <f>"Transaction Prices Per "&amp;tgt&amp;" Share"</f>
        <v>Transaction Prices Per Tapestry, Inc. Share</v>
      </c>
      <c r="I4" s="31"/>
      <c r="J4" s="31"/>
      <c r="K4" s="31"/>
      <c r="L4" s="31"/>
      <c r="M4" s="31"/>
      <c r="N4" s="31"/>
      <c r="O4" s="31"/>
      <c r="P4" s="31"/>
      <c r="Q4" s="31"/>
      <c r="R4" s="31"/>
      <c r="S4" s="31"/>
      <c r="T4" s="31"/>
    </row>
    <row r="5" spans="1:20" ht="13.5" customHeight="1" thickBot="1" x14ac:dyDescent="0.35">
      <c r="A5" s="19"/>
      <c r="F5" s="131">
        <f>PPR!G5</f>
        <v>43.61</v>
      </c>
      <c r="G5" s="105"/>
      <c r="H5" s="131">
        <f>PPR!I5</f>
        <v>40</v>
      </c>
      <c r="I5" s="107"/>
      <c r="J5" s="131">
        <f>PPR!K5</f>
        <v>45.8</v>
      </c>
      <c r="K5" s="107"/>
      <c r="L5" s="131">
        <f>PPR!M5</f>
        <v>51.45</v>
      </c>
      <c r="M5" s="108"/>
      <c r="N5" s="131">
        <f>PPR!O5</f>
        <v>57.13</v>
      </c>
      <c r="O5" s="108"/>
      <c r="P5" s="131">
        <f>PPR!Q5</f>
        <v>62.8</v>
      </c>
      <c r="Q5" s="109"/>
      <c r="R5" s="131">
        <f>PPR!S5</f>
        <v>68.47</v>
      </c>
      <c r="S5" s="19"/>
      <c r="T5" s="131">
        <f>PPR!U5</f>
        <v>74.14</v>
      </c>
    </row>
    <row r="7" spans="1:20" ht="13" x14ac:dyDescent="0.3">
      <c r="A7" s="4" t="s">
        <v>198</v>
      </c>
      <c r="B7" s="4"/>
      <c r="C7" s="4"/>
      <c r="D7" s="4"/>
      <c r="E7" s="4"/>
      <c r="F7" s="4"/>
      <c r="G7" s="4"/>
      <c r="H7" s="4"/>
      <c r="I7" s="4"/>
      <c r="J7" s="4"/>
      <c r="K7" s="4"/>
      <c r="L7" s="4"/>
      <c r="M7" s="4"/>
      <c r="N7" s="4"/>
      <c r="O7" s="4"/>
      <c r="P7" s="4"/>
      <c r="Q7" s="4"/>
      <c r="R7" s="4"/>
      <c r="S7" s="4"/>
      <c r="T7" s="4"/>
    </row>
    <row r="9" spans="1:20" ht="13" x14ac:dyDescent="0.3">
      <c r="A9" s="39" t="s">
        <v>199</v>
      </c>
    </row>
    <row r="10" spans="1:20" x14ac:dyDescent="0.25">
      <c r="A10" t="str">
        <f>tgt&amp;" Common Consideration"</f>
        <v>Tapestry, Inc. Common Consideration</v>
      </c>
      <c r="F10" s="113">
        <f>PPR!G11</f>
        <v>10561.632</v>
      </c>
      <c r="H10" s="113">
        <f>PPR!I11</f>
        <v>9654.7999999999993</v>
      </c>
      <c r="J10" s="113">
        <f>PPR!K11</f>
        <v>11111.759999999998</v>
      </c>
      <c r="L10" s="113">
        <f>PPR!M11</f>
        <v>12531.039999999999</v>
      </c>
      <c r="N10" s="113">
        <f>PPR!O11</f>
        <v>13957.856</v>
      </c>
      <c r="P10" s="113">
        <f>PPR!Q11</f>
        <v>15382.159999999998</v>
      </c>
      <c r="R10" s="113">
        <f>PPR!S11</f>
        <v>16806.464</v>
      </c>
      <c r="T10" s="113">
        <f>PPR!U11</f>
        <v>18230.768</v>
      </c>
    </row>
    <row r="11" spans="1:20" x14ac:dyDescent="0.25">
      <c r="A11" t="str">
        <f>tgt&amp;" Options Consideration"</f>
        <v>Tapestry, Inc. Options Consideration</v>
      </c>
      <c r="F11" s="139">
        <f>GAAP!J15+GAAP!J22</f>
        <v>149.31955131047167</v>
      </c>
      <c r="H11" s="139">
        <f>GAAP!L15+GAAP!L22</f>
        <v>124.22768492374797</v>
      </c>
      <c r="J11" s="139">
        <f>GAAP!N15+GAAP!N22</f>
        <v>165.15112260692126</v>
      </c>
      <c r="L11" s="139">
        <f>GAAP!P15+GAAP!P22</f>
        <v>207.75277949284018</v>
      </c>
      <c r="N11" s="139">
        <f>GAAP!R15+GAAP!R22</f>
        <v>252.62393593824032</v>
      </c>
      <c r="P11" s="139">
        <f>GAAP!T15+GAAP!T22</f>
        <v>298.95748413910053</v>
      </c>
      <c r="R11" s="139">
        <f>GAAP!V15+GAAP!V22</f>
        <v>346.45806145541508</v>
      </c>
      <c r="T11" s="139">
        <f>GAAP!X15+GAAP!X22</f>
        <v>394.8485835097157</v>
      </c>
    </row>
    <row r="12" spans="1:20" ht="13.5" customHeight="1" thickBot="1" x14ac:dyDescent="0.3">
      <c r="A12" t="str">
        <f>tgt&amp;" Preferred Consideration"</f>
        <v>Tapestry, Inc. Preferred Consideration</v>
      </c>
      <c r="F12" s="139">
        <f>'PF BS'!J41</f>
        <v>1.0000000000000001E-9</v>
      </c>
      <c r="G12" s="57"/>
      <c r="H12" s="74">
        <f>F12</f>
        <v>1.0000000000000001E-9</v>
      </c>
      <c r="I12" s="57"/>
      <c r="J12" s="74">
        <f>H12</f>
        <v>1.0000000000000001E-9</v>
      </c>
      <c r="K12" s="57"/>
      <c r="L12" s="74">
        <f>J12</f>
        <v>1.0000000000000001E-9</v>
      </c>
      <c r="M12" s="57"/>
      <c r="N12" s="74">
        <f>L12</f>
        <v>1.0000000000000001E-9</v>
      </c>
      <c r="O12" s="57"/>
      <c r="P12" s="74">
        <f>N12</f>
        <v>1.0000000000000001E-9</v>
      </c>
      <c r="Q12" s="57"/>
      <c r="R12" s="74">
        <f>P12</f>
        <v>1.0000000000000001E-9</v>
      </c>
      <c r="S12" s="57"/>
      <c r="T12" s="74">
        <f>R12</f>
        <v>1.0000000000000001E-9</v>
      </c>
    </row>
    <row r="13" spans="1:20" x14ac:dyDescent="0.25">
      <c r="B13" t="s">
        <v>200</v>
      </c>
      <c r="F13" s="59">
        <f>SUM(F10:F12)</f>
        <v>10710.951551311471</v>
      </c>
      <c r="H13" s="59">
        <f>SUM(H10:H12)</f>
        <v>9779.0276849247475</v>
      </c>
      <c r="J13" s="59">
        <f>SUM(J10:J12)</f>
        <v>11276.91112260792</v>
      </c>
      <c r="L13" s="59">
        <f>SUM(L10:L12)</f>
        <v>12738.79277949384</v>
      </c>
      <c r="N13" s="59">
        <f>SUM(N10:N12)</f>
        <v>14210.47993593924</v>
      </c>
      <c r="P13" s="59">
        <f>SUM(P10:P12)</f>
        <v>15681.117484140099</v>
      </c>
      <c r="R13" s="59">
        <f>SUM(R10:R12)</f>
        <v>17152.922061456415</v>
      </c>
      <c r="T13" s="59">
        <f>SUM(T10:T12)</f>
        <v>18625.616583510717</v>
      </c>
    </row>
    <row r="15" spans="1:20" x14ac:dyDescent="0.25">
      <c r="A15" t="str">
        <f>tgt&amp;" Revolver Refinanced"</f>
        <v>Tapestry, Inc. Revolver Refinanced</v>
      </c>
      <c r="F15" s="139">
        <f>'PF BS'!J34</f>
        <v>0</v>
      </c>
      <c r="G15" s="140"/>
      <c r="H15" s="141">
        <f>F15</f>
        <v>0</v>
      </c>
      <c r="I15" s="140"/>
      <c r="J15" s="141">
        <f>H15</f>
        <v>0</v>
      </c>
      <c r="K15" s="140"/>
      <c r="L15" s="141">
        <f>J15</f>
        <v>0</v>
      </c>
      <c r="M15" s="140"/>
      <c r="N15" s="141">
        <f>L15</f>
        <v>0</v>
      </c>
      <c r="O15" s="140"/>
      <c r="P15" s="141">
        <f>N15</f>
        <v>0</v>
      </c>
      <c r="Q15" s="140"/>
      <c r="R15" s="141">
        <f>P15</f>
        <v>0</v>
      </c>
      <c r="S15" s="140"/>
      <c r="T15" s="141">
        <f>R15</f>
        <v>0</v>
      </c>
    </row>
    <row r="16" spans="1:20" ht="12.75" customHeight="1" x14ac:dyDescent="0.25">
      <c r="A16" t="str">
        <f>tgt&amp;" Convertible Debt Assumed"</f>
        <v>Tapestry, Inc. Convertible Debt Assumed</v>
      </c>
      <c r="F16" s="101">
        <f>assume*(IF(Assumptions!$L$26&gt;F5,Assumptions!$L$25,0)+IF(Assumptions!$N$26&gt;F5,Assumptions!$N$25,0))</f>
        <v>2.0000000000000001E-9</v>
      </c>
      <c r="H16" s="101">
        <f>assume*(IF(Assumptions!$L$26&gt;H5,Assumptions!$L$25,0)+IF(Assumptions!$N$26&gt;H5,Assumptions!$N$25,0))</f>
        <v>2.0000000000000001E-9</v>
      </c>
      <c r="J16" s="101">
        <f>assume*(IF(Assumptions!$L$26&gt;J5,Assumptions!$L$25,0)+IF(Assumptions!$N$26&gt;J5,Assumptions!$N$25,0))</f>
        <v>2.0000000000000001E-9</v>
      </c>
      <c r="L16" s="101">
        <f>assume*(IF(Assumptions!$L$26&gt;L5,Assumptions!$L$25,0)+IF(Assumptions!$N$26&gt;L5,Assumptions!$N$25,0))</f>
        <v>2.0000000000000001E-9</v>
      </c>
      <c r="N16" s="101">
        <f>assume*(IF(Assumptions!$L$26&gt;N5,Assumptions!$L$25,0)+IF(Assumptions!$N$26&gt;N5,Assumptions!$N$25,0))</f>
        <v>2.0000000000000001E-9</v>
      </c>
      <c r="P16" s="101">
        <f>assume*(IF(Assumptions!$L$26&gt;P5,Assumptions!$L$25,0)+IF(Assumptions!$N$26&gt;P5,Assumptions!$N$25,0))</f>
        <v>2.0000000000000001E-9</v>
      </c>
      <c r="R16" s="101">
        <f>assume*(IF(Assumptions!$L$26&gt;R5,Assumptions!$L$25,0)+IF(Assumptions!$N$26&gt;R5,Assumptions!$N$25,0))</f>
        <v>2.0000000000000001E-9</v>
      </c>
      <c r="T16" s="101">
        <f>assume*(IF(Assumptions!$L$26&gt;T5,Assumptions!$L$25,0)+IF(Assumptions!$N$26&gt;T5,Assumptions!$N$25,0))</f>
        <v>2.0000000000000001E-9</v>
      </c>
    </row>
    <row r="17" spans="1:20" ht="12.75" customHeight="1" x14ac:dyDescent="0.25">
      <c r="A17" t="str">
        <f>tgt&amp;" Convertible Debt Refinanced/Retired"</f>
        <v>Tapestry, Inc. Convertible Debt Refinanced/Retired</v>
      </c>
      <c r="F17" s="101">
        <f>(1-assume)*(IF(Assumptions!$L$26&gt;F5,Assumptions!$L$25,0)+IF(Assumptions!$N$26&gt;F5,Assumptions!$N$25,0))</f>
        <v>0</v>
      </c>
      <c r="G17" s="142"/>
      <c r="H17" s="101">
        <f>(1-assume)*(IF(Assumptions!$L$26&gt;H5,Assumptions!$L$25,0)+IF(Assumptions!$N$26&gt;H5,Assumptions!$N$25,0))</f>
        <v>0</v>
      </c>
      <c r="I17" s="142"/>
      <c r="J17" s="101">
        <f>(1-assume)*(IF(Assumptions!$L$26&gt;J5,Assumptions!$L$25,0)+IF(Assumptions!$N$26&gt;J5,Assumptions!$N$25,0))</f>
        <v>0</v>
      </c>
      <c r="K17" s="142"/>
      <c r="L17" s="101">
        <f>(1-assume)*(IF(Assumptions!$L$26&gt;L5,Assumptions!$L$25,0)+IF(Assumptions!$N$26&gt;L5,Assumptions!$N$25,0))</f>
        <v>0</v>
      </c>
      <c r="M17" s="142"/>
      <c r="N17" s="101">
        <f>(1-assume)*(IF(Assumptions!$L$26&gt;N5,Assumptions!$L$25,0)+IF(Assumptions!$N$26&gt;N5,Assumptions!$N$25,0))</f>
        <v>0</v>
      </c>
      <c r="O17" s="142"/>
      <c r="P17" s="101">
        <f>(1-assume)*(IF(Assumptions!$L$26&gt;P5,Assumptions!$L$25,0)+IF(Assumptions!$N$26&gt;P5,Assumptions!$N$25,0))</f>
        <v>0</v>
      </c>
      <c r="Q17" s="142"/>
      <c r="R17" s="101">
        <f>(1-assume)*(IF(Assumptions!$L$26&gt;R5,Assumptions!$L$25,0)+IF(Assumptions!$N$26&gt;R5,Assumptions!$N$25,0))</f>
        <v>0</v>
      </c>
      <c r="S17" s="142"/>
      <c r="T17" s="101">
        <f>(1-assume)*(IF(Assumptions!$L$26&gt;T5,Assumptions!$L$25,0)+IF(Assumptions!$N$26&gt;T5,Assumptions!$N$25,0))</f>
        <v>0</v>
      </c>
    </row>
    <row r="18" spans="1:20" x14ac:dyDescent="0.25">
      <c r="A18" t="str">
        <f>tgt&amp;" Non-Convertible LT Debt Assumed"</f>
        <v>Tapestry, Inc. Non-Convertible LT Debt Assumed</v>
      </c>
      <c r="F18" s="139">
        <f>assume*'PF BS'!J35</f>
        <v>9.9999999999999995E-8</v>
      </c>
      <c r="G18" s="140"/>
      <c r="H18" s="141">
        <f>F18</f>
        <v>9.9999999999999995E-8</v>
      </c>
      <c r="I18" s="57"/>
      <c r="J18" s="141">
        <f>H18</f>
        <v>9.9999999999999995E-8</v>
      </c>
      <c r="K18" s="57"/>
      <c r="L18" s="141">
        <f>J18</f>
        <v>9.9999999999999995E-8</v>
      </c>
      <c r="M18" s="57"/>
      <c r="N18" s="141">
        <f>L18</f>
        <v>9.9999999999999995E-8</v>
      </c>
      <c r="O18" s="57"/>
      <c r="P18" s="141">
        <f>N18</f>
        <v>9.9999999999999995E-8</v>
      </c>
      <c r="Q18" s="57"/>
      <c r="R18" s="141">
        <f>P18</f>
        <v>9.9999999999999995E-8</v>
      </c>
      <c r="S18" s="57"/>
      <c r="T18" s="141">
        <f>R18</f>
        <v>9.9999999999999995E-8</v>
      </c>
    </row>
    <row r="19" spans="1:20" ht="13.5" customHeight="1" thickBot="1" x14ac:dyDescent="0.3">
      <c r="A19" t="str">
        <f>tgt&amp;" Non-Convertible LT Debt Refinanced/Retired"</f>
        <v>Tapestry, Inc. Non-Convertible LT Debt Refinanced/Retired</v>
      </c>
      <c r="F19" s="139">
        <f>(1-assume)*'PF BS'!J35</f>
        <v>0</v>
      </c>
      <c r="G19" s="57"/>
      <c r="H19" s="141">
        <f>F19</f>
        <v>0</v>
      </c>
      <c r="I19" s="57"/>
      <c r="J19" s="141">
        <f>H19</f>
        <v>0</v>
      </c>
      <c r="K19" s="57"/>
      <c r="L19" s="141">
        <f>J19</f>
        <v>0</v>
      </c>
      <c r="M19" s="57"/>
      <c r="N19" s="141">
        <f>L19</f>
        <v>0</v>
      </c>
      <c r="O19" s="57"/>
      <c r="P19" s="141">
        <f>N19</f>
        <v>0</v>
      </c>
      <c r="Q19" s="57"/>
      <c r="R19" s="141">
        <f>P19</f>
        <v>0</v>
      </c>
      <c r="S19" s="57"/>
      <c r="T19" s="141">
        <f>R19</f>
        <v>0</v>
      </c>
    </row>
    <row r="20" spans="1:20" x14ac:dyDescent="0.25">
      <c r="B20" t="s">
        <v>201</v>
      </c>
      <c r="F20" s="59">
        <f>SUM(F13:F19)</f>
        <v>10710.951551413473</v>
      </c>
      <c r="H20" s="59">
        <f>SUM(H13:H19)</f>
        <v>9779.0276850267492</v>
      </c>
      <c r="J20" s="59">
        <f>SUM(J13:J19)</f>
        <v>11276.911122709922</v>
      </c>
      <c r="L20" s="59">
        <f>SUM(L13:L19)</f>
        <v>12738.792779595842</v>
      </c>
      <c r="N20" s="59">
        <f>SUM(N13:N19)</f>
        <v>14210.479936041242</v>
      </c>
      <c r="P20" s="59">
        <f>SUM(P13:P19)</f>
        <v>15681.117484242101</v>
      </c>
      <c r="R20" s="59">
        <f>SUM(R13:R19)</f>
        <v>17152.922061558416</v>
      </c>
      <c r="T20" s="59">
        <f>SUM(T13:T19)</f>
        <v>18625.616583612718</v>
      </c>
    </row>
    <row r="22" spans="1:20" x14ac:dyDescent="0.25">
      <c r="A22" t="s">
        <v>202</v>
      </c>
      <c r="F22" s="93">
        <v>0</v>
      </c>
      <c r="G22" s="140"/>
      <c r="H22" s="141">
        <f>F22</f>
        <v>0</v>
      </c>
      <c r="I22" s="57"/>
      <c r="J22" s="141">
        <f>H22</f>
        <v>0</v>
      </c>
      <c r="K22" s="57"/>
      <c r="L22" s="141">
        <f>J22</f>
        <v>0</v>
      </c>
      <c r="M22" s="57"/>
      <c r="N22" s="141">
        <f>L22</f>
        <v>0</v>
      </c>
      <c r="O22" s="57"/>
      <c r="P22" s="141">
        <f>N22</f>
        <v>0</v>
      </c>
      <c r="Q22" s="57"/>
      <c r="R22" s="141">
        <f>P22</f>
        <v>0</v>
      </c>
      <c r="S22" s="57"/>
      <c r="T22" s="141">
        <f>R22</f>
        <v>0</v>
      </c>
    </row>
    <row r="23" spans="1:20" x14ac:dyDescent="0.25">
      <c r="A23" t="s">
        <v>66</v>
      </c>
      <c r="F23" s="139">
        <f>F33*Assumptions!$T$25</f>
        <v>29.1509672</v>
      </c>
      <c r="G23" s="140"/>
      <c r="H23" s="139">
        <f>H33*Assumptions!$T$25</f>
        <v>26.11308</v>
      </c>
      <c r="I23" s="57"/>
      <c r="J23" s="139">
        <f>J33*Assumptions!$T$25</f>
        <v>30.993895999999996</v>
      </c>
      <c r="K23" s="57"/>
      <c r="L23" s="139">
        <f>L33*Assumptions!$T$25</f>
        <v>35.748484000000005</v>
      </c>
      <c r="M23" s="57"/>
      <c r="N23" s="139">
        <f>N33*Assumptions!$T$25</f>
        <v>40.528317600000008</v>
      </c>
      <c r="O23" s="57"/>
      <c r="P23" s="139">
        <f>P33*Assumptions!$T$25</f>
        <v>45.299736000000003</v>
      </c>
      <c r="Q23" s="57"/>
      <c r="R23" s="139">
        <f>R33*Assumptions!$T$25</f>
        <v>50.071154400000012</v>
      </c>
      <c r="S23" s="57"/>
      <c r="T23" s="139">
        <f>T33*Assumptions!$T$25</f>
        <v>54.842572800000021</v>
      </c>
    </row>
    <row r="24" spans="1:20" ht="13.5" customHeight="1" thickBot="1" x14ac:dyDescent="0.3">
      <c r="A24" t="s">
        <v>65</v>
      </c>
      <c r="F24" s="101">
        <f>fees</f>
        <v>151.69999999999999</v>
      </c>
      <c r="H24" s="101">
        <f>fees</f>
        <v>151.69999999999999</v>
      </c>
      <c r="J24" s="101">
        <f>fees</f>
        <v>151.69999999999999</v>
      </c>
      <c r="L24" s="101">
        <f>fees</f>
        <v>151.69999999999999</v>
      </c>
      <c r="N24" s="101">
        <f>fees</f>
        <v>151.69999999999999</v>
      </c>
      <c r="P24" s="101">
        <f>fees</f>
        <v>151.69999999999999</v>
      </c>
      <c r="R24" s="101">
        <f>fees</f>
        <v>151.69999999999999</v>
      </c>
      <c r="T24" s="101">
        <f>fees</f>
        <v>151.69999999999999</v>
      </c>
    </row>
    <row r="25" spans="1:20" ht="13.5" customHeight="1" thickBot="1" x14ac:dyDescent="0.35">
      <c r="B25" s="19" t="s">
        <v>203</v>
      </c>
      <c r="F25" s="20">
        <f>SUM(F20:F24)</f>
        <v>10891.802518613473</v>
      </c>
      <c r="H25" s="20">
        <f>SUM(H20:H24)</f>
        <v>9956.8407650267491</v>
      </c>
      <c r="J25" s="20">
        <f>SUM(J20:J24)</f>
        <v>11459.605018709923</v>
      </c>
      <c r="L25" s="20">
        <f>SUM(L20:L24)</f>
        <v>12926.241263595843</v>
      </c>
      <c r="N25" s="20">
        <f>SUM(N20:N24)</f>
        <v>14402.708253641242</v>
      </c>
      <c r="P25" s="20">
        <f>SUM(P20:P24)</f>
        <v>15878.117220242102</v>
      </c>
      <c r="R25" s="20">
        <f>SUM(R20:R24)</f>
        <v>17354.693215958418</v>
      </c>
      <c r="T25" s="20">
        <f>SUM(T20:T24)</f>
        <v>18832.159156412719</v>
      </c>
    </row>
    <row r="26" spans="1:20" ht="13.5" customHeight="1" thickTop="1" x14ac:dyDescent="0.25"/>
    <row r="27" spans="1:20" ht="13" x14ac:dyDescent="0.3">
      <c r="A27" s="39" t="s">
        <v>204</v>
      </c>
    </row>
    <row r="28" spans="1:20" x14ac:dyDescent="0.25">
      <c r="A28" t="str">
        <f>acq&amp;" Common Consideration"</f>
        <v>Bath &amp; Body Works, Inc. Common Consideration</v>
      </c>
      <c r="F28" s="113">
        <f>F10*(1-pct_cash)</f>
        <v>3485.3385599999992</v>
      </c>
      <c r="H28" s="113">
        <f>H10*(1-pct_cash)</f>
        <v>3186.0839999999994</v>
      </c>
      <c r="J28" s="113">
        <f>J10*(1-pct_cash)</f>
        <v>3666.880799999999</v>
      </c>
      <c r="L28" s="113">
        <f>L10*(1-pct_cash)</f>
        <v>4135.243199999999</v>
      </c>
      <c r="N28" s="113">
        <f>N10*(1-pct_cash)</f>
        <v>4606.0924799999993</v>
      </c>
      <c r="P28" s="113">
        <f>P10*(1-pct_cash)</f>
        <v>5076.112799999999</v>
      </c>
      <c r="R28" s="113">
        <f>R10*(1-pct_cash)</f>
        <v>5546.1331199999995</v>
      </c>
      <c r="T28" s="113">
        <f>T10*(1-pct_cash)</f>
        <v>6016.1534399999991</v>
      </c>
    </row>
    <row r="29" spans="1:20" x14ac:dyDescent="0.25">
      <c r="A29" t="str">
        <f>acq&amp;" Options Consideration"</f>
        <v>Bath &amp; Body Works, Inc. Options Consideration</v>
      </c>
      <c r="F29" s="141">
        <f>F11</f>
        <v>149.31955131047167</v>
      </c>
      <c r="G29" s="57"/>
      <c r="H29" s="141">
        <f>H11</f>
        <v>124.22768492374797</v>
      </c>
      <c r="I29" s="57"/>
      <c r="J29" s="141">
        <f>J11</f>
        <v>165.15112260692126</v>
      </c>
      <c r="K29" s="57"/>
      <c r="L29" s="141">
        <f>L11</f>
        <v>207.75277949284018</v>
      </c>
      <c r="M29" s="57"/>
      <c r="N29" s="141">
        <f>N11</f>
        <v>252.62393593824032</v>
      </c>
      <c r="O29" s="57"/>
      <c r="P29" s="141">
        <f>P11</f>
        <v>298.95748413910053</v>
      </c>
      <c r="Q29" s="57"/>
      <c r="R29" s="141">
        <f>R11</f>
        <v>346.45806145541508</v>
      </c>
      <c r="S29" s="57"/>
      <c r="T29" s="141">
        <f>T11</f>
        <v>394.8485835097157</v>
      </c>
    </row>
    <row r="30" spans="1:20" x14ac:dyDescent="0.25">
      <c r="A30" t="str">
        <f>acq&amp;" Preferred Consideration"</f>
        <v>Bath &amp; Body Works, Inc. Preferred Consideration</v>
      </c>
      <c r="F30" s="141">
        <f>F12</f>
        <v>1.0000000000000001E-9</v>
      </c>
      <c r="G30" s="57"/>
      <c r="H30" s="141">
        <f>H12</f>
        <v>1.0000000000000001E-9</v>
      </c>
      <c r="I30" s="57"/>
      <c r="J30" s="141">
        <f>J12</f>
        <v>1.0000000000000001E-9</v>
      </c>
      <c r="K30" s="57"/>
      <c r="L30" s="141">
        <f>L12</f>
        <v>1.0000000000000001E-9</v>
      </c>
      <c r="M30" s="57"/>
      <c r="N30" s="141">
        <f>N12</f>
        <v>1.0000000000000001E-9</v>
      </c>
      <c r="O30" s="57"/>
      <c r="P30" s="141">
        <f>P12</f>
        <v>1.0000000000000001E-9</v>
      </c>
      <c r="Q30" s="57"/>
      <c r="R30" s="141">
        <f>R12</f>
        <v>1.0000000000000001E-9</v>
      </c>
      <c r="S30" s="57"/>
      <c r="T30" s="141">
        <f>T12</f>
        <v>1.0000000000000001E-9</v>
      </c>
    </row>
    <row r="31" spans="1:20" x14ac:dyDescent="0.25">
      <c r="A31" t="s">
        <v>205</v>
      </c>
      <c r="F31" s="141">
        <f>MIN(F56,F45)</f>
        <v>1397.8</v>
      </c>
      <c r="G31" s="140"/>
      <c r="H31" s="141">
        <f>MIN(H56,H45)</f>
        <v>1397.8</v>
      </c>
      <c r="I31" s="140"/>
      <c r="J31" s="141">
        <f>MIN(J56,J45)</f>
        <v>1397.8</v>
      </c>
      <c r="K31" s="140"/>
      <c r="L31" s="141">
        <f>MIN(L56,L45)</f>
        <v>1397.8</v>
      </c>
      <c r="M31" s="140"/>
      <c r="N31" s="141">
        <f>MIN(N56,N45)</f>
        <v>1397.8</v>
      </c>
      <c r="O31" s="140"/>
      <c r="P31" s="141">
        <f>MIN(P56,P45)</f>
        <v>1397.8</v>
      </c>
      <c r="Q31" s="140"/>
      <c r="R31" s="141">
        <f>MIN(R56,R45)</f>
        <v>1397.8</v>
      </c>
      <c r="S31" s="140"/>
      <c r="T31" s="141">
        <f>MIN(T56,T45)</f>
        <v>1397.8</v>
      </c>
    </row>
    <row r="32" spans="1:20" x14ac:dyDescent="0.25">
      <c r="A32" t="str">
        <f>acq&amp;" Revolver"</f>
        <v>Bath &amp; Body Works, Inc. Revolver</v>
      </c>
      <c r="F32" s="141">
        <f>F15-F54</f>
        <v>0</v>
      </c>
      <c r="G32" s="140"/>
      <c r="H32" s="141">
        <f>H15-H54</f>
        <v>0</v>
      </c>
      <c r="I32" s="140"/>
      <c r="J32" s="141">
        <f>J15-J54</f>
        <v>0</v>
      </c>
      <c r="K32" s="140"/>
      <c r="L32" s="141">
        <f>L15-L54</f>
        <v>0</v>
      </c>
      <c r="M32" s="140"/>
      <c r="N32" s="141">
        <f>N15-N54</f>
        <v>0</v>
      </c>
      <c r="O32" s="140"/>
      <c r="P32" s="141">
        <f>P15-P54</f>
        <v>0</v>
      </c>
      <c r="Q32" s="140"/>
      <c r="R32" s="141">
        <f>R15-R54</f>
        <v>0</v>
      </c>
      <c r="S32" s="140"/>
      <c r="T32" s="141">
        <f>T15-T54</f>
        <v>0</v>
      </c>
    </row>
    <row r="33" spans="1:20" x14ac:dyDescent="0.25">
      <c r="A33" t="s">
        <v>58</v>
      </c>
      <c r="F33" s="141">
        <f>MAX(F53-F45,0)</f>
        <v>5830.19344</v>
      </c>
      <c r="G33" s="140"/>
      <c r="H33" s="141">
        <f>MAX(H53-H45,0)</f>
        <v>5222.616</v>
      </c>
      <c r="I33" s="140"/>
      <c r="J33" s="141">
        <f>MAX(J53-J45,0)</f>
        <v>6198.779199999999</v>
      </c>
      <c r="K33" s="140"/>
      <c r="L33" s="141">
        <f>MAX(L53-L45,0)</f>
        <v>7149.6968000000006</v>
      </c>
      <c r="M33" s="140"/>
      <c r="N33" s="141">
        <f>MAX(N53-N45,0)</f>
        <v>8105.663520000001</v>
      </c>
      <c r="O33" s="140"/>
      <c r="P33" s="141">
        <f>MAX(P53-P45,0)</f>
        <v>9059.9472000000005</v>
      </c>
      <c r="Q33" s="140"/>
      <c r="R33" s="141">
        <f>MAX(R53-R45,0)</f>
        <v>10014.230880000003</v>
      </c>
      <c r="S33" s="140"/>
      <c r="T33" s="141">
        <f>MAX(T53-T45,0)</f>
        <v>10968.514560000003</v>
      </c>
    </row>
    <row r="34" spans="1:20" ht="13.5" customHeight="1" thickBot="1" x14ac:dyDescent="0.3">
      <c r="A34" t="str">
        <f>tgt&amp;" LT Debt Assumed"</f>
        <v>Tapestry, Inc. LT Debt Assumed</v>
      </c>
      <c r="F34" s="74">
        <f>F16+F18</f>
        <v>1.02E-7</v>
      </c>
      <c r="H34" s="74">
        <f>H16+H18</f>
        <v>1.02E-7</v>
      </c>
      <c r="J34" s="74">
        <f>J16+J18</f>
        <v>1.02E-7</v>
      </c>
      <c r="L34" s="74">
        <f>L16+L18</f>
        <v>1.02E-7</v>
      </c>
      <c r="N34" s="74">
        <f>N16+N18</f>
        <v>1.02E-7</v>
      </c>
      <c r="P34" s="74">
        <f>P16+P18</f>
        <v>1.02E-7</v>
      </c>
      <c r="R34" s="74">
        <f>R16+R18</f>
        <v>1.02E-7</v>
      </c>
      <c r="T34" s="74">
        <f>T16+T18</f>
        <v>1.02E-7</v>
      </c>
    </row>
    <row r="35" spans="1:20" ht="13.5" customHeight="1" thickBot="1" x14ac:dyDescent="0.35">
      <c r="B35" s="19" t="s">
        <v>206</v>
      </c>
      <c r="F35" s="20">
        <f>SUM(F28:F34)</f>
        <v>10862.651551413472</v>
      </c>
      <c r="G35" s="20">
        <f t="shared" ref="G35:T35" si="0">SUM(G28:G34)</f>
        <v>0</v>
      </c>
      <c r="H35" s="20">
        <f t="shared" si="0"/>
        <v>9930.7276850267463</v>
      </c>
      <c r="I35" s="20">
        <f t="shared" si="0"/>
        <v>0</v>
      </c>
      <c r="J35" s="20">
        <f t="shared" si="0"/>
        <v>11428.611122709919</v>
      </c>
      <c r="K35" s="20">
        <f t="shared" si="0"/>
        <v>0</v>
      </c>
      <c r="L35" s="20">
        <f t="shared" si="0"/>
        <v>12890.492779595841</v>
      </c>
      <c r="M35" s="20">
        <f t="shared" si="0"/>
        <v>0</v>
      </c>
      <c r="N35" s="20">
        <f t="shared" si="0"/>
        <v>14362.179936041242</v>
      </c>
      <c r="O35" s="20">
        <f t="shared" si="0"/>
        <v>0</v>
      </c>
      <c r="P35" s="20">
        <f t="shared" si="0"/>
        <v>15832.817484242101</v>
      </c>
      <c r="Q35" s="20">
        <f t="shared" si="0"/>
        <v>0</v>
      </c>
      <c r="R35" s="20">
        <f t="shared" si="0"/>
        <v>17304.622061558421</v>
      </c>
      <c r="S35" s="20">
        <f t="shared" si="0"/>
        <v>0</v>
      </c>
      <c r="T35" s="20">
        <f t="shared" si="0"/>
        <v>18777.316583612719</v>
      </c>
    </row>
    <row r="36" spans="1:20" ht="13.5" customHeight="1" thickTop="1" x14ac:dyDescent="0.3">
      <c r="A36" s="19"/>
      <c r="F36" s="62"/>
      <c r="H36" s="62"/>
      <c r="J36" s="62"/>
      <c r="L36" s="62"/>
      <c r="N36" s="62"/>
      <c r="P36" s="62"/>
      <c r="R36" s="62"/>
      <c r="T36" s="62"/>
    </row>
    <row r="37" spans="1:20" s="52" customFormat="1" ht="13" x14ac:dyDescent="0.3">
      <c r="A37" s="52" t="s">
        <v>150</v>
      </c>
      <c r="F37" s="102">
        <f>ROUND(ABS(F35-F25),3)</f>
        <v>29.151</v>
      </c>
      <c r="H37" s="102">
        <f>ROUND(ABS(H35-H25),3)</f>
        <v>26.113</v>
      </c>
      <c r="J37" s="102">
        <f>ROUND(ABS(J35-J25),3)</f>
        <v>30.994</v>
      </c>
      <c r="L37" s="102">
        <f>ROUND(ABS(L35-L25),3)</f>
        <v>35.747999999999998</v>
      </c>
      <c r="N37" s="102">
        <f>ROUND(ABS(N35-N25),3)</f>
        <v>40.527999999999999</v>
      </c>
      <c r="P37" s="102">
        <f>ROUND(ABS(P35-P25),3)</f>
        <v>45.3</v>
      </c>
      <c r="R37" s="102">
        <f>ROUND(ABS(R35-R25),3)</f>
        <v>50.070999999999998</v>
      </c>
      <c r="T37" s="102">
        <f>ROUND(ABS(T35-T25),3)</f>
        <v>54.843000000000004</v>
      </c>
    </row>
    <row r="39" spans="1:20" ht="13" x14ac:dyDescent="0.3">
      <c r="A39" s="4" t="s">
        <v>207</v>
      </c>
      <c r="B39" s="4"/>
      <c r="C39" s="4"/>
      <c r="D39" s="4"/>
      <c r="E39" s="4"/>
      <c r="F39" s="4"/>
      <c r="G39" s="4"/>
      <c r="H39" s="4"/>
      <c r="I39" s="4"/>
      <c r="J39" s="4"/>
      <c r="K39" s="4"/>
      <c r="L39" s="4"/>
      <c r="M39" s="4"/>
      <c r="N39" s="4"/>
      <c r="O39" s="4"/>
      <c r="P39" s="4"/>
      <c r="Q39" s="4"/>
      <c r="R39" s="4"/>
      <c r="S39" s="4"/>
      <c r="T39" s="4"/>
    </row>
    <row r="41" spans="1:20" ht="13" x14ac:dyDescent="0.3">
      <c r="A41" s="39" t="s">
        <v>208</v>
      </c>
    </row>
    <row r="42" spans="1:20" x14ac:dyDescent="0.25">
      <c r="A42" t="str">
        <f>acq&amp;" Existing Cash"</f>
        <v>Bath &amp; Body Works, Inc. Existing Cash</v>
      </c>
      <c r="F42" s="113">
        <f>'PF BS'!H8</f>
        <v>1046</v>
      </c>
      <c r="H42" s="16">
        <f>F42</f>
        <v>1046</v>
      </c>
      <c r="J42" s="16">
        <f>H42</f>
        <v>1046</v>
      </c>
      <c r="L42" s="16">
        <f>J42</f>
        <v>1046</v>
      </c>
      <c r="N42" s="16">
        <f>L42</f>
        <v>1046</v>
      </c>
      <c r="P42" s="16">
        <f>N42</f>
        <v>1046</v>
      </c>
      <c r="R42" s="16">
        <f>P42</f>
        <v>1046</v>
      </c>
      <c r="T42" s="16">
        <f>R42</f>
        <v>1046</v>
      </c>
    </row>
    <row r="43" spans="1:20" x14ac:dyDescent="0.25">
      <c r="A43" t="str">
        <f>tgt&amp;" Existing Cash"</f>
        <v>Tapestry, Inc. Existing Cash</v>
      </c>
      <c r="F43" s="101">
        <f>'PF BS'!J8</f>
        <v>651.79999999999995</v>
      </c>
      <c r="H43" s="74">
        <f>F43</f>
        <v>651.79999999999995</v>
      </c>
      <c r="J43" s="74">
        <f>H43</f>
        <v>651.79999999999995</v>
      </c>
      <c r="L43" s="74">
        <f>J43</f>
        <v>651.79999999999995</v>
      </c>
      <c r="N43" s="74">
        <f>L43</f>
        <v>651.79999999999995</v>
      </c>
      <c r="P43" s="74">
        <f>N43</f>
        <v>651.79999999999995</v>
      </c>
      <c r="R43" s="74">
        <f>P43</f>
        <v>651.79999999999995</v>
      </c>
      <c r="T43" s="74">
        <f>R43</f>
        <v>651.79999999999995</v>
      </c>
    </row>
    <row r="44" spans="1:20" ht="13.5" customHeight="1" thickBot="1" x14ac:dyDescent="0.3">
      <c r="A44" t="s">
        <v>63</v>
      </c>
      <c r="F44" s="101">
        <f>-min_cash</f>
        <v>-300</v>
      </c>
      <c r="H44" s="74">
        <f>F44</f>
        <v>-300</v>
      </c>
      <c r="J44" s="74">
        <f>H44</f>
        <v>-300</v>
      </c>
      <c r="L44" s="74">
        <f>J44</f>
        <v>-300</v>
      </c>
      <c r="N44" s="74">
        <f>L44</f>
        <v>-300</v>
      </c>
      <c r="P44" s="74">
        <f>N44</f>
        <v>-300</v>
      </c>
      <c r="R44" s="74">
        <f>P44</f>
        <v>-300</v>
      </c>
      <c r="T44" s="74">
        <f>R44</f>
        <v>-300</v>
      </c>
    </row>
    <row r="45" spans="1:20" ht="13.5" customHeight="1" thickBot="1" x14ac:dyDescent="0.35">
      <c r="B45" s="19" t="s">
        <v>209</v>
      </c>
      <c r="F45" s="20">
        <f>SUM(F42:F44)</f>
        <v>1397.8</v>
      </c>
      <c r="H45" s="20">
        <f>SUM(H42:H44)</f>
        <v>1397.8</v>
      </c>
      <c r="J45" s="20">
        <f>SUM(J42:J44)</f>
        <v>1397.8</v>
      </c>
      <c r="L45" s="20">
        <f>SUM(L42:L44)</f>
        <v>1397.8</v>
      </c>
      <c r="N45" s="20">
        <f>SUM(N42:N44)</f>
        <v>1397.8</v>
      </c>
      <c r="P45" s="20">
        <f>SUM(P42:P44)</f>
        <v>1397.8</v>
      </c>
      <c r="R45" s="20">
        <f>SUM(R42:R44)</f>
        <v>1397.8</v>
      </c>
      <c r="T45" s="20">
        <f>SUM(T42:T44)</f>
        <v>1397.8</v>
      </c>
    </row>
    <row r="46" spans="1:20" ht="13.5" customHeight="1" thickTop="1" x14ac:dyDescent="0.25"/>
    <row r="47" spans="1:20" ht="13" x14ac:dyDescent="0.3">
      <c r="A47" s="39" t="s">
        <v>210</v>
      </c>
    </row>
    <row r="48" spans="1:20" x14ac:dyDescent="0.25">
      <c r="A48" t="str">
        <f>"Cash Paid to "&amp;tgt&amp;" Shareholders"</f>
        <v>Cash Paid to Tapestry, Inc. Shareholders</v>
      </c>
      <c r="F48" s="16">
        <f>F10-F28</f>
        <v>7076.2934400000004</v>
      </c>
      <c r="H48" s="16">
        <f>H10-H28</f>
        <v>6468.7160000000003</v>
      </c>
      <c r="J48" s="16">
        <f>J10-J28</f>
        <v>7444.8791999999994</v>
      </c>
      <c r="L48" s="16">
        <f>L10-L28</f>
        <v>8395.7968000000001</v>
      </c>
      <c r="N48" s="16">
        <f>N10-N28</f>
        <v>9351.7635200000004</v>
      </c>
      <c r="P48" s="16">
        <f>P10-P28</f>
        <v>10306.047199999999</v>
      </c>
      <c r="R48" s="16">
        <f>R10-R28</f>
        <v>11260.330880000001</v>
      </c>
      <c r="T48" s="16">
        <f>T10-T28</f>
        <v>12214.614560000002</v>
      </c>
    </row>
    <row r="49" spans="1:20" x14ac:dyDescent="0.25">
      <c r="A49" t="s">
        <v>66</v>
      </c>
      <c r="F49" s="74">
        <f>F23</f>
        <v>29.1509672</v>
      </c>
      <c r="H49" s="74">
        <f>H23</f>
        <v>26.11308</v>
      </c>
      <c r="J49" s="74">
        <f>J23</f>
        <v>30.993895999999996</v>
      </c>
      <c r="L49" s="74">
        <f>L23</f>
        <v>35.748484000000005</v>
      </c>
      <c r="N49" s="74">
        <f>N23</f>
        <v>40.528317600000008</v>
      </c>
      <c r="P49" s="74">
        <f>P23</f>
        <v>45.299736000000003</v>
      </c>
      <c r="R49" s="74">
        <f>R23</f>
        <v>50.071154400000012</v>
      </c>
      <c r="T49" s="74">
        <f>T23</f>
        <v>54.842572800000021</v>
      </c>
    </row>
    <row r="50" spans="1:20" x14ac:dyDescent="0.25">
      <c r="A50" t="s">
        <v>65</v>
      </c>
      <c r="F50" s="74">
        <f>F24</f>
        <v>151.69999999999999</v>
      </c>
      <c r="H50" s="74">
        <f>H24</f>
        <v>151.69999999999999</v>
      </c>
      <c r="J50" s="74">
        <f>J24</f>
        <v>151.69999999999999</v>
      </c>
      <c r="L50" s="74">
        <f>L24</f>
        <v>151.69999999999999</v>
      </c>
      <c r="N50" s="74">
        <f>N24</f>
        <v>151.69999999999999</v>
      </c>
      <c r="P50" s="74">
        <f>P24</f>
        <v>151.69999999999999</v>
      </c>
      <c r="R50" s="74">
        <f>R24</f>
        <v>151.69999999999999</v>
      </c>
      <c r="T50" s="74">
        <f>T24</f>
        <v>151.69999999999999</v>
      </c>
    </row>
    <row r="51" spans="1:20" x14ac:dyDescent="0.25">
      <c r="A51" t="str">
        <f>acq&amp;" Debt Retired"</f>
        <v>Bath &amp; Body Works, Inc. Debt Retired</v>
      </c>
      <c r="F51" s="74">
        <f>F22</f>
        <v>0</v>
      </c>
      <c r="H51" s="74">
        <f>H22</f>
        <v>0</v>
      </c>
      <c r="J51" s="74">
        <f>J22</f>
        <v>0</v>
      </c>
      <c r="L51" s="74">
        <f>L22</f>
        <v>0</v>
      </c>
      <c r="N51" s="74">
        <f>N22</f>
        <v>0</v>
      </c>
      <c r="P51" s="74">
        <f>P22</f>
        <v>0</v>
      </c>
      <c r="R51" s="74">
        <f>R22</f>
        <v>0</v>
      </c>
      <c r="T51" s="74">
        <f>T22</f>
        <v>0</v>
      </c>
    </row>
    <row r="52" spans="1:20" ht="13.5" customHeight="1" thickBot="1" x14ac:dyDescent="0.3">
      <c r="A52" t="str">
        <f>tgt&amp;" Debt Retired"</f>
        <v>Tapestry, Inc. Debt Retired</v>
      </c>
      <c r="F52" s="74">
        <f>F17+F19</f>
        <v>0</v>
      </c>
      <c r="H52" s="74">
        <f>H17+H19</f>
        <v>0</v>
      </c>
      <c r="J52" s="74">
        <f>J17+J19</f>
        <v>0</v>
      </c>
      <c r="L52" s="74">
        <f>L17+L19</f>
        <v>0</v>
      </c>
      <c r="N52" s="74">
        <f>N17+N19</f>
        <v>0</v>
      </c>
      <c r="P52" s="74">
        <f>P17+P19</f>
        <v>0</v>
      </c>
      <c r="R52" s="74">
        <f>R17+R19</f>
        <v>0</v>
      </c>
      <c r="T52" s="74">
        <f>T17+T19</f>
        <v>0</v>
      </c>
    </row>
    <row r="53" spans="1:20" x14ac:dyDescent="0.25">
      <c r="B53" t="s">
        <v>211</v>
      </c>
      <c r="F53" s="59">
        <f>F48+F50</f>
        <v>7227.9934400000002</v>
      </c>
      <c r="G53" s="59">
        <f t="shared" ref="G53:T53" si="1">G48+G50</f>
        <v>0</v>
      </c>
      <c r="H53" s="59">
        <f t="shared" si="1"/>
        <v>6620.4160000000002</v>
      </c>
      <c r="I53" s="59">
        <f t="shared" si="1"/>
        <v>0</v>
      </c>
      <c r="J53" s="59">
        <f t="shared" si="1"/>
        <v>7596.5791999999992</v>
      </c>
      <c r="K53" s="59">
        <f t="shared" si="1"/>
        <v>0</v>
      </c>
      <c r="L53" s="59">
        <f t="shared" si="1"/>
        <v>8547.4968000000008</v>
      </c>
      <c r="M53" s="59">
        <f t="shared" si="1"/>
        <v>0</v>
      </c>
      <c r="N53" s="59">
        <f t="shared" si="1"/>
        <v>9503.4635200000012</v>
      </c>
      <c r="O53" s="59">
        <f t="shared" si="1"/>
        <v>0</v>
      </c>
      <c r="P53" s="59">
        <f t="shared" si="1"/>
        <v>10457.7472</v>
      </c>
      <c r="Q53" s="59">
        <f t="shared" si="1"/>
        <v>0</v>
      </c>
      <c r="R53" s="59">
        <f t="shared" si="1"/>
        <v>11412.030880000002</v>
      </c>
      <c r="S53" s="59">
        <f t="shared" si="1"/>
        <v>0</v>
      </c>
      <c r="T53" s="59">
        <f t="shared" si="1"/>
        <v>12366.314560000003</v>
      </c>
    </row>
    <row r="54" spans="1:20" s="57" customFormat="1" x14ac:dyDescent="0.25">
      <c r="A54" s="57" t="str">
        <f>"Optional Paydown of "&amp;tgt&amp;" Revolver"</f>
        <v>Optional Paydown of Tapestry, Inc. Revolver</v>
      </c>
      <c r="F54" s="74">
        <f>MAX(MIN(F45-F53,F15),0)</f>
        <v>0</v>
      </c>
      <c r="H54" s="74">
        <f>MAX(MIN(H45-H53,H15),0)</f>
        <v>0</v>
      </c>
      <c r="J54" s="74">
        <f>MAX(MIN(J45-J53,J15),0)</f>
        <v>0</v>
      </c>
      <c r="L54" s="74">
        <f>MAX(MIN(L45-L53,L15),0)</f>
        <v>0</v>
      </c>
      <c r="N54" s="74">
        <f>MAX(MIN(N45-N53,N15),0)</f>
        <v>0</v>
      </c>
      <c r="P54" s="74">
        <f>MAX(MIN(P45-P53,P15),0)</f>
        <v>0</v>
      </c>
      <c r="R54" s="74">
        <f>MAX(MIN(R45-R53,R15),0)</f>
        <v>0</v>
      </c>
      <c r="T54" s="74">
        <f>MAX(MIN(T45-T53,T15),0)</f>
        <v>0</v>
      </c>
    </row>
    <row r="55" spans="1:20" ht="13.5" customHeight="1" thickBot="1" x14ac:dyDescent="0.3">
      <c r="A55" t="str">
        <f>"Optional Paydown of "&amp;acq&amp;" Revolver"</f>
        <v>Optional Paydown of Bath &amp; Body Works, Inc. Revolver</v>
      </c>
      <c r="F55" s="74">
        <f>MAX(MIN(F45-F53-F54,F32),0)</f>
        <v>0</v>
      </c>
      <c r="H55" s="74">
        <f>MAX(MIN(H45-H53-H54,H32),0)</f>
        <v>0</v>
      </c>
      <c r="J55" s="74">
        <f>MAX(MIN(J45-J53-J54,J32),0)</f>
        <v>0</v>
      </c>
      <c r="L55" s="74">
        <f>MAX(MIN(L45-L53-L54,L32),0)</f>
        <v>0</v>
      </c>
      <c r="N55" s="74">
        <f>MAX(MIN(N45-N53-N54,N32),0)</f>
        <v>0</v>
      </c>
      <c r="P55" s="74">
        <f>MAX(MIN(P45-P53-P54,P32),0)</f>
        <v>0</v>
      </c>
      <c r="R55" s="74">
        <f>MAX(MIN(R45-R53-R54,R32),0)</f>
        <v>0</v>
      </c>
      <c r="T55" s="74">
        <f>MAX(MIN(T45-T53-T54,T32),0)</f>
        <v>0</v>
      </c>
    </row>
    <row r="56" spans="1:20" ht="13.5" customHeight="1" thickBot="1" x14ac:dyDescent="0.35">
      <c r="B56" s="19" t="s">
        <v>212</v>
      </c>
      <c r="F56" s="20">
        <f>SUM(F53:F55)</f>
        <v>7227.9934400000002</v>
      </c>
      <c r="H56" s="20">
        <f>SUM(H53:H55)</f>
        <v>6620.4160000000002</v>
      </c>
      <c r="J56" s="20">
        <f>SUM(J53:J55)</f>
        <v>7596.5791999999992</v>
      </c>
      <c r="L56" s="20">
        <f>SUM(L53:L55)</f>
        <v>8547.4968000000008</v>
      </c>
      <c r="N56" s="20">
        <f>SUM(N53:N55)</f>
        <v>9503.4635200000012</v>
      </c>
      <c r="P56" s="20">
        <f>SUM(P53:P55)</f>
        <v>10457.7472</v>
      </c>
      <c r="R56" s="20">
        <f>SUM(R53:R55)</f>
        <v>11412.030880000002</v>
      </c>
      <c r="T56" s="20">
        <f>SUM(T53:T55)</f>
        <v>12366.314560000003</v>
      </c>
    </row>
    <row r="57" spans="1:20" ht="13.5" customHeight="1" thickTop="1" x14ac:dyDescent="0.25"/>
  </sheetData>
  <phoneticPr fontId="12" type="noConversion"/>
  <pageMargins left="0.75" right="0.75" top="1" bottom="1" header="0.5" footer="0.5"/>
  <headerFooter alignWithMargins="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159"/>
  <sheetViews>
    <sheetView showGridLines="0" zoomScaleNormal="100" workbookViewId="0">
      <selection activeCell="AA72" sqref="AA72"/>
    </sheetView>
  </sheetViews>
  <sheetFormatPr defaultColWidth="8.81640625" defaultRowHeight="12.5" x14ac:dyDescent="0.25"/>
  <cols>
    <col min="1" max="1" width="1.6328125" customWidth="1"/>
    <col min="2" max="2" width="9.6328125" customWidth="1"/>
    <col min="3" max="3" width="1.6328125" customWidth="1"/>
    <col min="4" max="4" width="9.6328125" customWidth="1"/>
    <col min="5" max="5" width="1.6328125" customWidth="1"/>
    <col min="6" max="6" width="9.6328125" customWidth="1"/>
    <col min="7" max="7" width="1.6328125" customWidth="1"/>
    <col min="8" max="8" width="9.6328125" customWidth="1"/>
    <col min="9" max="9" width="1.6328125" customWidth="1"/>
    <col min="10" max="10" width="9.6328125" customWidth="1"/>
    <col min="11" max="11" width="1.6328125" customWidth="1"/>
    <col min="12" max="12" width="9.6328125" customWidth="1"/>
    <col min="13" max="13" width="1.6328125" customWidth="1"/>
    <col min="14" max="14" width="9.6328125" customWidth="1"/>
    <col min="15" max="15" width="1.6328125" customWidth="1"/>
    <col min="16" max="16" width="9.6328125" customWidth="1"/>
    <col min="17" max="17" width="1.6328125" customWidth="1"/>
    <col min="18" max="18" width="9.6328125" customWidth="1"/>
    <col min="19" max="19" width="1.6328125" customWidth="1"/>
    <col min="20" max="20" width="9.6328125" customWidth="1"/>
    <col min="21" max="21" width="1.6328125" customWidth="1"/>
    <col min="22" max="22" width="9.6328125" customWidth="1"/>
    <col min="23" max="23" width="1.6328125" customWidth="1"/>
    <col min="24" max="24" width="9.6328125" customWidth="1"/>
  </cols>
  <sheetData>
    <row r="1" spans="1:24" ht="24" customHeight="1" thickBot="1" x14ac:dyDescent="0.5">
      <c r="A1" s="1" t="s">
        <v>163</v>
      </c>
      <c r="B1" s="2"/>
      <c r="C1" s="2"/>
      <c r="D1" s="2"/>
      <c r="E1" s="2"/>
      <c r="F1" s="2"/>
      <c r="G1" s="2"/>
      <c r="H1" s="2"/>
      <c r="I1" s="2"/>
      <c r="J1" s="2"/>
      <c r="K1" s="2"/>
      <c r="L1" s="2"/>
      <c r="M1" s="2"/>
      <c r="N1" s="2"/>
      <c r="O1" s="2"/>
      <c r="P1" s="2"/>
      <c r="Q1" s="2"/>
      <c r="R1" s="2"/>
      <c r="S1" s="2"/>
      <c r="T1" s="2"/>
      <c r="U1" s="2"/>
      <c r="V1" s="2"/>
      <c r="W1" s="2"/>
      <c r="X1" s="2"/>
    </row>
    <row r="2" spans="1:24" ht="13" x14ac:dyDescent="0.3">
      <c r="A2" s="90" t="s">
        <v>1</v>
      </c>
    </row>
    <row r="3" spans="1:24" ht="13" x14ac:dyDescent="0.3">
      <c r="A3" s="52"/>
    </row>
    <row r="4" spans="1:24" ht="13" x14ac:dyDescent="0.3">
      <c r="A4" s="52"/>
      <c r="J4" s="82" t="s">
        <v>164</v>
      </c>
      <c r="K4" s="82"/>
    </row>
    <row r="5" spans="1:24" ht="13.5" customHeight="1" thickBot="1" x14ac:dyDescent="0.35">
      <c r="J5" s="130" t="s">
        <v>165</v>
      </c>
      <c r="K5" s="82"/>
      <c r="L5" s="7" t="str">
        <f>"Transaction Prices Per "&amp;tgt&amp;" Share"</f>
        <v>Transaction Prices Per Tapestry, Inc. Share</v>
      </c>
      <c r="M5" s="31"/>
      <c r="N5" s="31"/>
      <c r="O5" s="31"/>
      <c r="P5" s="31"/>
      <c r="Q5" s="31"/>
      <c r="R5" s="31"/>
      <c r="S5" s="31"/>
      <c r="T5" s="31"/>
      <c r="U5" s="31"/>
      <c r="V5" s="31"/>
      <c r="W5" s="31"/>
      <c r="X5" s="31"/>
    </row>
    <row r="6" spans="1:24" ht="13.5" customHeight="1" thickBot="1" x14ac:dyDescent="0.35">
      <c r="A6" s="19"/>
      <c r="J6" s="131">
        <f>PPR!G5</f>
        <v>43.61</v>
      </c>
      <c r="L6" s="131">
        <f>PPR!I5</f>
        <v>40</v>
      </c>
      <c r="N6" s="131">
        <f>PPR!K5</f>
        <v>45.8</v>
      </c>
      <c r="P6" s="131">
        <f>PPR!M5</f>
        <v>51.45</v>
      </c>
      <c r="R6" s="131">
        <f>PPR!O5</f>
        <v>57.13</v>
      </c>
      <c r="T6" s="131">
        <f>PPR!Q5</f>
        <v>62.8</v>
      </c>
      <c r="V6" s="131">
        <f>PPR!S5</f>
        <v>68.47</v>
      </c>
      <c r="X6" s="131">
        <f>PPR!U5</f>
        <v>74.14</v>
      </c>
    </row>
    <row r="7" spans="1:24" ht="13.5" customHeight="1" x14ac:dyDescent="0.3">
      <c r="A7" s="91"/>
      <c r="J7" s="135"/>
      <c r="L7" s="135"/>
      <c r="N7" s="135"/>
      <c r="P7" s="135"/>
      <c r="R7" s="135"/>
      <c r="T7" s="135"/>
      <c r="V7" s="135"/>
      <c r="X7" s="135"/>
    </row>
    <row r="8" spans="1:24" ht="13" x14ac:dyDescent="0.3">
      <c r="A8" s="4" t="s">
        <v>180</v>
      </c>
      <c r="B8" s="132"/>
      <c r="C8" s="132"/>
      <c r="D8" s="132"/>
      <c r="E8" s="132"/>
      <c r="F8" s="132"/>
      <c r="G8" s="132"/>
      <c r="H8" s="132"/>
      <c r="I8" s="132"/>
      <c r="J8" s="132"/>
      <c r="K8" s="132"/>
      <c r="L8" s="132"/>
      <c r="M8" s="132"/>
      <c r="N8" s="132"/>
      <c r="O8" s="132"/>
      <c r="P8" s="132"/>
      <c r="Q8" s="132"/>
      <c r="R8" s="132"/>
      <c r="S8" s="132"/>
      <c r="T8" s="132"/>
      <c r="U8" s="132"/>
      <c r="V8" s="132"/>
      <c r="W8" s="132"/>
      <c r="X8" s="132"/>
    </row>
    <row r="9" spans="1:24" ht="13.5" customHeight="1" x14ac:dyDescent="0.3">
      <c r="A9" s="19"/>
      <c r="J9" s="135"/>
      <c r="L9" s="135"/>
      <c r="N9" s="135"/>
      <c r="P9" s="135"/>
      <c r="R9" s="135"/>
      <c r="T9" s="135"/>
      <c r="V9" s="135"/>
      <c r="X9" s="135"/>
    </row>
    <row r="10" spans="1:24" ht="13" x14ac:dyDescent="0.3">
      <c r="A10" s="39" t="s">
        <v>181</v>
      </c>
    </row>
    <row r="11" spans="1:24" x14ac:dyDescent="0.25">
      <c r="A11" t="s">
        <v>182</v>
      </c>
      <c r="J11" s="32">
        <f>J137</f>
        <v>34.520000000000003</v>
      </c>
      <c r="L11" s="32">
        <f>L137</f>
        <v>34.520000000000003</v>
      </c>
      <c r="N11" s="32">
        <f>N137</f>
        <v>34.520000000000003</v>
      </c>
      <c r="P11" s="32">
        <f>P137</f>
        <v>34.520000000000003</v>
      </c>
      <c r="R11" s="32">
        <f>R137</f>
        <v>34.520000000000003</v>
      </c>
      <c r="T11" s="32">
        <f>T137</f>
        <v>34.520000000000003</v>
      </c>
      <c r="V11" s="32">
        <f>V137</f>
        <v>34.520000000000003</v>
      </c>
      <c r="X11" s="32">
        <f>X137</f>
        <v>34.520000000000003</v>
      </c>
    </row>
    <row r="12" spans="1:24" x14ac:dyDescent="0.25">
      <c r="A12" t="s">
        <v>183</v>
      </c>
      <c r="J12" s="74">
        <f>J138</f>
        <v>3</v>
      </c>
      <c r="L12" s="74">
        <f>L138</f>
        <v>3</v>
      </c>
      <c r="N12" s="74">
        <f>N138</f>
        <v>3</v>
      </c>
      <c r="P12" s="74">
        <f>P138</f>
        <v>3</v>
      </c>
      <c r="R12" s="74">
        <f>R138</f>
        <v>3</v>
      </c>
      <c r="T12" s="74">
        <f>T138</f>
        <v>3</v>
      </c>
      <c r="V12" s="74">
        <f>V138</f>
        <v>3</v>
      </c>
      <c r="X12" s="74">
        <f>X138</f>
        <v>3</v>
      </c>
    </row>
    <row r="13" spans="1:24" x14ac:dyDescent="0.25">
      <c r="A13" t="s">
        <v>178</v>
      </c>
      <c r="J13" s="32">
        <f>J146</f>
        <v>14.118165472646009</v>
      </c>
      <c r="L13" s="32">
        <f>L146</f>
        <v>11.571813150160454</v>
      </c>
      <c r="N13" s="32">
        <f>N146</f>
        <v>15.73285710142116</v>
      </c>
      <c r="P13" s="32">
        <f>P146</f>
        <v>20.097974395915628</v>
      </c>
      <c r="R13" s="32">
        <f>R146</f>
        <v>24.71421535115071</v>
      </c>
      <c r="T13" s="32">
        <f>T146</f>
        <v>29.490036819755865</v>
      </c>
      <c r="V13" s="32">
        <f>V146</f>
        <v>34.389297310050665</v>
      </c>
      <c r="X13" s="32">
        <f>X146</f>
        <v>39.379849620645075</v>
      </c>
    </row>
    <row r="14" spans="1:24" ht="13.5" customHeight="1" thickBot="1" x14ac:dyDescent="0.3">
      <c r="A14" t="s">
        <v>184</v>
      </c>
      <c r="J14" s="12">
        <v>3.5</v>
      </c>
      <c r="L14" s="14">
        <f>J14</f>
        <v>3.5</v>
      </c>
      <c r="N14" s="14">
        <f>L14</f>
        <v>3.5</v>
      </c>
      <c r="P14" s="14">
        <f>N14</f>
        <v>3.5</v>
      </c>
      <c r="R14" s="14">
        <f>P14</f>
        <v>3.5</v>
      </c>
      <c r="T14" s="14">
        <f>R14</f>
        <v>3.5</v>
      </c>
      <c r="V14" s="14">
        <f>T14</f>
        <v>3.5</v>
      </c>
      <c r="X14" s="14">
        <f>V14</f>
        <v>3.5</v>
      </c>
    </row>
    <row r="15" spans="1:24" x14ac:dyDescent="0.25">
      <c r="B15" t="s">
        <v>185</v>
      </c>
      <c r="J15" s="136">
        <f>J13*J14</f>
        <v>49.413579154261029</v>
      </c>
      <c r="L15" s="136">
        <f>L13*L14</f>
        <v>40.501346025561588</v>
      </c>
      <c r="N15" s="136">
        <f>N13*N14</f>
        <v>55.064999854974062</v>
      </c>
      <c r="P15" s="136">
        <f>P13*P14</f>
        <v>70.342910385704698</v>
      </c>
      <c r="R15" s="136">
        <f>R13*R14</f>
        <v>86.499753729027489</v>
      </c>
      <c r="T15" s="136">
        <f>T13*T14</f>
        <v>103.21512886914553</v>
      </c>
      <c r="V15" s="136">
        <f>V13*V14</f>
        <v>120.36254058517733</v>
      </c>
      <c r="X15" s="136">
        <f>X13*X14</f>
        <v>137.82947367225776</v>
      </c>
    </row>
    <row r="17" spans="1:24" ht="13" x14ac:dyDescent="0.3">
      <c r="A17" s="39" t="s">
        <v>186</v>
      </c>
    </row>
    <row r="18" spans="1:24" x14ac:dyDescent="0.25">
      <c r="A18" t="str">
        <f>A11</f>
        <v>Weighted Average Strike</v>
      </c>
      <c r="J18" s="32">
        <f>J150</f>
        <v>34.520000000000003</v>
      </c>
      <c r="L18" s="32">
        <f>L150</f>
        <v>34.520000000000003</v>
      </c>
      <c r="N18" s="32">
        <f>N150</f>
        <v>34.520000000000003</v>
      </c>
      <c r="P18" s="32">
        <f>P150</f>
        <v>34.520000000000003</v>
      </c>
      <c r="R18" s="32">
        <f>R150</f>
        <v>34.520000000000003</v>
      </c>
      <c r="T18" s="32">
        <f>T150</f>
        <v>34.520000000000003</v>
      </c>
      <c r="V18" s="32">
        <f>V150</f>
        <v>34.520000000000003</v>
      </c>
      <c r="X18" s="32">
        <f>X150</f>
        <v>34.520000000000003</v>
      </c>
    </row>
    <row r="19" spans="1:24" x14ac:dyDescent="0.25">
      <c r="A19" t="str">
        <f>A12</f>
        <v>Weighted Average Remaining Term (yrs)</v>
      </c>
      <c r="J19" s="74">
        <f>J151</f>
        <v>4.3</v>
      </c>
      <c r="L19" s="74">
        <f>L151</f>
        <v>4.3</v>
      </c>
      <c r="N19" s="74">
        <f>N151</f>
        <v>4.3</v>
      </c>
      <c r="P19" s="74">
        <f>P151</f>
        <v>4.3</v>
      </c>
      <c r="R19" s="74">
        <f>R151</f>
        <v>4.3</v>
      </c>
      <c r="T19" s="74">
        <f>T151</f>
        <v>4.3</v>
      </c>
      <c r="V19" s="74">
        <f>V151</f>
        <v>4.3</v>
      </c>
      <c r="X19" s="74">
        <f>X151</f>
        <v>4.3</v>
      </c>
    </row>
    <row r="20" spans="1:24" x14ac:dyDescent="0.25">
      <c r="A20" t="str">
        <f>A13</f>
        <v>Black Scholes Value Per Option</v>
      </c>
      <c r="J20" s="32">
        <f>J159</f>
        <v>15.370149562493944</v>
      </c>
      <c r="L20" s="32">
        <f>L159</f>
        <v>12.880975215105599</v>
      </c>
      <c r="N20" s="32">
        <f>N159</f>
        <v>16.936326577222644</v>
      </c>
      <c r="P20" s="32">
        <f>P159</f>
        <v>21.139979862636228</v>
      </c>
      <c r="R20" s="32">
        <f>R159</f>
        <v>25.557566493725052</v>
      </c>
      <c r="T20" s="32">
        <f>T159</f>
        <v>30.114208503069996</v>
      </c>
      <c r="V20" s="32">
        <f>V159</f>
        <v>34.783926287728889</v>
      </c>
      <c r="X20" s="32">
        <f>X159</f>
        <v>39.541401513455071</v>
      </c>
    </row>
    <row r="21" spans="1:24" ht="13.5" customHeight="1" thickBot="1" x14ac:dyDescent="0.3">
      <c r="A21" t="str">
        <f>A14</f>
        <v>Options Outstanding</v>
      </c>
      <c r="J21" s="12">
        <v>6.5</v>
      </c>
      <c r="L21" s="14">
        <f>J21</f>
        <v>6.5</v>
      </c>
      <c r="N21" s="14">
        <f>L21</f>
        <v>6.5</v>
      </c>
      <c r="P21" s="14">
        <f>N21</f>
        <v>6.5</v>
      </c>
      <c r="R21" s="14">
        <f>P21</f>
        <v>6.5</v>
      </c>
      <c r="T21" s="14">
        <f>R21</f>
        <v>6.5</v>
      </c>
      <c r="V21" s="14">
        <f>T21</f>
        <v>6.5</v>
      </c>
      <c r="X21" s="14">
        <f>V21</f>
        <v>6.5</v>
      </c>
    </row>
    <row r="22" spans="1:24" x14ac:dyDescent="0.25">
      <c r="B22" t="s">
        <v>187</v>
      </c>
      <c r="J22" s="136">
        <f>J20*J21</f>
        <v>99.905972156210638</v>
      </c>
      <c r="L22" s="136">
        <f>L20*L21</f>
        <v>83.726338898186384</v>
      </c>
      <c r="N22" s="136">
        <f>N20*N21</f>
        <v>110.08612275194719</v>
      </c>
      <c r="P22" s="136">
        <f>P20*P21</f>
        <v>137.40986910713548</v>
      </c>
      <c r="R22" s="136">
        <f>R20*R21</f>
        <v>166.12418220921285</v>
      </c>
      <c r="T22" s="136">
        <f>T20*T21</f>
        <v>195.74235526995497</v>
      </c>
      <c r="V22" s="136">
        <f>V20*V21</f>
        <v>226.09552087023778</v>
      </c>
      <c r="X22" s="136">
        <f>X20*X21</f>
        <v>257.01910983745796</v>
      </c>
    </row>
    <row r="23" spans="1:24" x14ac:dyDescent="0.25">
      <c r="A23" s="91"/>
    </row>
    <row r="24" spans="1:24" ht="13" x14ac:dyDescent="0.3">
      <c r="A24" s="4" t="s">
        <v>213</v>
      </c>
      <c r="B24" s="132"/>
      <c r="C24" s="132"/>
      <c r="D24" s="132"/>
      <c r="E24" s="132"/>
      <c r="F24" s="132"/>
      <c r="G24" s="132"/>
      <c r="H24" s="132"/>
      <c r="I24" s="132"/>
      <c r="J24" s="132"/>
      <c r="K24" s="132"/>
      <c r="L24" s="132"/>
      <c r="M24" s="132"/>
      <c r="N24" s="132"/>
      <c r="O24" s="132"/>
      <c r="P24" s="132"/>
      <c r="Q24" s="132"/>
      <c r="R24" s="132"/>
      <c r="S24" s="132"/>
      <c r="T24" s="132"/>
      <c r="U24" s="132"/>
      <c r="V24" s="132"/>
      <c r="W24" s="132"/>
      <c r="X24" s="132"/>
    </row>
    <row r="26" spans="1:24" x14ac:dyDescent="0.25">
      <c r="A26" t="s">
        <v>214</v>
      </c>
      <c r="J26" s="113">
        <f>'S&amp;U'!F10</f>
        <v>10561.632</v>
      </c>
      <c r="L26" s="113">
        <f>'S&amp;U'!H10</f>
        <v>9654.7999999999993</v>
      </c>
      <c r="N26" s="113">
        <f>'S&amp;U'!J10</f>
        <v>11111.759999999998</v>
      </c>
      <c r="P26" s="113">
        <f>'S&amp;U'!L10</f>
        <v>12531.039999999999</v>
      </c>
      <c r="R26" s="113">
        <f>'S&amp;U'!N10</f>
        <v>13957.856</v>
      </c>
      <c r="T26" s="113">
        <f>'S&amp;U'!P10</f>
        <v>15382.159999999998</v>
      </c>
      <c r="V26" s="113">
        <f>'S&amp;U'!R10</f>
        <v>16806.464</v>
      </c>
      <c r="X26" s="113">
        <f>'S&amp;U'!T10</f>
        <v>18230.768</v>
      </c>
    </row>
    <row r="27" spans="1:24" x14ac:dyDescent="0.25">
      <c r="A27" t="s">
        <v>185</v>
      </c>
      <c r="J27" s="74">
        <f>J15</f>
        <v>49.413579154261029</v>
      </c>
      <c r="L27" s="74">
        <f>L15</f>
        <v>40.501346025561588</v>
      </c>
      <c r="M27" s="74"/>
      <c r="N27" s="74">
        <f>N15</f>
        <v>55.064999854974062</v>
      </c>
      <c r="P27" s="74">
        <f>P15</f>
        <v>70.342910385704698</v>
      </c>
      <c r="R27" s="74">
        <f>R15</f>
        <v>86.499753729027489</v>
      </c>
      <c r="T27" s="74">
        <f>T15</f>
        <v>103.21512886914553</v>
      </c>
      <c r="V27" s="74">
        <f>V15</f>
        <v>120.36254058517733</v>
      </c>
      <c r="X27" s="74">
        <f>X15</f>
        <v>137.82947367225776</v>
      </c>
    </row>
    <row r="28" spans="1:24" x14ac:dyDescent="0.25">
      <c r="A28" t="s">
        <v>187</v>
      </c>
      <c r="J28" s="74">
        <f>J22</f>
        <v>99.905972156210638</v>
      </c>
      <c r="L28" s="74">
        <f>L22</f>
        <v>83.726338898186384</v>
      </c>
      <c r="N28" s="74">
        <f>N22</f>
        <v>110.08612275194719</v>
      </c>
      <c r="P28" s="74">
        <f>P22</f>
        <v>137.40986910713548</v>
      </c>
      <c r="R28" s="74">
        <f>R22</f>
        <v>166.12418220921285</v>
      </c>
      <c r="T28" s="74">
        <f>T22</f>
        <v>195.74235526995497</v>
      </c>
      <c r="V28" s="74">
        <f>V22</f>
        <v>226.09552087023778</v>
      </c>
      <c r="X28" s="74">
        <f>X22</f>
        <v>257.01910983745796</v>
      </c>
    </row>
    <row r="29" spans="1:24" ht="13.5" customHeight="1" thickBot="1" x14ac:dyDescent="0.3">
      <c r="A29" t="s">
        <v>215</v>
      </c>
      <c r="J29" s="101">
        <f>'S&amp;U'!F12</f>
        <v>1.0000000000000001E-9</v>
      </c>
      <c r="L29" s="101">
        <f>'S&amp;U'!H12</f>
        <v>1.0000000000000001E-9</v>
      </c>
      <c r="N29" s="101">
        <f>'S&amp;U'!J12</f>
        <v>1.0000000000000001E-9</v>
      </c>
      <c r="P29" s="101">
        <f>'S&amp;U'!L12</f>
        <v>1.0000000000000001E-9</v>
      </c>
      <c r="R29" s="101">
        <f>'S&amp;U'!N12</f>
        <v>1.0000000000000001E-9</v>
      </c>
      <c r="T29" s="101">
        <f>'S&amp;U'!P12</f>
        <v>1.0000000000000001E-9</v>
      </c>
      <c r="V29" s="101">
        <f>'S&amp;U'!R12</f>
        <v>1.0000000000000001E-9</v>
      </c>
      <c r="X29" s="101">
        <f>'S&amp;U'!T12</f>
        <v>1.0000000000000001E-9</v>
      </c>
    </row>
    <row r="30" spans="1:24" s="91" customFormat="1" x14ac:dyDescent="0.25">
      <c r="B30" s="91" t="s">
        <v>216</v>
      </c>
      <c r="J30" s="136">
        <f>SUM(J26:J29)</f>
        <v>10710.951551311471</v>
      </c>
      <c r="K30" s="143"/>
      <c r="L30" s="136">
        <f>SUM(L26:L29)</f>
        <v>9779.0276849247475</v>
      </c>
      <c r="N30" s="136">
        <f>SUM(N26:N29)</f>
        <v>11276.91112260792</v>
      </c>
      <c r="P30" s="136">
        <f>SUM(P26:P29)</f>
        <v>12738.79277949384</v>
      </c>
      <c r="R30" s="136">
        <f>SUM(R26:R29)</f>
        <v>14210.47993593924</v>
      </c>
      <c r="T30" s="136">
        <f>SUM(T26:T29)</f>
        <v>15681.117484140099</v>
      </c>
      <c r="V30" s="136">
        <f>SUM(V26:V29)</f>
        <v>17152.922061456415</v>
      </c>
      <c r="X30" s="136">
        <f>SUM(X26:X29)</f>
        <v>18625.616583510713</v>
      </c>
    </row>
    <row r="32" spans="1:24" ht="13.5" customHeight="1" thickBot="1" x14ac:dyDescent="0.3">
      <c r="A32" t="s">
        <v>124</v>
      </c>
      <c r="J32" s="144">
        <f>J119</f>
        <v>39.086999999999982</v>
      </c>
      <c r="L32" s="144">
        <f>L119</f>
        <v>23.563999999999986</v>
      </c>
      <c r="N32" s="144">
        <f>N119</f>
        <v>48.503999999999976</v>
      </c>
      <c r="P32" s="144">
        <f>P119</f>
        <v>72.799000000000007</v>
      </c>
      <c r="R32" s="144">
        <f>R119</f>
        <v>97.222999999999985</v>
      </c>
      <c r="T32" s="144">
        <f>T119</f>
        <v>121.60399999999997</v>
      </c>
      <c r="V32" s="144">
        <f>V119</f>
        <v>145.98499999999996</v>
      </c>
      <c r="X32" s="144">
        <f>X119</f>
        <v>170.36599999999999</v>
      </c>
    </row>
    <row r="33" spans="1:24" x14ac:dyDescent="0.25">
      <c r="B33" t="s">
        <v>217</v>
      </c>
      <c r="J33" s="136">
        <f>J30-J32</f>
        <v>10671.864551311472</v>
      </c>
      <c r="L33" s="136">
        <f>L30-L32</f>
        <v>9755.4636849247472</v>
      </c>
      <c r="N33" s="136">
        <f>N30-N32</f>
        <v>11228.40712260792</v>
      </c>
      <c r="P33" s="136">
        <f>P30-P32</f>
        <v>12665.99377949384</v>
      </c>
      <c r="R33" s="136">
        <f>R30-R32</f>
        <v>14113.25693593924</v>
      </c>
      <c r="T33" s="136">
        <f>T30-T32</f>
        <v>15559.5134841401</v>
      </c>
      <c r="V33" s="136">
        <f>V30-V32</f>
        <v>17006.937061456414</v>
      </c>
      <c r="X33" s="136">
        <f>X30-X32</f>
        <v>18455.250583510715</v>
      </c>
    </row>
    <row r="34" spans="1:24" x14ac:dyDescent="0.25">
      <c r="A34" s="91"/>
    </row>
    <row r="35" spans="1:24" ht="13" x14ac:dyDescent="0.3">
      <c r="A35" s="4" t="s">
        <v>71</v>
      </c>
      <c r="B35" s="132"/>
      <c r="C35" s="132"/>
      <c r="D35" s="132"/>
      <c r="E35" s="132"/>
      <c r="F35" s="132"/>
      <c r="G35" s="132"/>
      <c r="H35" s="132"/>
      <c r="I35" s="132"/>
      <c r="J35" s="132"/>
      <c r="K35" s="132"/>
      <c r="L35" s="132"/>
      <c r="M35" s="132"/>
      <c r="N35" s="132"/>
      <c r="O35" s="132"/>
      <c r="P35" s="132"/>
      <c r="Q35" s="132"/>
      <c r="R35" s="132"/>
      <c r="S35" s="132"/>
      <c r="T35" s="132"/>
      <c r="U35" s="132"/>
      <c r="V35" s="132"/>
      <c r="W35" s="132"/>
      <c r="X35" s="132"/>
    </row>
    <row r="37" spans="1:24" x14ac:dyDescent="0.25">
      <c r="A37" t="str">
        <f>B33</f>
        <v>Adjusted Purchase Price</v>
      </c>
      <c r="J37" s="16">
        <f>J33</f>
        <v>10671.864551311472</v>
      </c>
      <c r="L37" s="16">
        <f>L33</f>
        <v>9755.4636849247472</v>
      </c>
      <c r="N37" s="16">
        <f>N33</f>
        <v>11228.40712260792</v>
      </c>
      <c r="P37" s="16">
        <f>P33</f>
        <v>12665.99377949384</v>
      </c>
      <c r="R37" s="16">
        <f>R33</f>
        <v>14113.25693593924</v>
      </c>
      <c r="T37" s="16">
        <f>T33</f>
        <v>15559.5134841401</v>
      </c>
      <c r="V37" s="16">
        <f>V33</f>
        <v>17006.937061456414</v>
      </c>
      <c r="X37" s="16">
        <f>X33</f>
        <v>18455.250583510715</v>
      </c>
    </row>
    <row r="38" spans="1:24" ht="13.5" customHeight="1" thickBot="1" x14ac:dyDescent="0.3">
      <c r="A38" t="s">
        <v>218</v>
      </c>
      <c r="J38" s="101">
        <f>-'PF BS'!J48</f>
        <v>-2263.4000000010001</v>
      </c>
      <c r="L38" s="74">
        <f>J38</f>
        <v>-2263.4000000010001</v>
      </c>
      <c r="N38" s="74">
        <f>L38</f>
        <v>-2263.4000000010001</v>
      </c>
      <c r="P38" s="74">
        <f>N38</f>
        <v>-2263.4000000010001</v>
      </c>
      <c r="R38" s="74">
        <f>P38</f>
        <v>-2263.4000000010001</v>
      </c>
      <c r="T38" s="74">
        <f>R38</f>
        <v>-2263.4000000010001</v>
      </c>
      <c r="V38" s="74">
        <f>T38</f>
        <v>-2263.4000000010001</v>
      </c>
      <c r="X38" s="74">
        <f>V38</f>
        <v>-2263.4000000010001</v>
      </c>
    </row>
    <row r="39" spans="1:24" x14ac:dyDescent="0.25">
      <c r="B39" t="s">
        <v>219</v>
      </c>
      <c r="J39" s="136">
        <f>SUM(J37:J38)</f>
        <v>8408.4645513104715</v>
      </c>
      <c r="L39" s="136">
        <f>SUM(L37:L38)</f>
        <v>7492.0636849237471</v>
      </c>
      <c r="N39" s="136">
        <f>SUM(N37:N38)</f>
        <v>8965.0071226069194</v>
      </c>
      <c r="P39" s="136">
        <f>SUM(P37:P38)</f>
        <v>10402.59377949284</v>
      </c>
      <c r="R39" s="136">
        <f>SUM(R37:R38)</f>
        <v>11849.85693593824</v>
      </c>
      <c r="T39" s="136">
        <f>SUM(T37:T38)</f>
        <v>13296.113484139099</v>
      </c>
      <c r="V39" s="136">
        <f>SUM(V37:V38)</f>
        <v>14743.537061455414</v>
      </c>
      <c r="X39" s="136">
        <f>SUM(X37:X38)</f>
        <v>16191.850583509715</v>
      </c>
    </row>
    <row r="41" spans="1:24" x14ac:dyDescent="0.25">
      <c r="A41" t="s">
        <v>220</v>
      </c>
      <c r="J41" s="113">
        <f>Assumptions!T35</f>
        <v>15</v>
      </c>
      <c r="L41" s="16">
        <f>J41</f>
        <v>15</v>
      </c>
      <c r="N41" s="16">
        <f>L41</f>
        <v>15</v>
      </c>
      <c r="P41" s="16">
        <f>N41</f>
        <v>15</v>
      </c>
      <c r="R41" s="16">
        <f>P41</f>
        <v>15</v>
      </c>
      <c r="T41" s="16">
        <f>R41</f>
        <v>15</v>
      </c>
      <c r="V41" s="16">
        <f>T41</f>
        <v>15</v>
      </c>
      <c r="X41" s="16">
        <f>V41</f>
        <v>15</v>
      </c>
    </row>
    <row r="42" spans="1:24" x14ac:dyDescent="0.25">
      <c r="A42" t="s">
        <v>221</v>
      </c>
      <c r="J42" s="74">
        <f>J55</f>
        <v>2102.1161378276179</v>
      </c>
      <c r="L42" s="74">
        <f>L55</f>
        <v>1873.0159212309368</v>
      </c>
      <c r="N42" s="74">
        <f>N55</f>
        <v>2241.2517806517299</v>
      </c>
      <c r="P42" s="74">
        <f>P55</f>
        <v>2600.6484448732099</v>
      </c>
      <c r="R42" s="74">
        <f>R55</f>
        <v>2962.46423398456</v>
      </c>
      <c r="T42" s="74">
        <f>T55</f>
        <v>3324.0283710347749</v>
      </c>
      <c r="V42" s="74">
        <f>V55</f>
        <v>3685.8842653638535</v>
      </c>
      <c r="X42" s="74">
        <f>X55</f>
        <v>4047.9626458774287</v>
      </c>
    </row>
    <row r="43" spans="1:24" x14ac:dyDescent="0.25">
      <c r="A43" t="s">
        <v>222</v>
      </c>
      <c r="J43" s="101">
        <f>-'PF BS'!J16</f>
        <v>-1245.3</v>
      </c>
      <c r="L43" s="74">
        <f>J43</f>
        <v>-1245.3</v>
      </c>
      <c r="N43" s="74">
        <f>L43</f>
        <v>-1245.3</v>
      </c>
      <c r="P43" s="74">
        <f>N43</f>
        <v>-1245.3</v>
      </c>
      <c r="R43" s="74">
        <f>P43</f>
        <v>-1245.3</v>
      </c>
      <c r="T43" s="74">
        <f>R43</f>
        <v>-1245.3</v>
      </c>
      <c r="V43" s="74">
        <f>T43</f>
        <v>-1245.3</v>
      </c>
      <c r="X43" s="74">
        <f>V43</f>
        <v>-1245.3</v>
      </c>
    </row>
    <row r="44" spans="1:24" ht="13.5" customHeight="1" thickBot="1" x14ac:dyDescent="0.3">
      <c r="A44" t="s">
        <v>223</v>
      </c>
      <c r="J44" s="101">
        <f>'PF BS'!J37</f>
        <v>219.8</v>
      </c>
      <c r="L44" s="74">
        <f>J44</f>
        <v>219.8</v>
      </c>
      <c r="N44" s="74">
        <f>L44</f>
        <v>219.8</v>
      </c>
      <c r="P44" s="74">
        <f>N44</f>
        <v>219.8</v>
      </c>
      <c r="R44" s="74">
        <f>P44</f>
        <v>219.8</v>
      </c>
      <c r="T44" s="74">
        <f>R44</f>
        <v>219.8</v>
      </c>
      <c r="V44" s="74">
        <f>T44</f>
        <v>219.8</v>
      </c>
      <c r="X44" s="74">
        <f>V44</f>
        <v>219.8</v>
      </c>
    </row>
    <row r="45" spans="1:24" ht="12.75" customHeight="1" x14ac:dyDescent="0.25">
      <c r="B45" t="s">
        <v>224</v>
      </c>
      <c r="J45" s="136">
        <f>J39-SUM(J41:J44)</f>
        <v>7316.8484134828541</v>
      </c>
      <c r="L45" s="136">
        <f>L39-SUM(L41:L44)</f>
        <v>6629.5477636928099</v>
      </c>
      <c r="N45" s="136">
        <f>N39-SUM(N41:N44)</f>
        <v>7734.2553419551896</v>
      </c>
      <c r="P45" s="136">
        <f>P39-SUM(P41:P44)</f>
        <v>8812.4453346196296</v>
      </c>
      <c r="R45" s="136">
        <f>R39-SUM(R41:R44)</f>
        <v>9897.8927019536804</v>
      </c>
      <c r="T45" s="136">
        <f>T39-SUM(T41:T44)</f>
        <v>10982.585113104324</v>
      </c>
      <c r="V45" s="136">
        <f>V39-SUM(V41:V44)</f>
        <v>12068.152796091559</v>
      </c>
      <c r="X45" s="136">
        <f>X39-SUM(X41:X44)</f>
        <v>13154.387937632286</v>
      </c>
    </row>
    <row r="47" spans="1:24" x14ac:dyDescent="0.25">
      <c r="A47" t="s">
        <v>225</v>
      </c>
      <c r="J47" s="113">
        <f>IF(OR(sec_338=1,type=1),0,-SUM(J41:J42)*tax_rate)</f>
        <v>-586.44117017825022</v>
      </c>
      <c r="L47" s="113">
        <f>IF(OR(sec_338=1,type=1),0,-SUM(L41:L42)*tax_rate)</f>
        <v>-522.98041018096956</v>
      </c>
      <c r="N47" s="113">
        <f>IF(OR(sec_338=1,type=1),0,-SUM(N41:N42)*tax_rate)</f>
        <v>-624.98174324052923</v>
      </c>
      <c r="P47" s="113">
        <f>IF(OR(sec_338=1,type=1),0,-SUM(P41:P42)*tax_rate)</f>
        <v>-724.53461922987924</v>
      </c>
      <c r="R47" s="113">
        <f>IF(OR(sec_338=1,type=1),0,-SUM(R41:R42)*tax_rate)</f>
        <v>-824.75759281372314</v>
      </c>
      <c r="S47" s="113"/>
      <c r="T47" s="113">
        <f>IF(OR(sec_338=1,type=1),0,-SUM(T41:T42)*tax_rate)</f>
        <v>-924.91085877663272</v>
      </c>
      <c r="U47" s="113"/>
      <c r="V47" s="113">
        <f>IF(OR(sec_338=1,type=1),0,-SUM(V41:V42)*tax_rate)</f>
        <v>-1025.1449415057875</v>
      </c>
      <c r="W47" s="113"/>
      <c r="X47" s="113">
        <f>IF(OR(sec_338=1,type=1),0,-SUM(X41:X42)*tax_rate)</f>
        <v>-1125.4406529080479</v>
      </c>
    </row>
    <row r="48" spans="1:24" ht="12.75" customHeight="1" thickBot="1" x14ac:dyDescent="0.3">
      <c r="A48" t="s">
        <v>226</v>
      </c>
      <c r="J48" s="17">
        <v>0</v>
      </c>
      <c r="L48" s="74">
        <f>J48</f>
        <v>0</v>
      </c>
      <c r="N48" s="74">
        <f>L48</f>
        <v>0</v>
      </c>
      <c r="O48" s="74"/>
      <c r="P48" s="74">
        <f>N48</f>
        <v>0</v>
      </c>
      <c r="R48" s="74">
        <f>P48</f>
        <v>0</v>
      </c>
      <c r="T48" s="74">
        <f>R48</f>
        <v>0</v>
      </c>
      <c r="V48" s="74">
        <f>T48</f>
        <v>0</v>
      </c>
      <c r="X48" s="74">
        <f>V48</f>
        <v>0</v>
      </c>
    </row>
    <row r="49" spans="1:24" x14ac:dyDescent="0.25">
      <c r="B49" t="s">
        <v>227</v>
      </c>
      <c r="J49" s="136">
        <f>J45-SUM(J47:J48)</f>
        <v>7903.2895836611042</v>
      </c>
      <c r="L49" s="136">
        <f>L45-SUM(L47:L48)</f>
        <v>7152.5281738737795</v>
      </c>
      <c r="N49" s="136">
        <f>N45-SUM(N47:N48)</f>
        <v>8359.2370851957185</v>
      </c>
      <c r="P49" s="136">
        <f>P45-SUM(P47:P48)</f>
        <v>9536.9799538495081</v>
      </c>
      <c r="R49" s="136">
        <f>R45-SUM(R47:R48)</f>
        <v>10722.650294767403</v>
      </c>
      <c r="T49" s="136">
        <f>T45-SUM(T47:T48)</f>
        <v>11907.495971880957</v>
      </c>
      <c r="V49" s="136">
        <f>V45-SUM(V47:V48)</f>
        <v>13093.297737597346</v>
      </c>
      <c r="X49" s="136">
        <f>X45-SUM(X47:X48)</f>
        <v>14279.828590540334</v>
      </c>
    </row>
    <row r="51" spans="1:24" ht="13" x14ac:dyDescent="0.3">
      <c r="A51" s="4" t="s">
        <v>228</v>
      </c>
      <c r="B51" s="132"/>
      <c r="C51" s="132"/>
      <c r="D51" s="132"/>
      <c r="E51" s="132"/>
      <c r="F51" s="132"/>
      <c r="G51" s="132"/>
      <c r="H51" s="132"/>
      <c r="I51" s="132"/>
      <c r="J51" s="132"/>
      <c r="K51" s="132"/>
      <c r="L51" s="132"/>
      <c r="M51" s="132"/>
      <c r="N51" s="132"/>
      <c r="O51" s="132"/>
      <c r="P51" s="132"/>
      <c r="Q51" s="132"/>
      <c r="R51" s="132"/>
      <c r="S51" s="132"/>
      <c r="T51" s="132"/>
      <c r="U51" s="132"/>
      <c r="V51" s="132"/>
      <c r="W51" s="132"/>
      <c r="X51" s="132"/>
    </row>
    <row r="53" spans="1:24" ht="12.75" customHeight="1" x14ac:dyDescent="0.25">
      <c r="A53" t="s">
        <v>229</v>
      </c>
      <c r="J53" s="16">
        <f>J33+J38</f>
        <v>8408.4645513104715</v>
      </c>
      <c r="L53" s="16">
        <f>L33+L38</f>
        <v>7492.0636849237471</v>
      </c>
      <c r="N53" s="16">
        <f>N33+N38</f>
        <v>8965.0071226069194</v>
      </c>
      <c r="P53" s="16">
        <f>P33+P38</f>
        <v>10402.59377949284</v>
      </c>
      <c r="R53" s="16">
        <f>R33+R38</f>
        <v>11849.85693593824</v>
      </c>
      <c r="T53" s="16">
        <f>T33+T38</f>
        <v>13296.113484139099</v>
      </c>
      <c r="V53" s="16">
        <f>V33+V38</f>
        <v>14743.537061455414</v>
      </c>
      <c r="X53" s="16">
        <f>X33+X38</f>
        <v>16191.850583509715</v>
      </c>
    </row>
    <row r="54" spans="1:24" s="52" customFormat="1" ht="13.5" customHeight="1" thickBot="1" x14ac:dyDescent="0.35">
      <c r="A54" s="52" t="s">
        <v>230</v>
      </c>
      <c r="J54" s="49">
        <f>Assumptions!T33</f>
        <v>0.25</v>
      </c>
      <c r="L54" s="56">
        <f>J54</f>
        <v>0.25</v>
      </c>
      <c r="N54" s="56">
        <f>L54</f>
        <v>0.25</v>
      </c>
      <c r="P54" s="56">
        <f>N54</f>
        <v>0.25</v>
      </c>
      <c r="R54" s="56">
        <f>P54</f>
        <v>0.25</v>
      </c>
      <c r="T54" s="56">
        <f>R54</f>
        <v>0.25</v>
      </c>
      <c r="V54" s="56">
        <f>T54</f>
        <v>0.25</v>
      </c>
      <c r="X54" s="56">
        <f>V54</f>
        <v>0.25</v>
      </c>
    </row>
    <row r="55" spans="1:24" x14ac:dyDescent="0.25">
      <c r="B55" t="s">
        <v>231</v>
      </c>
      <c r="J55" s="136">
        <f>J53*J54</f>
        <v>2102.1161378276179</v>
      </c>
      <c r="L55" s="136">
        <f>L53*L54</f>
        <v>1873.0159212309368</v>
      </c>
      <c r="N55" s="136">
        <f>N53*N54</f>
        <v>2241.2517806517299</v>
      </c>
      <c r="P55" s="136">
        <f>P53*P54</f>
        <v>2600.6484448732099</v>
      </c>
      <c r="R55" s="136">
        <f>R53*R54</f>
        <v>2962.46423398456</v>
      </c>
      <c r="T55" s="136">
        <f>T53*T54</f>
        <v>3324.0283710347749</v>
      </c>
      <c r="V55" s="136">
        <f>V53*V54</f>
        <v>3685.8842653638535</v>
      </c>
      <c r="X55" s="136">
        <f>X53*X54</f>
        <v>4047.9626458774287</v>
      </c>
    </row>
    <row r="56" spans="1:24" ht="13.5" customHeight="1" thickBot="1" x14ac:dyDescent="0.3">
      <c r="A56" t="s">
        <v>73</v>
      </c>
      <c r="J56" s="101">
        <f>Assumptions!T34</f>
        <v>5</v>
      </c>
      <c r="L56" s="74">
        <f>J56</f>
        <v>5</v>
      </c>
      <c r="N56" s="74">
        <f>L56</f>
        <v>5</v>
      </c>
      <c r="P56" s="74">
        <f>N56</f>
        <v>5</v>
      </c>
      <c r="R56" s="74">
        <f>P56</f>
        <v>5</v>
      </c>
      <c r="T56" s="74">
        <f>R56</f>
        <v>5</v>
      </c>
      <c r="V56" s="74">
        <f>T56</f>
        <v>5</v>
      </c>
      <c r="X56" s="74">
        <f>V56</f>
        <v>5</v>
      </c>
    </row>
    <row r="57" spans="1:24" x14ac:dyDescent="0.25">
      <c r="B57" t="s">
        <v>232</v>
      </c>
      <c r="J57" s="136">
        <f>J55/J56</f>
        <v>420.42322756552358</v>
      </c>
      <c r="L57" s="136">
        <f>L55/L56</f>
        <v>374.60318424618737</v>
      </c>
      <c r="N57" s="136">
        <f>N55/N56</f>
        <v>448.25035613034595</v>
      </c>
      <c r="P57" s="136">
        <f>P55/P56</f>
        <v>520.12968897464202</v>
      </c>
      <c r="R57" s="136">
        <f>R55/R56</f>
        <v>592.49284679691198</v>
      </c>
      <c r="T57" s="136">
        <f>T55/T56</f>
        <v>664.80567420695502</v>
      </c>
      <c r="V57" s="136">
        <f>V55/V56</f>
        <v>737.17685307277065</v>
      </c>
      <c r="X57" s="136">
        <f>X55/X56</f>
        <v>809.59252917548577</v>
      </c>
    </row>
    <row r="59" spans="1:24" ht="13.5" customHeight="1" thickBot="1" x14ac:dyDescent="0.35">
      <c r="A59" s="52" t="s">
        <v>233</v>
      </c>
      <c r="J59" s="49">
        <f>tax_rate</f>
        <v>0.27700000000000002</v>
      </c>
      <c r="L59" s="56">
        <f>J59</f>
        <v>0.27700000000000002</v>
      </c>
      <c r="N59" s="56">
        <f>L59</f>
        <v>0.27700000000000002</v>
      </c>
      <c r="P59" s="56">
        <f>N59</f>
        <v>0.27700000000000002</v>
      </c>
      <c r="R59" s="56">
        <f>P59</f>
        <v>0.27700000000000002</v>
      </c>
      <c r="T59" s="56">
        <f>R59</f>
        <v>0.27700000000000002</v>
      </c>
      <c r="V59" s="56">
        <f>T59</f>
        <v>0.27700000000000002</v>
      </c>
      <c r="X59" s="56">
        <f>V59</f>
        <v>0.27700000000000002</v>
      </c>
    </row>
    <row r="60" spans="1:24" x14ac:dyDescent="0.25">
      <c r="B60" t="s">
        <v>234</v>
      </c>
      <c r="J60" s="136">
        <f>J57*(1-J59)</f>
        <v>303.96599352987351</v>
      </c>
      <c r="L60" s="136">
        <f>L57*(1-L59)</f>
        <v>270.83810220999345</v>
      </c>
      <c r="N60" s="136">
        <f>N57*(1-N59)</f>
        <v>324.08500748224009</v>
      </c>
      <c r="P60" s="136">
        <f>P57*(1-P59)</f>
        <v>376.05376512866616</v>
      </c>
      <c r="R60" s="136">
        <f>R57*(1-R59)</f>
        <v>428.37232823416736</v>
      </c>
      <c r="T60" s="136">
        <f>T57*(1-T59)</f>
        <v>480.65450245162845</v>
      </c>
      <c r="V60" s="136">
        <f>V57*(1-V59)</f>
        <v>532.97886477161319</v>
      </c>
      <c r="X60" s="136">
        <f>X57*(1-X59)</f>
        <v>585.33539859387622</v>
      </c>
    </row>
    <row r="62" spans="1:24" ht="13" x14ac:dyDescent="0.3">
      <c r="A62" s="4" t="s">
        <v>235</v>
      </c>
      <c r="B62" s="132"/>
      <c r="C62" s="132"/>
      <c r="D62" s="132"/>
      <c r="E62" s="132"/>
      <c r="F62" s="132"/>
      <c r="G62" s="132"/>
      <c r="H62" s="132"/>
      <c r="I62" s="132"/>
      <c r="J62" s="132"/>
      <c r="K62" s="132"/>
      <c r="L62" s="132"/>
      <c r="M62" s="132"/>
      <c r="N62" s="132"/>
      <c r="O62" s="132"/>
      <c r="P62" s="132"/>
      <c r="Q62" s="132"/>
      <c r="R62" s="132"/>
      <c r="S62" s="132"/>
      <c r="T62" s="132"/>
      <c r="U62" s="132"/>
      <c r="V62" s="132"/>
      <c r="W62" s="132"/>
      <c r="X62" s="132"/>
    </row>
    <row r="64" spans="1:24" x14ac:dyDescent="0.25">
      <c r="A64" t="s">
        <v>220</v>
      </c>
      <c r="J64" s="16">
        <f>J41</f>
        <v>15</v>
      </c>
      <c r="L64" s="16">
        <f>L41</f>
        <v>15</v>
      </c>
      <c r="N64" s="16">
        <f>N41</f>
        <v>15</v>
      </c>
      <c r="P64" s="16">
        <f>P41</f>
        <v>15</v>
      </c>
      <c r="R64" s="16">
        <f>R41</f>
        <v>15</v>
      </c>
      <c r="T64" s="16">
        <f>T41</f>
        <v>15</v>
      </c>
      <c r="V64" s="16">
        <f>V41</f>
        <v>15</v>
      </c>
      <c r="X64" s="16">
        <f>X41</f>
        <v>15</v>
      </c>
    </row>
    <row r="65" spans="1:24" ht="13.5" customHeight="1" thickBot="1" x14ac:dyDescent="0.3">
      <c r="A65" t="s">
        <v>75</v>
      </c>
      <c r="J65" s="145">
        <f>Assumptions!T36</f>
        <v>10</v>
      </c>
      <c r="L65" s="146">
        <f>J65</f>
        <v>10</v>
      </c>
      <c r="N65" s="146">
        <f>L65</f>
        <v>10</v>
      </c>
      <c r="P65" s="146">
        <f>N65</f>
        <v>10</v>
      </c>
      <c r="R65" s="146">
        <f>P65</f>
        <v>10</v>
      </c>
      <c r="T65" s="146">
        <f>R65</f>
        <v>10</v>
      </c>
      <c r="V65" s="146">
        <f>T65</f>
        <v>10</v>
      </c>
      <c r="X65" s="146">
        <f>V65</f>
        <v>10</v>
      </c>
    </row>
    <row r="66" spans="1:24" x14ac:dyDescent="0.25">
      <c r="B66" t="s">
        <v>236</v>
      </c>
      <c r="J66" s="136">
        <f>J64/J65</f>
        <v>1.5</v>
      </c>
      <c r="L66" s="136">
        <f>L64/L65</f>
        <v>1.5</v>
      </c>
      <c r="N66" s="136">
        <f>N64/N65</f>
        <v>1.5</v>
      </c>
      <c r="P66" s="136">
        <f>P64/P65</f>
        <v>1.5</v>
      </c>
      <c r="R66" s="136">
        <f>R64/R65</f>
        <v>1.5</v>
      </c>
      <c r="T66" s="136">
        <f>T64/T65</f>
        <v>1.5</v>
      </c>
      <c r="V66" s="136">
        <f>V64/V65</f>
        <v>1.5</v>
      </c>
      <c r="X66" s="136">
        <f>X64/X65</f>
        <v>1.5</v>
      </c>
    </row>
    <row r="67" spans="1:24" x14ac:dyDescent="0.25">
      <c r="L67" s="143"/>
      <c r="N67" s="143"/>
      <c r="P67" s="143"/>
      <c r="R67" s="143"/>
      <c r="T67" s="143"/>
      <c r="V67" s="143"/>
      <c r="X67" s="143"/>
    </row>
    <row r="68" spans="1:24" ht="13.5" customHeight="1" thickBot="1" x14ac:dyDescent="0.35">
      <c r="A68" s="52" t="s">
        <v>233</v>
      </c>
      <c r="J68" s="49">
        <f>tax_rate</f>
        <v>0.27700000000000002</v>
      </c>
      <c r="L68" s="56">
        <f>J68</f>
        <v>0.27700000000000002</v>
      </c>
      <c r="N68" s="56">
        <f>L68</f>
        <v>0.27700000000000002</v>
      </c>
      <c r="P68" s="56">
        <f>N68</f>
        <v>0.27700000000000002</v>
      </c>
      <c r="R68" s="56">
        <f>P68</f>
        <v>0.27700000000000002</v>
      </c>
      <c r="T68" s="56">
        <f>R68</f>
        <v>0.27700000000000002</v>
      </c>
      <c r="V68" s="56">
        <f>T68</f>
        <v>0.27700000000000002</v>
      </c>
      <c r="X68" s="56">
        <f>V68</f>
        <v>0.27700000000000002</v>
      </c>
    </row>
    <row r="69" spans="1:24" x14ac:dyDescent="0.25">
      <c r="B69" t="s">
        <v>237</v>
      </c>
      <c r="J69" s="136">
        <f>J66*(1-J68)</f>
        <v>1.0845</v>
      </c>
      <c r="L69" s="136">
        <f>L66*(1-L68)</f>
        <v>1.0845</v>
      </c>
      <c r="N69" s="136">
        <f>N66*(1-N68)</f>
        <v>1.0845</v>
      </c>
      <c r="P69" s="136">
        <f>P66*(1-P68)</f>
        <v>1.0845</v>
      </c>
      <c r="R69" s="136">
        <f>R66*(1-R68)</f>
        <v>1.0845</v>
      </c>
      <c r="T69" s="136">
        <f>T66*(1-T68)</f>
        <v>1.0845</v>
      </c>
      <c r="V69" s="136">
        <f>V66*(1-V68)</f>
        <v>1.0845</v>
      </c>
      <c r="X69" s="136">
        <f>X66*(1-X68)</f>
        <v>1.0845</v>
      </c>
    </row>
    <row r="70" spans="1:24" x14ac:dyDescent="0.25">
      <c r="A70" s="91"/>
    </row>
    <row r="71" spans="1:24" ht="13" x14ac:dyDescent="0.3">
      <c r="A71" s="4" t="s">
        <v>243</v>
      </c>
      <c r="B71" s="132"/>
      <c r="C71" s="132"/>
      <c r="D71" s="132"/>
      <c r="E71" s="132"/>
      <c r="F71" s="132"/>
      <c r="G71" s="132"/>
      <c r="H71" s="132"/>
      <c r="I71" s="132"/>
      <c r="J71" s="132"/>
      <c r="K71" s="132"/>
      <c r="L71" s="132"/>
      <c r="M71" s="132"/>
      <c r="N71" s="132"/>
      <c r="O71" s="132"/>
      <c r="P71" s="132"/>
      <c r="Q71" s="132"/>
      <c r="R71" s="132"/>
      <c r="S71" s="132"/>
      <c r="T71" s="132"/>
      <c r="U71" s="132"/>
      <c r="V71" s="132"/>
      <c r="W71" s="132"/>
      <c r="X71" s="132"/>
    </row>
    <row r="73" spans="1:24" x14ac:dyDescent="0.25">
      <c r="A73" t="str">
        <f>tgt&amp;" Deferred Revenue Balance"</f>
        <v>Tapestry, Inc. Deferred Revenue Balance</v>
      </c>
      <c r="J73" s="113">
        <f>'PF BS'!J29</f>
        <v>0</v>
      </c>
      <c r="L73" s="16">
        <f>J73</f>
        <v>0</v>
      </c>
      <c r="N73" s="16">
        <f>L73</f>
        <v>0</v>
      </c>
      <c r="P73" s="16">
        <f>N73</f>
        <v>0</v>
      </c>
      <c r="R73" s="16">
        <f>P73</f>
        <v>0</v>
      </c>
      <c r="T73" s="16">
        <f>R73</f>
        <v>0</v>
      </c>
      <c r="V73" s="16">
        <f>T73</f>
        <v>0</v>
      </c>
      <c r="X73" s="16">
        <f>V73</f>
        <v>0</v>
      </c>
    </row>
    <row r="74" spans="1:24" s="52" customFormat="1" ht="13.5" customHeight="1" thickBot="1" x14ac:dyDescent="0.35">
      <c r="A74" s="52" t="s">
        <v>244</v>
      </c>
      <c r="J74" s="41">
        <v>0</v>
      </c>
      <c r="L74" s="56">
        <f>J74</f>
        <v>0</v>
      </c>
      <c r="N74" s="56">
        <f>L74</f>
        <v>0</v>
      </c>
      <c r="P74" s="56">
        <f>N74</f>
        <v>0</v>
      </c>
      <c r="R74" s="56">
        <f>P74</f>
        <v>0</v>
      </c>
      <c r="T74" s="56">
        <f>R74</f>
        <v>0</v>
      </c>
      <c r="V74" s="56">
        <f>T74</f>
        <v>0</v>
      </c>
      <c r="X74" s="56">
        <f>V74</f>
        <v>0</v>
      </c>
    </row>
    <row r="75" spans="1:24" x14ac:dyDescent="0.25">
      <c r="B75" t="s">
        <v>243</v>
      </c>
      <c r="J75" s="136">
        <f>J73*(1-J74)</f>
        <v>0</v>
      </c>
      <c r="L75" s="136">
        <f>L73*(1-L74)</f>
        <v>0</v>
      </c>
      <c r="N75" s="136">
        <f>N73*(1-N74)</f>
        <v>0</v>
      </c>
      <c r="P75" s="136">
        <f>P73*(1-P74)</f>
        <v>0</v>
      </c>
      <c r="R75" s="136">
        <f>R73*(1-R74)</f>
        <v>0</v>
      </c>
      <c r="T75" s="136">
        <f>T73*(1-T74)</f>
        <v>0</v>
      </c>
      <c r="V75" s="136">
        <f>V73*(1-V74)</f>
        <v>0</v>
      </c>
      <c r="X75" s="136">
        <f>X73*(1-X74)</f>
        <v>0</v>
      </c>
    </row>
    <row r="77" spans="1:24" ht="13.5" customHeight="1" thickBot="1" x14ac:dyDescent="0.3">
      <c r="A77" t="s">
        <v>245</v>
      </c>
      <c r="J77" s="17">
        <v>1</v>
      </c>
      <c r="L77" s="74">
        <f>J77</f>
        <v>1</v>
      </c>
      <c r="N77" s="74">
        <f>L77</f>
        <v>1</v>
      </c>
      <c r="P77" s="74">
        <f>N77</f>
        <v>1</v>
      </c>
      <c r="R77" s="74">
        <f>P77</f>
        <v>1</v>
      </c>
      <c r="T77" s="74">
        <f>R77</f>
        <v>1</v>
      </c>
      <c r="V77" s="74">
        <f>T77</f>
        <v>1</v>
      </c>
      <c r="X77" s="74">
        <f>V77</f>
        <v>1</v>
      </c>
    </row>
    <row r="78" spans="1:24" x14ac:dyDescent="0.25">
      <c r="B78" t="s">
        <v>246</v>
      </c>
      <c r="J78" s="136">
        <f>J75/J77</f>
        <v>0</v>
      </c>
      <c r="L78" s="136">
        <f>L75/L77</f>
        <v>0</v>
      </c>
      <c r="N78" s="136">
        <f>N75/N77</f>
        <v>0</v>
      </c>
      <c r="P78" s="136">
        <f>P75/P77</f>
        <v>0</v>
      </c>
      <c r="R78" s="136">
        <f>R75/R77</f>
        <v>0</v>
      </c>
      <c r="T78" s="136">
        <f>T75/T77</f>
        <v>0</v>
      </c>
      <c r="V78" s="136">
        <f>V75/V77</f>
        <v>0</v>
      </c>
      <c r="X78" s="136">
        <f>X75/X77</f>
        <v>0</v>
      </c>
    </row>
    <row r="80" spans="1:24" s="147" customFormat="1" ht="13.5" customHeight="1" thickBot="1" x14ac:dyDescent="0.35">
      <c r="A80" s="147" t="s">
        <v>233</v>
      </c>
      <c r="J80" s="49">
        <f>tax_rate</f>
        <v>0.27700000000000002</v>
      </c>
      <c r="L80" s="56">
        <f>J80</f>
        <v>0.27700000000000002</v>
      </c>
      <c r="N80" s="56">
        <f>L80</f>
        <v>0.27700000000000002</v>
      </c>
      <c r="P80" s="56">
        <f>N80</f>
        <v>0.27700000000000002</v>
      </c>
      <c r="R80" s="56">
        <f>P80</f>
        <v>0.27700000000000002</v>
      </c>
      <c r="T80" s="56">
        <f>R80</f>
        <v>0.27700000000000002</v>
      </c>
      <c r="V80" s="56">
        <f>T80</f>
        <v>0.27700000000000002</v>
      </c>
      <c r="X80" s="56">
        <f>V80</f>
        <v>0.27700000000000002</v>
      </c>
    </row>
    <row r="81" spans="1:24" x14ac:dyDescent="0.25">
      <c r="B81" t="s">
        <v>247</v>
      </c>
      <c r="J81" s="136">
        <f>J78*(1-J80)</f>
        <v>0</v>
      </c>
      <c r="L81" s="136">
        <f>L78*(1-L80)</f>
        <v>0</v>
      </c>
      <c r="N81" s="136">
        <f>N78*(1-N80)</f>
        <v>0</v>
      </c>
      <c r="P81" s="136">
        <f>P78*(1-P80)</f>
        <v>0</v>
      </c>
      <c r="R81" s="136">
        <f>R78*(1-R80)</f>
        <v>0</v>
      </c>
      <c r="T81" s="136">
        <f>T78*(1-T80)</f>
        <v>0</v>
      </c>
      <c r="V81" s="136">
        <f>V78*(1-V80)</f>
        <v>0</v>
      </c>
      <c r="X81" s="136">
        <f>X78*(1-X80)</f>
        <v>0</v>
      </c>
    </row>
    <row r="82" spans="1:24" x14ac:dyDescent="0.25">
      <c r="A82" s="91"/>
    </row>
    <row r="83" spans="1:24" ht="13" x14ac:dyDescent="0.3">
      <c r="A83" s="4" t="s">
        <v>238</v>
      </c>
      <c r="B83" s="132"/>
      <c r="C83" s="132"/>
      <c r="D83" s="132"/>
      <c r="E83" s="132"/>
      <c r="F83" s="132"/>
      <c r="G83" s="132"/>
      <c r="H83" s="132"/>
      <c r="I83" s="132"/>
      <c r="J83" s="132"/>
      <c r="K83" s="132"/>
      <c r="L83" s="132"/>
      <c r="M83" s="132"/>
      <c r="N83" s="132"/>
      <c r="O83" s="132"/>
      <c r="P83" s="132"/>
      <c r="Q83" s="132"/>
      <c r="R83" s="132"/>
      <c r="S83" s="132"/>
      <c r="T83" s="132"/>
      <c r="U83" s="132"/>
      <c r="V83" s="132"/>
      <c r="W83" s="132"/>
      <c r="X83" s="132"/>
    </row>
    <row r="85" spans="1:24" x14ac:dyDescent="0.25">
      <c r="A85" t="s">
        <v>239</v>
      </c>
      <c r="J85" s="16">
        <f>J105</f>
        <v>90.899999999999963</v>
      </c>
      <c r="K85" s="118"/>
      <c r="L85" s="16">
        <f>L103</f>
        <v>0</v>
      </c>
      <c r="M85" s="118"/>
      <c r="N85" s="16">
        <f>N103</f>
        <v>0</v>
      </c>
      <c r="O85" s="118"/>
      <c r="P85" s="16">
        <f>P103</f>
        <v>0</v>
      </c>
      <c r="Q85" s="118"/>
      <c r="R85" s="16">
        <f>R103</f>
        <v>0</v>
      </c>
      <c r="S85" s="118"/>
      <c r="T85" s="16">
        <f>T103</f>
        <v>0</v>
      </c>
      <c r="U85" s="118"/>
      <c r="V85" s="16">
        <f>V103</f>
        <v>0</v>
      </c>
      <c r="W85" s="118"/>
      <c r="X85" s="16">
        <f>X103</f>
        <v>0</v>
      </c>
    </row>
    <row r="86" spans="1:24" x14ac:dyDescent="0.25">
      <c r="A86" t="s">
        <v>240</v>
      </c>
      <c r="J86" s="74">
        <f>J119</f>
        <v>39.086999999999982</v>
      </c>
      <c r="K86" s="118"/>
      <c r="L86" s="74">
        <f>L117</f>
        <v>0</v>
      </c>
      <c r="M86" s="118"/>
      <c r="N86" s="74">
        <f>N117</f>
        <v>0</v>
      </c>
      <c r="O86" s="118"/>
      <c r="P86" s="74">
        <f>P117</f>
        <v>0</v>
      </c>
      <c r="Q86" s="118"/>
      <c r="R86" s="74">
        <f>R117</f>
        <v>0</v>
      </c>
      <c r="S86" s="118"/>
      <c r="T86" s="74">
        <f>T117</f>
        <v>0</v>
      </c>
      <c r="U86" s="118"/>
      <c r="V86" s="74">
        <f>V117</f>
        <v>0</v>
      </c>
      <c r="W86" s="118"/>
      <c r="X86" s="74">
        <f>X117</f>
        <v>0</v>
      </c>
    </row>
    <row r="87" spans="1:24" x14ac:dyDescent="0.25">
      <c r="A87" t="s">
        <v>196</v>
      </c>
      <c r="J87" s="74">
        <f>J133</f>
        <v>9.0899999999999963</v>
      </c>
      <c r="K87" s="118"/>
      <c r="L87" s="74">
        <f>L131</f>
        <v>0</v>
      </c>
      <c r="M87" s="118"/>
      <c r="N87" s="74">
        <f>N131</f>
        <v>0</v>
      </c>
      <c r="O87" s="118"/>
      <c r="P87" s="74">
        <f>P131</f>
        <v>0</v>
      </c>
      <c r="Q87" s="118"/>
      <c r="R87" s="74">
        <f>R131</f>
        <v>0</v>
      </c>
      <c r="S87" s="118"/>
      <c r="T87" s="74">
        <f>T131</f>
        <v>0</v>
      </c>
      <c r="U87" s="118"/>
      <c r="V87" s="74">
        <f>V131</f>
        <v>0</v>
      </c>
      <c r="W87" s="118"/>
      <c r="X87" s="74">
        <f>X131</f>
        <v>0</v>
      </c>
    </row>
    <row r="88" spans="1:24" s="147" customFormat="1" ht="13.5" customHeight="1" thickBot="1" x14ac:dyDescent="0.35">
      <c r="A88" s="147" t="s">
        <v>241</v>
      </c>
      <c r="J88" s="49">
        <f>tax_rate</f>
        <v>0.27700000000000002</v>
      </c>
      <c r="L88" s="56">
        <f>J88</f>
        <v>0.27700000000000002</v>
      </c>
      <c r="N88" s="56">
        <f>L88</f>
        <v>0.27700000000000002</v>
      </c>
      <c r="P88" s="56">
        <f>N88</f>
        <v>0.27700000000000002</v>
      </c>
      <c r="R88" s="56">
        <f>P88</f>
        <v>0.27700000000000002</v>
      </c>
      <c r="T88" s="56">
        <f>R88</f>
        <v>0.27700000000000002</v>
      </c>
      <c r="V88" s="56">
        <f>T88</f>
        <v>0.27700000000000002</v>
      </c>
      <c r="X88" s="56">
        <f>V88</f>
        <v>0.27700000000000002</v>
      </c>
    </row>
    <row r="89" spans="1:24" x14ac:dyDescent="0.25">
      <c r="B89" t="s">
        <v>242</v>
      </c>
      <c r="J89" s="136">
        <f>J87*(1-J88)</f>
        <v>6.5720699999999974</v>
      </c>
      <c r="L89" s="136">
        <f>L87*(1-L88)</f>
        <v>0</v>
      </c>
      <c r="N89" s="136">
        <f>N87*(1-N88)</f>
        <v>0</v>
      </c>
      <c r="P89" s="136">
        <f>P87*(1-P88)</f>
        <v>0</v>
      </c>
      <c r="R89" s="136">
        <f>R87*(1-R88)</f>
        <v>0</v>
      </c>
      <c r="T89" s="136">
        <f>T87*(1-T88)</f>
        <v>0</v>
      </c>
      <c r="V89" s="136">
        <f>V87*(1-V88)</f>
        <v>0</v>
      </c>
      <c r="X89" s="136">
        <f>X87*(1-X88)</f>
        <v>0</v>
      </c>
    </row>
    <row r="90" spans="1:24" x14ac:dyDescent="0.25">
      <c r="A90" s="91"/>
    </row>
    <row r="91" spans="1:24" ht="13" x14ac:dyDescent="0.3">
      <c r="A91" s="4" t="s">
        <v>166</v>
      </c>
      <c r="B91" s="132"/>
      <c r="C91" s="132"/>
      <c r="D91" s="132"/>
      <c r="E91" s="132"/>
      <c r="F91" s="132"/>
      <c r="G91" s="132"/>
      <c r="H91" s="132"/>
      <c r="I91" s="132"/>
      <c r="J91" s="132"/>
      <c r="K91" s="132"/>
      <c r="L91" s="132"/>
      <c r="M91" s="132"/>
      <c r="N91" s="132"/>
      <c r="O91" s="132"/>
      <c r="P91" s="132"/>
      <c r="Q91" s="132"/>
      <c r="R91" s="132"/>
      <c r="S91" s="132"/>
      <c r="T91" s="132"/>
      <c r="U91" s="132"/>
      <c r="V91" s="132"/>
      <c r="W91" s="132"/>
      <c r="X91" s="132"/>
    </row>
    <row r="93" spans="1:24" s="82" customFormat="1" ht="13.5" customHeight="1" thickBot="1" x14ac:dyDescent="0.35">
      <c r="J93" s="7" t="s">
        <v>188</v>
      </c>
      <c r="K93" s="7"/>
      <c r="L93" s="7"/>
      <c r="M93" s="7"/>
      <c r="N93" s="7"/>
      <c r="O93" s="7"/>
      <c r="P93" s="7"/>
      <c r="Q93" s="7"/>
      <c r="R93" s="7"/>
      <c r="S93" s="7"/>
      <c r="T93" s="7"/>
      <c r="U93" s="7"/>
      <c r="V93" s="7"/>
      <c r="W93" s="7"/>
      <c r="X93" s="7"/>
    </row>
    <row r="94" spans="1:24" ht="13.5" customHeight="1" thickBot="1" x14ac:dyDescent="0.35">
      <c r="D94" s="130" t="s">
        <v>189</v>
      </c>
      <c r="E94" s="82"/>
      <c r="F94" s="130" t="s">
        <v>190</v>
      </c>
      <c r="G94" s="82"/>
      <c r="H94" s="82"/>
      <c r="J94" s="106">
        <f>J$6</f>
        <v>43.61</v>
      </c>
      <c r="K94" s="82"/>
      <c r="L94" s="106">
        <f>L$6</f>
        <v>40</v>
      </c>
      <c r="M94" s="82"/>
      <c r="N94" s="106">
        <f>N$6</f>
        <v>45.8</v>
      </c>
      <c r="O94" s="82"/>
      <c r="P94" s="106">
        <f>P$6</f>
        <v>51.45</v>
      </c>
      <c r="Q94" s="82"/>
      <c r="R94" s="106">
        <f>R$6</f>
        <v>57.13</v>
      </c>
      <c r="S94" s="82"/>
      <c r="T94" s="106">
        <f>T$6</f>
        <v>62.8</v>
      </c>
      <c r="U94" s="82"/>
      <c r="V94" s="106">
        <f>V$6</f>
        <v>68.47</v>
      </c>
      <c r="W94" s="82"/>
      <c r="X94" s="106">
        <f>X$6</f>
        <v>74.14</v>
      </c>
    </row>
    <row r="95" spans="1:24" x14ac:dyDescent="0.25">
      <c r="A95" t="s">
        <v>39</v>
      </c>
      <c r="D95" s="12">
        <v>10</v>
      </c>
      <c r="F95" s="10">
        <v>34.520000000000003</v>
      </c>
      <c r="G95" s="10"/>
      <c r="H95" s="10"/>
      <c r="J95" s="16">
        <f t="shared" ref="J95:J104" si="0">MAX(0,J$94-$F95)*$D95</f>
        <v>90.899999999999963</v>
      </c>
      <c r="L95" s="16">
        <f t="shared" ref="L95:L104" si="1">MAX(0,L$94-$F95)*$D95</f>
        <v>54.799999999999969</v>
      </c>
      <c r="N95" s="16">
        <f t="shared" ref="N95:N104" si="2">MAX(0,N$94-$F95)*$D95</f>
        <v>112.79999999999994</v>
      </c>
      <c r="P95" s="16">
        <f t="shared" ref="P95:P104" si="3">MAX(0,P$94-$F95)*$D95</f>
        <v>169.3</v>
      </c>
      <c r="R95" s="16">
        <f t="shared" ref="R95:R104" si="4">MAX(0,R$94-$F95)*$D95</f>
        <v>226.1</v>
      </c>
      <c r="T95" s="16">
        <f t="shared" ref="T95:T104" si="5">MAX(0,T$94-$F95)*$D95</f>
        <v>282.79999999999995</v>
      </c>
      <c r="V95" s="16">
        <f t="shared" ref="V95:V104" si="6">MAX(0,V$94-$F95)*$D95</f>
        <v>339.49999999999994</v>
      </c>
      <c r="X95" s="16">
        <f t="shared" ref="X95:X104" si="7">MAX(0,X$94-$F95)*$D95</f>
        <v>396.2</v>
      </c>
    </row>
    <row r="96" spans="1:24" x14ac:dyDescent="0.25">
      <c r="A96" t="s">
        <v>40</v>
      </c>
      <c r="D96" s="12">
        <v>0</v>
      </c>
      <c r="F96" s="10">
        <v>0</v>
      </c>
      <c r="G96" s="10"/>
      <c r="H96" s="10"/>
      <c r="J96" s="74">
        <f t="shared" si="0"/>
        <v>0</v>
      </c>
      <c r="L96" s="74">
        <f t="shared" si="1"/>
        <v>0</v>
      </c>
      <c r="N96" s="74">
        <f t="shared" si="2"/>
        <v>0</v>
      </c>
      <c r="P96" s="74">
        <f t="shared" si="3"/>
        <v>0</v>
      </c>
      <c r="R96" s="74">
        <f t="shared" si="4"/>
        <v>0</v>
      </c>
      <c r="T96" s="74">
        <f t="shared" si="5"/>
        <v>0</v>
      </c>
      <c r="V96" s="74">
        <f t="shared" si="6"/>
        <v>0</v>
      </c>
      <c r="X96" s="74">
        <f t="shared" si="7"/>
        <v>0</v>
      </c>
    </row>
    <row r="97" spans="1:24" x14ac:dyDescent="0.25">
      <c r="A97" t="s">
        <v>41</v>
      </c>
      <c r="D97" s="12">
        <v>0</v>
      </c>
      <c r="F97" s="10">
        <v>0</v>
      </c>
      <c r="G97" s="10"/>
      <c r="H97" s="10"/>
      <c r="J97" s="74">
        <f t="shared" si="0"/>
        <v>0</v>
      </c>
      <c r="L97" s="74">
        <f t="shared" si="1"/>
        <v>0</v>
      </c>
      <c r="N97" s="74">
        <f t="shared" si="2"/>
        <v>0</v>
      </c>
      <c r="P97" s="74">
        <f t="shared" si="3"/>
        <v>0</v>
      </c>
      <c r="R97" s="74">
        <f t="shared" si="4"/>
        <v>0</v>
      </c>
      <c r="T97" s="74">
        <f t="shared" si="5"/>
        <v>0</v>
      </c>
      <c r="V97" s="74">
        <f t="shared" si="6"/>
        <v>0</v>
      </c>
      <c r="X97" s="74">
        <f t="shared" si="7"/>
        <v>0</v>
      </c>
    </row>
    <row r="98" spans="1:24" x14ac:dyDescent="0.25">
      <c r="A98" t="s">
        <v>42</v>
      </c>
      <c r="D98" s="12">
        <v>0</v>
      </c>
      <c r="F98" s="10">
        <v>0</v>
      </c>
      <c r="G98" s="10"/>
      <c r="H98" s="10"/>
      <c r="J98" s="74">
        <f t="shared" si="0"/>
        <v>0</v>
      </c>
      <c r="L98" s="74">
        <f t="shared" si="1"/>
        <v>0</v>
      </c>
      <c r="N98" s="74">
        <f t="shared" si="2"/>
        <v>0</v>
      </c>
      <c r="P98" s="74">
        <f t="shared" si="3"/>
        <v>0</v>
      </c>
      <c r="R98" s="74">
        <f t="shared" si="4"/>
        <v>0</v>
      </c>
      <c r="T98" s="74">
        <f t="shared" si="5"/>
        <v>0</v>
      </c>
      <c r="V98" s="74">
        <f t="shared" si="6"/>
        <v>0</v>
      </c>
      <c r="X98" s="74">
        <f t="shared" si="7"/>
        <v>0</v>
      </c>
    </row>
    <row r="99" spans="1:24" x14ac:dyDescent="0.25">
      <c r="A99" t="s">
        <v>43</v>
      </c>
      <c r="D99" s="12">
        <v>0</v>
      </c>
      <c r="F99" s="10">
        <v>0</v>
      </c>
      <c r="G99" s="10"/>
      <c r="H99" s="10"/>
      <c r="J99" s="74">
        <f t="shared" si="0"/>
        <v>0</v>
      </c>
      <c r="L99" s="74">
        <f t="shared" si="1"/>
        <v>0</v>
      </c>
      <c r="N99" s="74">
        <f t="shared" si="2"/>
        <v>0</v>
      </c>
      <c r="P99" s="74">
        <f t="shared" si="3"/>
        <v>0</v>
      </c>
      <c r="R99" s="74">
        <f t="shared" si="4"/>
        <v>0</v>
      </c>
      <c r="T99" s="74">
        <f t="shared" si="5"/>
        <v>0</v>
      </c>
      <c r="V99" s="74">
        <f t="shared" si="6"/>
        <v>0</v>
      </c>
      <c r="X99" s="74">
        <f t="shared" si="7"/>
        <v>0</v>
      </c>
    </row>
    <row r="100" spans="1:24" x14ac:dyDescent="0.25">
      <c r="A100" t="s">
        <v>44</v>
      </c>
      <c r="D100" s="12">
        <v>0</v>
      </c>
      <c r="F100" s="10">
        <v>0</v>
      </c>
      <c r="G100" s="10"/>
      <c r="H100" s="10"/>
      <c r="J100" s="74">
        <f t="shared" si="0"/>
        <v>0</v>
      </c>
      <c r="L100" s="74">
        <f t="shared" si="1"/>
        <v>0</v>
      </c>
      <c r="N100" s="74">
        <f t="shared" si="2"/>
        <v>0</v>
      </c>
      <c r="P100" s="74">
        <f t="shared" si="3"/>
        <v>0</v>
      </c>
      <c r="R100" s="74">
        <f t="shared" si="4"/>
        <v>0</v>
      </c>
      <c r="T100" s="74">
        <f t="shared" si="5"/>
        <v>0</v>
      </c>
      <c r="V100" s="74">
        <f t="shared" si="6"/>
        <v>0</v>
      </c>
      <c r="X100" s="74">
        <f t="shared" si="7"/>
        <v>0</v>
      </c>
    </row>
    <row r="101" spans="1:24" x14ac:dyDescent="0.25">
      <c r="A101" t="s">
        <v>45</v>
      </c>
      <c r="D101" s="12">
        <v>0</v>
      </c>
      <c r="F101" s="10">
        <v>0</v>
      </c>
      <c r="G101" s="10"/>
      <c r="H101" s="10"/>
      <c r="J101" s="74">
        <f t="shared" si="0"/>
        <v>0</v>
      </c>
      <c r="L101" s="74">
        <f t="shared" si="1"/>
        <v>0</v>
      </c>
      <c r="N101" s="74">
        <f t="shared" si="2"/>
        <v>0</v>
      </c>
      <c r="P101" s="74">
        <f t="shared" si="3"/>
        <v>0</v>
      </c>
      <c r="R101" s="74">
        <f t="shared" si="4"/>
        <v>0</v>
      </c>
      <c r="T101" s="74">
        <f t="shared" si="5"/>
        <v>0</v>
      </c>
      <c r="V101" s="74">
        <f t="shared" si="6"/>
        <v>0</v>
      </c>
      <c r="X101" s="74">
        <f t="shared" si="7"/>
        <v>0</v>
      </c>
    </row>
    <row r="102" spans="1:24" x14ac:dyDescent="0.25">
      <c r="A102" t="s">
        <v>46</v>
      </c>
      <c r="D102" s="12">
        <v>0</v>
      </c>
      <c r="F102" s="10">
        <v>0</v>
      </c>
      <c r="G102" s="10"/>
      <c r="H102" s="10"/>
      <c r="J102" s="74">
        <f t="shared" si="0"/>
        <v>0</v>
      </c>
      <c r="L102" s="74">
        <f t="shared" si="1"/>
        <v>0</v>
      </c>
      <c r="N102" s="74">
        <f t="shared" si="2"/>
        <v>0</v>
      </c>
      <c r="P102" s="74">
        <f t="shared" si="3"/>
        <v>0</v>
      </c>
      <c r="R102" s="74">
        <f t="shared" si="4"/>
        <v>0</v>
      </c>
      <c r="T102" s="74">
        <f t="shared" si="5"/>
        <v>0</v>
      </c>
      <c r="V102" s="74">
        <f t="shared" si="6"/>
        <v>0</v>
      </c>
      <c r="X102" s="74">
        <f t="shared" si="7"/>
        <v>0</v>
      </c>
    </row>
    <row r="103" spans="1:24" x14ac:dyDescent="0.25">
      <c r="A103" t="s">
        <v>47</v>
      </c>
      <c r="D103" s="12">
        <v>0</v>
      </c>
      <c r="F103" s="10">
        <v>0</v>
      </c>
      <c r="G103" s="10"/>
      <c r="H103" s="10"/>
      <c r="J103" s="74">
        <f t="shared" si="0"/>
        <v>0</v>
      </c>
      <c r="L103" s="74">
        <f t="shared" si="1"/>
        <v>0</v>
      </c>
      <c r="N103" s="74">
        <f t="shared" si="2"/>
        <v>0</v>
      </c>
      <c r="P103" s="74">
        <f t="shared" si="3"/>
        <v>0</v>
      </c>
      <c r="R103" s="74">
        <f t="shared" si="4"/>
        <v>0</v>
      </c>
      <c r="T103" s="74">
        <f t="shared" si="5"/>
        <v>0</v>
      </c>
      <c r="V103" s="74">
        <f t="shared" si="6"/>
        <v>0</v>
      </c>
      <c r="X103" s="74">
        <f t="shared" si="7"/>
        <v>0</v>
      </c>
    </row>
    <row r="104" spans="1:24" ht="13.5" customHeight="1" thickBot="1" x14ac:dyDescent="0.3">
      <c r="A104" t="s">
        <v>48</v>
      </c>
      <c r="D104" s="12">
        <v>0</v>
      </c>
      <c r="F104" s="10">
        <v>0</v>
      </c>
      <c r="G104" s="10"/>
      <c r="H104" s="10"/>
      <c r="J104" s="74">
        <f t="shared" si="0"/>
        <v>0</v>
      </c>
      <c r="L104" s="74">
        <f t="shared" si="1"/>
        <v>0</v>
      </c>
      <c r="N104" s="74">
        <f t="shared" si="2"/>
        <v>0</v>
      </c>
      <c r="P104" s="74">
        <f t="shared" si="3"/>
        <v>0</v>
      </c>
      <c r="R104" s="74">
        <f t="shared" si="4"/>
        <v>0</v>
      </c>
      <c r="T104" s="74">
        <f t="shared" si="5"/>
        <v>0</v>
      </c>
      <c r="V104" s="74">
        <f t="shared" si="6"/>
        <v>0</v>
      </c>
      <c r="X104" s="74">
        <f t="shared" si="7"/>
        <v>0</v>
      </c>
    </row>
    <row r="105" spans="1:24" s="19" customFormat="1" ht="13" x14ac:dyDescent="0.3">
      <c r="A105" s="19" t="s">
        <v>49</v>
      </c>
      <c r="D105" s="37">
        <f>SUM(D95:D104)</f>
        <v>10</v>
      </c>
      <c r="F105" s="107"/>
      <c r="G105" s="107"/>
      <c r="H105" s="107"/>
      <c r="J105" s="88">
        <f>SUM(J95:J104)</f>
        <v>90.899999999999963</v>
      </c>
      <c r="K105" s="53"/>
      <c r="L105" s="88">
        <f>SUM(L95:L104)</f>
        <v>54.799999999999969</v>
      </c>
      <c r="M105" s="53"/>
      <c r="N105" s="88">
        <f>SUM(N95:N104)</f>
        <v>112.79999999999994</v>
      </c>
      <c r="O105" s="53"/>
      <c r="P105" s="88">
        <f>SUM(P95:P104)</f>
        <v>169.3</v>
      </c>
      <c r="Q105" s="53"/>
      <c r="R105" s="88">
        <f>SUM(R95:R104)</f>
        <v>226.1</v>
      </c>
      <c r="S105" s="53"/>
      <c r="T105" s="88">
        <f>SUM(T95:T104)</f>
        <v>282.79999999999995</v>
      </c>
      <c r="U105" s="53"/>
      <c r="V105" s="88">
        <f>SUM(V95:V104)</f>
        <v>339.49999999999994</v>
      </c>
      <c r="W105" s="53"/>
      <c r="X105" s="88">
        <f>SUM(X95:X104)</f>
        <v>396.2</v>
      </c>
    </row>
    <row r="107" spans="1:24" s="137" customFormat="1" ht="13.5" customHeight="1" thickBot="1" x14ac:dyDescent="0.35">
      <c r="D107" s="7" t="s">
        <v>191</v>
      </c>
      <c r="E107" s="7"/>
      <c r="F107" s="7"/>
      <c r="G107" s="78"/>
      <c r="H107" s="78"/>
    </row>
    <row r="108" spans="1:24" ht="13.5" customHeight="1" thickBot="1" x14ac:dyDescent="0.35">
      <c r="D108" s="106" t="s">
        <v>192</v>
      </c>
      <c r="E108" s="82"/>
      <c r="F108" s="106" t="s">
        <v>193</v>
      </c>
      <c r="G108" s="109"/>
      <c r="H108" s="109"/>
      <c r="J108" s="7" t="s">
        <v>194</v>
      </c>
      <c r="K108" s="7"/>
      <c r="L108" s="7"/>
      <c r="M108" s="7"/>
      <c r="N108" s="7"/>
      <c r="O108" s="7"/>
      <c r="P108" s="7"/>
      <c r="Q108" s="7"/>
      <c r="R108" s="7"/>
      <c r="S108" s="7"/>
      <c r="T108" s="7"/>
      <c r="U108" s="7"/>
      <c r="V108" s="7"/>
      <c r="W108" s="7"/>
      <c r="X108" s="7"/>
    </row>
    <row r="109" spans="1:24" x14ac:dyDescent="0.25">
      <c r="A109" t="s">
        <v>39</v>
      </c>
      <c r="D109" s="17">
        <v>10</v>
      </c>
      <c r="F109" s="17">
        <v>4.3</v>
      </c>
      <c r="J109" s="16">
        <f t="shared" ref="J109:J118" si="8">IF(ISERROR(J95*$F109/$D109),0,J95*$F109/$D109)</f>
        <v>39.086999999999982</v>
      </c>
      <c r="L109" s="16">
        <f t="shared" ref="L109:L118" si="9">IF(ISERROR(L95*$F109/$D109),0,L95*$F109/$D109)</f>
        <v>23.563999999999986</v>
      </c>
      <c r="N109" s="16">
        <f t="shared" ref="N109:N118" si="10">IF(ISERROR(N95*$F109/$D109),0,N95*$F109/$D109)</f>
        <v>48.503999999999976</v>
      </c>
      <c r="P109" s="16">
        <f t="shared" ref="P109:P118" si="11">IF(ISERROR(P95*$F109/$D109),0,P95*$F109/$D109)</f>
        <v>72.799000000000007</v>
      </c>
      <c r="R109" s="16">
        <f t="shared" ref="R109:R118" si="12">IF(ISERROR(R95*$F109/$D109),0,R95*$F109/$D109)</f>
        <v>97.222999999999985</v>
      </c>
      <c r="T109" s="16">
        <f t="shared" ref="T109:T118" si="13">IF(ISERROR(T95*$F109/$D109),0,T95*$F109/$D109)</f>
        <v>121.60399999999997</v>
      </c>
      <c r="V109" s="16">
        <f t="shared" ref="V109:V118" si="14">IF(ISERROR(V95*$F109/$D109),0,V95*$F109/$D109)</f>
        <v>145.98499999999996</v>
      </c>
      <c r="X109" s="16">
        <f t="shared" ref="X109:X118" si="15">IF(ISERROR(X95*$F109/$D109),0,X95*$F109/$D109)</f>
        <v>170.36599999999999</v>
      </c>
    </row>
    <row r="110" spans="1:24" x14ac:dyDescent="0.25">
      <c r="A110" t="s">
        <v>40</v>
      </c>
      <c r="D110" s="17">
        <v>0</v>
      </c>
      <c r="F110" s="17">
        <v>0</v>
      </c>
      <c r="J110" s="74">
        <f t="shared" si="8"/>
        <v>0</v>
      </c>
      <c r="L110" s="74">
        <f t="shared" si="9"/>
        <v>0</v>
      </c>
      <c r="N110" s="74">
        <f t="shared" si="10"/>
        <v>0</v>
      </c>
      <c r="P110" s="74">
        <f t="shared" si="11"/>
        <v>0</v>
      </c>
      <c r="R110" s="74">
        <f t="shared" si="12"/>
        <v>0</v>
      </c>
      <c r="T110" s="74">
        <f t="shared" si="13"/>
        <v>0</v>
      </c>
      <c r="V110" s="74">
        <f t="shared" si="14"/>
        <v>0</v>
      </c>
      <c r="X110" s="74">
        <f t="shared" si="15"/>
        <v>0</v>
      </c>
    </row>
    <row r="111" spans="1:24" x14ac:dyDescent="0.25">
      <c r="A111" t="s">
        <v>41</v>
      </c>
      <c r="D111" s="17">
        <v>0</v>
      </c>
      <c r="F111" s="17">
        <v>0</v>
      </c>
      <c r="J111" s="74">
        <f t="shared" si="8"/>
        <v>0</v>
      </c>
      <c r="L111" s="74">
        <f t="shared" si="9"/>
        <v>0</v>
      </c>
      <c r="N111" s="74">
        <f t="shared" si="10"/>
        <v>0</v>
      </c>
      <c r="P111" s="74">
        <f t="shared" si="11"/>
        <v>0</v>
      </c>
      <c r="R111" s="74">
        <f t="shared" si="12"/>
        <v>0</v>
      </c>
      <c r="T111" s="74">
        <f t="shared" si="13"/>
        <v>0</v>
      </c>
      <c r="V111" s="74">
        <f t="shared" si="14"/>
        <v>0</v>
      </c>
      <c r="X111" s="74">
        <f t="shared" si="15"/>
        <v>0</v>
      </c>
    </row>
    <row r="112" spans="1:24" x14ac:dyDescent="0.25">
      <c r="A112" t="s">
        <v>42</v>
      </c>
      <c r="D112" s="17">
        <v>0</v>
      </c>
      <c r="F112" s="17">
        <v>0</v>
      </c>
      <c r="J112" s="74">
        <f t="shared" si="8"/>
        <v>0</v>
      </c>
      <c r="L112" s="74">
        <f t="shared" si="9"/>
        <v>0</v>
      </c>
      <c r="N112" s="74">
        <f t="shared" si="10"/>
        <v>0</v>
      </c>
      <c r="P112" s="74">
        <f t="shared" si="11"/>
        <v>0</v>
      </c>
      <c r="R112" s="74">
        <f t="shared" si="12"/>
        <v>0</v>
      </c>
      <c r="T112" s="74">
        <f t="shared" si="13"/>
        <v>0</v>
      </c>
      <c r="V112" s="74">
        <f t="shared" si="14"/>
        <v>0</v>
      </c>
      <c r="X112" s="74">
        <f t="shared" si="15"/>
        <v>0</v>
      </c>
    </row>
    <row r="113" spans="1:24" x14ac:dyDescent="0.25">
      <c r="A113" t="s">
        <v>43</v>
      </c>
      <c r="D113" s="17">
        <v>0</v>
      </c>
      <c r="F113" s="17">
        <v>0</v>
      </c>
      <c r="J113" s="74">
        <f t="shared" si="8"/>
        <v>0</v>
      </c>
      <c r="L113" s="74">
        <f t="shared" si="9"/>
        <v>0</v>
      </c>
      <c r="N113" s="74">
        <f t="shared" si="10"/>
        <v>0</v>
      </c>
      <c r="P113" s="74">
        <f t="shared" si="11"/>
        <v>0</v>
      </c>
      <c r="R113" s="74">
        <f t="shared" si="12"/>
        <v>0</v>
      </c>
      <c r="T113" s="74">
        <f t="shared" si="13"/>
        <v>0</v>
      </c>
      <c r="V113" s="74">
        <f t="shared" si="14"/>
        <v>0</v>
      </c>
      <c r="X113" s="74">
        <f t="shared" si="15"/>
        <v>0</v>
      </c>
    </row>
    <row r="114" spans="1:24" x14ac:dyDescent="0.25">
      <c r="A114" t="s">
        <v>44</v>
      </c>
      <c r="D114" s="17">
        <v>0</v>
      </c>
      <c r="F114" s="17">
        <v>0</v>
      </c>
      <c r="J114" s="74">
        <f t="shared" si="8"/>
        <v>0</v>
      </c>
      <c r="L114" s="74">
        <f t="shared" si="9"/>
        <v>0</v>
      </c>
      <c r="N114" s="74">
        <f t="shared" si="10"/>
        <v>0</v>
      </c>
      <c r="P114" s="74">
        <f t="shared" si="11"/>
        <v>0</v>
      </c>
      <c r="R114" s="74">
        <f t="shared" si="12"/>
        <v>0</v>
      </c>
      <c r="T114" s="74">
        <f t="shared" si="13"/>
        <v>0</v>
      </c>
      <c r="V114" s="74">
        <f t="shared" si="14"/>
        <v>0</v>
      </c>
      <c r="X114" s="74">
        <f t="shared" si="15"/>
        <v>0</v>
      </c>
    </row>
    <row r="115" spans="1:24" x14ac:dyDescent="0.25">
      <c r="A115" t="s">
        <v>45</v>
      </c>
      <c r="D115" s="17">
        <v>0</v>
      </c>
      <c r="F115" s="17">
        <v>0</v>
      </c>
      <c r="J115" s="74">
        <f t="shared" si="8"/>
        <v>0</v>
      </c>
      <c r="L115" s="74">
        <f t="shared" si="9"/>
        <v>0</v>
      </c>
      <c r="N115" s="74">
        <f t="shared" si="10"/>
        <v>0</v>
      </c>
      <c r="P115" s="74">
        <f t="shared" si="11"/>
        <v>0</v>
      </c>
      <c r="R115" s="74">
        <f t="shared" si="12"/>
        <v>0</v>
      </c>
      <c r="T115" s="74">
        <f t="shared" si="13"/>
        <v>0</v>
      </c>
      <c r="V115" s="74">
        <f t="shared" si="14"/>
        <v>0</v>
      </c>
      <c r="X115" s="74">
        <f t="shared" si="15"/>
        <v>0</v>
      </c>
    </row>
    <row r="116" spans="1:24" x14ac:dyDescent="0.25">
      <c r="A116" t="s">
        <v>46</v>
      </c>
      <c r="D116" s="17">
        <v>0</v>
      </c>
      <c r="F116" s="17">
        <v>0</v>
      </c>
      <c r="J116" s="74">
        <f t="shared" si="8"/>
        <v>0</v>
      </c>
      <c r="L116" s="74">
        <f t="shared" si="9"/>
        <v>0</v>
      </c>
      <c r="N116" s="74">
        <f t="shared" si="10"/>
        <v>0</v>
      </c>
      <c r="P116" s="74">
        <f t="shared" si="11"/>
        <v>0</v>
      </c>
      <c r="R116" s="74">
        <f t="shared" si="12"/>
        <v>0</v>
      </c>
      <c r="T116" s="74">
        <f t="shared" si="13"/>
        <v>0</v>
      </c>
      <c r="V116" s="74">
        <f t="shared" si="14"/>
        <v>0</v>
      </c>
      <c r="X116" s="74">
        <f t="shared" si="15"/>
        <v>0</v>
      </c>
    </row>
    <row r="117" spans="1:24" x14ac:dyDescent="0.25">
      <c r="A117" t="s">
        <v>47</v>
      </c>
      <c r="D117" s="17">
        <v>0</v>
      </c>
      <c r="F117" s="17">
        <v>0</v>
      </c>
      <c r="J117" s="74">
        <f t="shared" si="8"/>
        <v>0</v>
      </c>
      <c r="L117" s="74">
        <f t="shared" si="9"/>
        <v>0</v>
      </c>
      <c r="N117" s="74">
        <f t="shared" si="10"/>
        <v>0</v>
      </c>
      <c r="P117" s="74">
        <f t="shared" si="11"/>
        <v>0</v>
      </c>
      <c r="R117" s="74">
        <f t="shared" si="12"/>
        <v>0</v>
      </c>
      <c r="T117" s="74">
        <f t="shared" si="13"/>
        <v>0</v>
      </c>
      <c r="V117" s="74">
        <f t="shared" si="14"/>
        <v>0</v>
      </c>
      <c r="X117" s="74">
        <f t="shared" si="15"/>
        <v>0</v>
      </c>
    </row>
    <row r="118" spans="1:24" ht="13.5" customHeight="1" thickBot="1" x14ac:dyDescent="0.3">
      <c r="A118" t="s">
        <v>48</v>
      </c>
      <c r="D118" s="17">
        <v>0</v>
      </c>
      <c r="F118" s="17">
        <v>0</v>
      </c>
      <c r="J118" s="74">
        <f t="shared" si="8"/>
        <v>0</v>
      </c>
      <c r="L118" s="74">
        <f t="shared" si="9"/>
        <v>0</v>
      </c>
      <c r="N118" s="74">
        <f t="shared" si="10"/>
        <v>0</v>
      </c>
      <c r="P118" s="74">
        <f t="shared" si="11"/>
        <v>0</v>
      </c>
      <c r="R118" s="74">
        <f t="shared" si="12"/>
        <v>0</v>
      </c>
      <c r="T118" s="74">
        <f t="shared" si="13"/>
        <v>0</v>
      </c>
      <c r="V118" s="74">
        <f t="shared" si="14"/>
        <v>0</v>
      </c>
      <c r="X118" s="74">
        <f t="shared" si="15"/>
        <v>0</v>
      </c>
    </row>
    <row r="119" spans="1:24" s="75" customFormat="1" ht="13" x14ac:dyDescent="0.3">
      <c r="A119" s="53" t="s">
        <v>49</v>
      </c>
      <c r="D119" s="138"/>
      <c r="F119" s="138"/>
      <c r="G119" s="62"/>
      <c r="H119" s="62"/>
      <c r="J119" s="88">
        <f>SUM(J109:J118)</f>
        <v>39.086999999999982</v>
      </c>
      <c r="L119" s="88">
        <f>SUM(L109:L118)</f>
        <v>23.563999999999986</v>
      </c>
      <c r="N119" s="88">
        <f>SUM(N109:N118)</f>
        <v>48.503999999999976</v>
      </c>
      <c r="P119" s="88">
        <f>SUM(P109:P118)</f>
        <v>72.799000000000007</v>
      </c>
      <c r="R119" s="88">
        <f>SUM(R109:R118)</f>
        <v>97.222999999999985</v>
      </c>
      <c r="T119" s="88">
        <f>SUM(T109:T118)</f>
        <v>121.60399999999997</v>
      </c>
      <c r="V119" s="88">
        <f>SUM(V109:V118)</f>
        <v>145.98499999999996</v>
      </c>
      <c r="X119" s="88">
        <f>SUM(X109:X118)</f>
        <v>170.36599999999999</v>
      </c>
    </row>
    <row r="121" spans="1:24" ht="13" x14ac:dyDescent="0.3">
      <c r="F121" s="82" t="s">
        <v>193</v>
      </c>
      <c r="G121" s="82"/>
      <c r="H121" s="82"/>
    </row>
    <row r="122" spans="1:24" ht="13.5" customHeight="1" thickBot="1" x14ac:dyDescent="0.35">
      <c r="F122" s="130" t="s">
        <v>195</v>
      </c>
      <c r="G122" s="82"/>
      <c r="H122" s="82"/>
      <c r="J122" s="7" t="s">
        <v>196</v>
      </c>
      <c r="K122" s="7"/>
      <c r="L122" s="7"/>
      <c r="M122" s="7"/>
      <c r="N122" s="7"/>
      <c r="O122" s="7"/>
      <c r="P122" s="7"/>
      <c r="Q122" s="7"/>
      <c r="R122" s="7"/>
      <c r="S122" s="7"/>
      <c r="T122" s="7"/>
      <c r="U122" s="7"/>
      <c r="V122" s="7"/>
      <c r="W122" s="7"/>
      <c r="X122" s="7"/>
    </row>
    <row r="123" spans="1:24" x14ac:dyDescent="0.25">
      <c r="A123" t="s">
        <v>39</v>
      </c>
      <c r="F123" s="74">
        <f t="shared" ref="F123:F132" si="16">F109</f>
        <v>4.3</v>
      </c>
      <c r="J123" s="16">
        <f t="shared" ref="J123:J132" si="17">IF(ISERROR(J109/$F123),0,J109/$F123)</f>
        <v>9.0899999999999963</v>
      </c>
      <c r="L123" s="16">
        <f t="shared" ref="L123:L132" si="18">IF(ISERROR(L109/$F123),0,L109/$F123)</f>
        <v>5.4799999999999969</v>
      </c>
      <c r="N123" s="16">
        <f t="shared" ref="N123:N132" si="19">IF(ISERROR(N109/$F123),0,N109/$F123)</f>
        <v>11.279999999999996</v>
      </c>
      <c r="P123" s="16">
        <f t="shared" ref="P123:P132" si="20">IF(ISERROR(P109/$F123),0,P109/$F123)</f>
        <v>16.930000000000003</v>
      </c>
      <c r="R123" s="16">
        <f t="shared" ref="R123:R132" si="21">IF(ISERROR(R109/$F123),0,R109/$F123)</f>
        <v>22.609999999999996</v>
      </c>
      <c r="T123" s="16">
        <f t="shared" ref="T123:T132" si="22">IF(ISERROR(T109/$F123),0,T109/$F123)</f>
        <v>28.279999999999994</v>
      </c>
      <c r="V123" s="16">
        <f t="shared" ref="V123:V132" si="23">IF(ISERROR(V109/$F123),0,V109/$F123)</f>
        <v>33.949999999999989</v>
      </c>
      <c r="X123" s="16">
        <f t="shared" ref="X123:X132" si="24">IF(ISERROR(X109/$F123),0,X109/$F123)</f>
        <v>39.619999999999997</v>
      </c>
    </row>
    <row r="124" spans="1:24" x14ac:dyDescent="0.25">
      <c r="A124" t="s">
        <v>40</v>
      </c>
      <c r="F124" s="74">
        <f t="shared" si="16"/>
        <v>0</v>
      </c>
      <c r="J124" s="74">
        <f t="shared" si="17"/>
        <v>0</v>
      </c>
      <c r="L124" s="74">
        <f t="shared" si="18"/>
        <v>0</v>
      </c>
      <c r="N124" s="74">
        <f t="shared" si="19"/>
        <v>0</v>
      </c>
      <c r="P124" s="74">
        <f t="shared" si="20"/>
        <v>0</v>
      </c>
      <c r="R124" s="74">
        <f t="shared" si="21"/>
        <v>0</v>
      </c>
      <c r="T124" s="74">
        <f t="shared" si="22"/>
        <v>0</v>
      </c>
      <c r="V124" s="74">
        <f t="shared" si="23"/>
        <v>0</v>
      </c>
      <c r="X124" s="74">
        <f t="shared" si="24"/>
        <v>0</v>
      </c>
    </row>
    <row r="125" spans="1:24" x14ac:dyDescent="0.25">
      <c r="A125" t="s">
        <v>41</v>
      </c>
      <c r="F125" s="74">
        <f t="shared" si="16"/>
        <v>0</v>
      </c>
      <c r="J125" s="74">
        <f t="shared" si="17"/>
        <v>0</v>
      </c>
      <c r="L125" s="74">
        <f t="shared" si="18"/>
        <v>0</v>
      </c>
      <c r="N125" s="74">
        <f t="shared" si="19"/>
        <v>0</v>
      </c>
      <c r="P125" s="74">
        <f t="shared" si="20"/>
        <v>0</v>
      </c>
      <c r="R125" s="74">
        <f t="shared" si="21"/>
        <v>0</v>
      </c>
      <c r="T125" s="74">
        <f t="shared" si="22"/>
        <v>0</v>
      </c>
      <c r="V125" s="74">
        <f t="shared" si="23"/>
        <v>0</v>
      </c>
      <c r="X125" s="74">
        <f t="shared" si="24"/>
        <v>0</v>
      </c>
    </row>
    <row r="126" spans="1:24" x14ac:dyDescent="0.25">
      <c r="A126" t="s">
        <v>42</v>
      </c>
      <c r="F126" s="74">
        <f t="shared" si="16"/>
        <v>0</v>
      </c>
      <c r="J126" s="74">
        <f t="shared" si="17"/>
        <v>0</v>
      </c>
      <c r="L126" s="74">
        <f t="shared" si="18"/>
        <v>0</v>
      </c>
      <c r="N126" s="74">
        <f t="shared" si="19"/>
        <v>0</v>
      </c>
      <c r="P126" s="74">
        <f t="shared" si="20"/>
        <v>0</v>
      </c>
      <c r="R126" s="74">
        <f t="shared" si="21"/>
        <v>0</v>
      </c>
      <c r="T126" s="74">
        <f t="shared" si="22"/>
        <v>0</v>
      </c>
      <c r="V126" s="74">
        <f t="shared" si="23"/>
        <v>0</v>
      </c>
      <c r="X126" s="74">
        <f t="shared" si="24"/>
        <v>0</v>
      </c>
    </row>
    <row r="127" spans="1:24" x14ac:dyDescent="0.25">
      <c r="A127" t="s">
        <v>43</v>
      </c>
      <c r="F127" s="74">
        <f t="shared" si="16"/>
        <v>0</v>
      </c>
      <c r="J127" s="74">
        <f t="shared" si="17"/>
        <v>0</v>
      </c>
      <c r="L127" s="74">
        <f t="shared" si="18"/>
        <v>0</v>
      </c>
      <c r="N127" s="74">
        <f t="shared" si="19"/>
        <v>0</v>
      </c>
      <c r="P127" s="74">
        <f t="shared" si="20"/>
        <v>0</v>
      </c>
      <c r="R127" s="74">
        <f t="shared" si="21"/>
        <v>0</v>
      </c>
      <c r="T127" s="74">
        <f t="shared" si="22"/>
        <v>0</v>
      </c>
      <c r="V127" s="74">
        <f t="shared" si="23"/>
        <v>0</v>
      </c>
      <c r="X127" s="74">
        <f t="shared" si="24"/>
        <v>0</v>
      </c>
    </row>
    <row r="128" spans="1:24" x14ac:dyDescent="0.25">
      <c r="A128" t="s">
        <v>44</v>
      </c>
      <c r="F128" s="74">
        <f t="shared" si="16"/>
        <v>0</v>
      </c>
      <c r="J128" s="74">
        <f t="shared" si="17"/>
        <v>0</v>
      </c>
      <c r="L128" s="74">
        <f t="shared" si="18"/>
        <v>0</v>
      </c>
      <c r="N128" s="74">
        <f t="shared" si="19"/>
        <v>0</v>
      </c>
      <c r="P128" s="74">
        <f t="shared" si="20"/>
        <v>0</v>
      </c>
      <c r="R128" s="74">
        <f t="shared" si="21"/>
        <v>0</v>
      </c>
      <c r="T128" s="74">
        <f t="shared" si="22"/>
        <v>0</v>
      </c>
      <c r="V128" s="74">
        <f t="shared" si="23"/>
        <v>0</v>
      </c>
      <c r="X128" s="74">
        <f t="shared" si="24"/>
        <v>0</v>
      </c>
    </row>
    <row r="129" spans="1:24" x14ac:dyDescent="0.25">
      <c r="A129" t="s">
        <v>45</v>
      </c>
      <c r="F129" s="74">
        <f t="shared" si="16"/>
        <v>0</v>
      </c>
      <c r="J129" s="74">
        <f t="shared" si="17"/>
        <v>0</v>
      </c>
      <c r="L129" s="74">
        <f t="shared" si="18"/>
        <v>0</v>
      </c>
      <c r="N129" s="74">
        <f t="shared" si="19"/>
        <v>0</v>
      </c>
      <c r="P129" s="74">
        <f t="shared" si="20"/>
        <v>0</v>
      </c>
      <c r="R129" s="74">
        <f t="shared" si="21"/>
        <v>0</v>
      </c>
      <c r="T129" s="74">
        <f t="shared" si="22"/>
        <v>0</v>
      </c>
      <c r="V129" s="74">
        <f t="shared" si="23"/>
        <v>0</v>
      </c>
      <c r="X129" s="74">
        <f t="shared" si="24"/>
        <v>0</v>
      </c>
    </row>
    <row r="130" spans="1:24" x14ac:dyDescent="0.25">
      <c r="A130" t="s">
        <v>46</v>
      </c>
      <c r="F130" s="74">
        <f t="shared" si="16"/>
        <v>0</v>
      </c>
      <c r="J130" s="74">
        <f t="shared" si="17"/>
        <v>0</v>
      </c>
      <c r="L130" s="74">
        <f t="shared" si="18"/>
        <v>0</v>
      </c>
      <c r="N130" s="74">
        <f t="shared" si="19"/>
        <v>0</v>
      </c>
      <c r="P130" s="74">
        <f t="shared" si="20"/>
        <v>0</v>
      </c>
      <c r="R130" s="74">
        <f t="shared" si="21"/>
        <v>0</v>
      </c>
      <c r="T130" s="74">
        <f t="shared" si="22"/>
        <v>0</v>
      </c>
      <c r="V130" s="74">
        <f t="shared" si="23"/>
        <v>0</v>
      </c>
      <c r="X130" s="74">
        <f t="shared" si="24"/>
        <v>0</v>
      </c>
    </row>
    <row r="131" spans="1:24" x14ac:dyDescent="0.25">
      <c r="A131" t="s">
        <v>47</v>
      </c>
      <c r="F131" s="74">
        <f t="shared" si="16"/>
        <v>0</v>
      </c>
      <c r="J131" s="74">
        <f t="shared" si="17"/>
        <v>0</v>
      </c>
      <c r="L131" s="74">
        <f t="shared" si="18"/>
        <v>0</v>
      </c>
      <c r="N131" s="74">
        <f t="shared" si="19"/>
        <v>0</v>
      </c>
      <c r="P131" s="74">
        <f t="shared" si="20"/>
        <v>0</v>
      </c>
      <c r="R131" s="74">
        <f t="shared" si="21"/>
        <v>0</v>
      </c>
      <c r="T131" s="74">
        <f t="shared" si="22"/>
        <v>0</v>
      </c>
      <c r="V131" s="74">
        <f t="shared" si="23"/>
        <v>0</v>
      </c>
      <c r="X131" s="74">
        <f t="shared" si="24"/>
        <v>0</v>
      </c>
    </row>
    <row r="132" spans="1:24" ht="13.5" customHeight="1" thickBot="1" x14ac:dyDescent="0.3">
      <c r="A132" t="s">
        <v>48</v>
      </c>
      <c r="F132" s="74">
        <f t="shared" si="16"/>
        <v>0</v>
      </c>
      <c r="J132" s="74">
        <f t="shared" si="17"/>
        <v>0</v>
      </c>
      <c r="L132" s="74">
        <f t="shared" si="18"/>
        <v>0</v>
      </c>
      <c r="N132" s="74">
        <f t="shared" si="19"/>
        <v>0</v>
      </c>
      <c r="P132" s="74">
        <f t="shared" si="20"/>
        <v>0</v>
      </c>
      <c r="R132" s="74">
        <f t="shared" si="21"/>
        <v>0</v>
      </c>
      <c r="T132" s="74">
        <f t="shared" si="22"/>
        <v>0</v>
      </c>
      <c r="V132" s="74">
        <f t="shared" si="23"/>
        <v>0</v>
      </c>
      <c r="X132" s="74">
        <f t="shared" si="24"/>
        <v>0</v>
      </c>
    </row>
    <row r="133" spans="1:24" ht="13" x14ac:dyDescent="0.3">
      <c r="A133" s="53" t="s">
        <v>49</v>
      </c>
      <c r="F133" s="62"/>
      <c r="G133" s="62"/>
      <c r="H133" s="62"/>
      <c r="I133" s="75"/>
      <c r="J133" s="88">
        <f>SUM(J123:J132)</f>
        <v>9.0899999999999963</v>
      </c>
      <c r="K133" s="75"/>
      <c r="L133" s="88">
        <f>SUM(L123:L132)</f>
        <v>5.4799999999999969</v>
      </c>
      <c r="M133" s="75"/>
      <c r="N133" s="88">
        <f>SUM(N123:N132)</f>
        <v>11.279999999999996</v>
      </c>
      <c r="O133" s="75"/>
      <c r="P133" s="88">
        <f>SUM(P123:P132)</f>
        <v>16.930000000000003</v>
      </c>
      <c r="Q133" s="75"/>
      <c r="R133" s="88">
        <f>SUM(R123:R132)</f>
        <v>22.609999999999996</v>
      </c>
      <c r="S133" s="75"/>
      <c r="T133" s="88">
        <f>SUM(T123:T132)</f>
        <v>28.279999999999994</v>
      </c>
      <c r="U133" s="75"/>
      <c r="V133" s="88">
        <f>SUM(V123:V132)</f>
        <v>33.949999999999989</v>
      </c>
      <c r="W133" s="75"/>
      <c r="X133" s="88">
        <f>SUM(X123:X132)</f>
        <v>39.619999999999997</v>
      </c>
    </row>
    <row r="135" spans="1:24" ht="13" x14ac:dyDescent="0.3">
      <c r="A135" s="39" t="s">
        <v>167</v>
      </c>
    </row>
    <row r="136" spans="1:24" x14ac:dyDescent="0.25">
      <c r="A136" t="s">
        <v>168</v>
      </c>
      <c r="J136" s="32">
        <f>J$6</f>
        <v>43.61</v>
      </c>
      <c r="L136" s="32">
        <f>L$6</f>
        <v>40</v>
      </c>
      <c r="N136" s="32">
        <f>N$6</f>
        <v>45.8</v>
      </c>
      <c r="P136" s="32">
        <f>P$6</f>
        <v>51.45</v>
      </c>
      <c r="R136" s="32">
        <f>R$6</f>
        <v>57.13</v>
      </c>
      <c r="T136" s="32">
        <f>T$6</f>
        <v>62.8</v>
      </c>
      <c r="V136" s="32">
        <f>V$6</f>
        <v>68.47</v>
      </c>
      <c r="X136" s="32">
        <f>X$6</f>
        <v>74.14</v>
      </c>
    </row>
    <row r="137" spans="1:24" x14ac:dyDescent="0.25">
      <c r="A137" t="s">
        <v>169</v>
      </c>
      <c r="J137" s="10">
        <v>34.520000000000003</v>
      </c>
      <c r="L137" s="32">
        <f>J137</f>
        <v>34.520000000000003</v>
      </c>
      <c r="N137" s="32">
        <f>L137</f>
        <v>34.520000000000003</v>
      </c>
      <c r="P137" s="32">
        <f>N137</f>
        <v>34.520000000000003</v>
      </c>
      <c r="R137" s="32">
        <f>P137</f>
        <v>34.520000000000003</v>
      </c>
      <c r="T137" s="32">
        <f>R137</f>
        <v>34.520000000000003</v>
      </c>
      <c r="V137" s="32">
        <f>T137</f>
        <v>34.520000000000003</v>
      </c>
      <c r="X137" s="32">
        <f>V137</f>
        <v>34.520000000000003</v>
      </c>
    </row>
    <row r="138" spans="1:24" x14ac:dyDescent="0.25">
      <c r="A138" t="s">
        <v>170</v>
      </c>
      <c r="J138" s="17">
        <v>3</v>
      </c>
      <c r="L138" s="74">
        <f>J138</f>
        <v>3</v>
      </c>
      <c r="N138" s="74">
        <f>L138</f>
        <v>3</v>
      </c>
      <c r="P138" s="74">
        <f>N138</f>
        <v>3</v>
      </c>
      <c r="R138" s="74">
        <f>P138</f>
        <v>3</v>
      </c>
      <c r="T138" s="74">
        <f>R138</f>
        <v>3</v>
      </c>
      <c r="V138" s="74">
        <f>T138</f>
        <v>3</v>
      </c>
      <c r="X138" s="74">
        <f>V138</f>
        <v>3</v>
      </c>
    </row>
    <row r="139" spans="1:24" ht="13" x14ac:dyDescent="0.3">
      <c r="A139" t="s">
        <v>171</v>
      </c>
      <c r="J139" s="41">
        <v>0.34</v>
      </c>
      <c r="L139" s="56">
        <f>J139</f>
        <v>0.34</v>
      </c>
      <c r="N139" s="56">
        <f>L139</f>
        <v>0.34</v>
      </c>
      <c r="P139" s="56">
        <f>N139</f>
        <v>0.34</v>
      </c>
      <c r="R139" s="56">
        <f>P139</f>
        <v>0.34</v>
      </c>
      <c r="T139" s="56">
        <f>R139</f>
        <v>0.34</v>
      </c>
      <c r="V139" s="56">
        <f>T139</f>
        <v>0.34</v>
      </c>
      <c r="X139" s="56">
        <f>V139</f>
        <v>0.34</v>
      </c>
    </row>
    <row r="140" spans="1:24" ht="12.75" customHeight="1" x14ac:dyDescent="0.3">
      <c r="A140" t="s">
        <v>172</v>
      </c>
      <c r="J140" s="41">
        <v>2.4E-2</v>
      </c>
      <c r="L140" s="56">
        <f>J140</f>
        <v>2.4E-2</v>
      </c>
      <c r="N140" s="56">
        <f>L140</f>
        <v>2.4E-2</v>
      </c>
      <c r="P140" s="56">
        <f>N140</f>
        <v>2.4E-2</v>
      </c>
      <c r="R140" s="56">
        <f>P140</f>
        <v>2.4E-2</v>
      </c>
      <c r="T140" s="56">
        <f>R140</f>
        <v>2.4E-2</v>
      </c>
      <c r="V140" s="56">
        <f>T140</f>
        <v>2.4E-2</v>
      </c>
      <c r="X140" s="56">
        <f>V140</f>
        <v>2.4E-2</v>
      </c>
    </row>
    <row r="141" spans="1:24" ht="13" x14ac:dyDescent="0.3">
      <c r="A141" t="s">
        <v>173</v>
      </c>
      <c r="J141" s="41">
        <v>0.04</v>
      </c>
      <c r="L141" s="56">
        <f>J141</f>
        <v>0.04</v>
      </c>
      <c r="N141" s="56">
        <f>L141</f>
        <v>0.04</v>
      </c>
      <c r="P141" s="56">
        <f>N141</f>
        <v>0.04</v>
      </c>
      <c r="R141" s="56">
        <f>P141</f>
        <v>0.04</v>
      </c>
      <c r="T141" s="56">
        <f>R141</f>
        <v>0.04</v>
      </c>
      <c r="V141" s="56">
        <f>T141</f>
        <v>0.04</v>
      </c>
      <c r="X141" s="56">
        <f>V141</f>
        <v>0.04</v>
      </c>
    </row>
    <row r="142" spans="1:24" ht="12.75" customHeight="1" x14ac:dyDescent="0.25">
      <c r="A142" t="s">
        <v>174</v>
      </c>
      <c r="J142" s="133">
        <f>(LN(J136/J137)+(J141-J140+J139^2/2)*J138)/(J139*SQRT(J138))</f>
        <v>0.77288117179544535</v>
      </c>
      <c r="L142" s="133">
        <f>(LN(L136/L137)+(L141-L140+L139^2/2)*L138)/(L139*SQRT(L138))</f>
        <v>0.62615434613076604</v>
      </c>
      <c r="N142" s="133">
        <f>(LN(N136/N137)+(N141-N140+N139^2/2)*N138)/(N139*SQRT(N138))</f>
        <v>0.85608347443975097</v>
      </c>
      <c r="P142" s="133">
        <f>(LN(P136/P137)+(P141-P140+P139^2/2)*P138)/(P139*SQRT(P138))</f>
        <v>1.0536160088604327</v>
      </c>
      <c r="R142" s="133">
        <f>(LN(R136/R137)+(R141-R140+R139^2/2)*R138)/(R139*SQRT(R138))</f>
        <v>1.2314380416286574</v>
      </c>
      <c r="T142" s="133">
        <f>(LN(T136/T137)+(T141-T140+T139^2/2)*T138)/(T139*SQRT(T138))</f>
        <v>1.3921209057263493</v>
      </c>
      <c r="V142" s="133">
        <f>(LN(V136/V137)+(V141-V140+V139^2/2)*V138)/(V139*SQRT(V138))</f>
        <v>1.5389047734585168</v>
      </c>
      <c r="X142" s="133">
        <f>(LN(X136/X137)+(X141-X140+X139^2/2)*X138)/(X139*SQRT(X138))</f>
        <v>1.6740038951979501</v>
      </c>
    </row>
    <row r="143" spans="1:24" x14ac:dyDescent="0.25">
      <c r="A143" t="s">
        <v>175</v>
      </c>
      <c r="J143" s="133">
        <f>J142-J139*SQRT(J138)</f>
        <v>0.18398389722202702</v>
      </c>
      <c r="L143" s="133">
        <f>L142-L139*SQRT(L138)</f>
        <v>3.7257071557347698E-2</v>
      </c>
      <c r="N143" s="133">
        <f>N142-N139*SQRT(N138)</f>
        <v>0.26718619986633263</v>
      </c>
      <c r="P143" s="133">
        <f>P142-P139*SQRT(P138)</f>
        <v>0.46471873428701438</v>
      </c>
      <c r="R143" s="133">
        <f>R142-R139*SQRT(R138)</f>
        <v>0.6425407670552391</v>
      </c>
      <c r="T143" s="133">
        <f>T142-T139*SQRT(T138)</f>
        <v>0.80322363115293094</v>
      </c>
      <c r="V143" s="133">
        <f>V142-V139*SQRT(V138)</f>
        <v>0.9500074988850985</v>
      </c>
      <c r="X143" s="133">
        <f>X142-X139*SQRT(X138)</f>
        <v>1.0851066206245319</v>
      </c>
    </row>
    <row r="144" spans="1:24" x14ac:dyDescent="0.25">
      <c r="A144" t="s">
        <v>176</v>
      </c>
      <c r="J144" s="133">
        <f>NORMSDIST(J142)</f>
        <v>0.78020364572042711</v>
      </c>
      <c r="L144" s="133">
        <f>NORMSDIST(L142)</f>
        <v>0.73439314559457225</v>
      </c>
      <c r="N144" s="133">
        <f>NORMSDIST(N142)</f>
        <v>0.80402419562721505</v>
      </c>
      <c r="P144" s="133">
        <f>NORMSDIST(P142)</f>
        <v>0.85397062161062709</v>
      </c>
      <c r="R144" s="133">
        <f>NORMSDIST(R142)</f>
        <v>0.89092046182208251</v>
      </c>
      <c r="T144" s="133">
        <f>NORMSDIST(T142)</f>
        <v>0.91805710569639587</v>
      </c>
      <c r="V144" s="133">
        <f>NORMSDIST(V142)</f>
        <v>0.93808622716831536</v>
      </c>
      <c r="X144" s="133">
        <f>NORMSDIST(X142)</f>
        <v>0.95293508308825803</v>
      </c>
    </row>
    <row r="145" spans="1:24" ht="13.5" customHeight="1" thickBot="1" x14ac:dyDescent="0.3">
      <c r="A145" t="s">
        <v>177</v>
      </c>
      <c r="J145" s="133">
        <f>NORMSDIST(J143)</f>
        <v>0.57298695628217433</v>
      </c>
      <c r="L145" s="133">
        <f>NORMSDIST(L143)</f>
        <v>0.51485998317785442</v>
      </c>
      <c r="N145" s="133">
        <f>NORMSDIST(N143)</f>
        <v>0.60533709952519865</v>
      </c>
      <c r="P145" s="133">
        <f>NORMSDIST(P143)</f>
        <v>0.67893355474666939</v>
      </c>
      <c r="R145" s="133">
        <f>NORMSDIST(R143)</f>
        <v>0.73973893577459249</v>
      </c>
      <c r="T145" s="133">
        <f>NORMSDIST(T143)</f>
        <v>0.78907725538460105</v>
      </c>
      <c r="V145" s="133">
        <f>NORMSDIST(V143)</f>
        <v>0.82894577884440479</v>
      </c>
      <c r="X145" s="133">
        <f>NORMSDIST(X143)</f>
        <v>0.86106278231276823</v>
      </c>
    </row>
    <row r="146" spans="1:24" s="19" customFormat="1" ht="13" x14ac:dyDescent="0.3">
      <c r="B146" s="19" t="s">
        <v>178</v>
      </c>
      <c r="J146" s="134">
        <f>J136*EXP(-J140*J138)*J144-J137*EXP(-J141*J138)*J145</f>
        <v>14.118165472646009</v>
      </c>
      <c r="L146" s="134">
        <f>L136*EXP(-L140*L138)*L144-L137*EXP(-L141*L138)*L145</f>
        <v>11.571813150160454</v>
      </c>
      <c r="N146" s="134">
        <f>N136*EXP(-N140*N138)*N144-N137*EXP(-N141*N138)*N145</f>
        <v>15.73285710142116</v>
      </c>
      <c r="P146" s="134">
        <f>P136*EXP(-P140*P138)*P144-P137*EXP(-P141*P138)*P145</f>
        <v>20.097974395915628</v>
      </c>
      <c r="R146" s="134">
        <f>R136*EXP(-R140*R138)*R144-R137*EXP(-R141*R138)*R145</f>
        <v>24.71421535115071</v>
      </c>
      <c r="T146" s="134">
        <f>T136*EXP(-T140*T138)*T144-T137*EXP(-T141*T138)*T145</f>
        <v>29.490036819755865</v>
      </c>
      <c r="V146" s="134">
        <f>V136*EXP(-V140*V138)*V144-V137*EXP(-V141*V138)*V145</f>
        <v>34.389297310050665</v>
      </c>
      <c r="X146" s="134">
        <f>X136*EXP(-X140*X138)*X144-X137*EXP(-X141*X138)*X145</f>
        <v>39.379849620645075</v>
      </c>
    </row>
    <row r="148" spans="1:24" ht="13" x14ac:dyDescent="0.3">
      <c r="A148" s="39" t="s">
        <v>179</v>
      </c>
    </row>
    <row r="149" spans="1:24" x14ac:dyDescent="0.25">
      <c r="A149" t="str">
        <f t="shared" ref="A149:A158" si="25">A136</f>
        <v>Stock Price</v>
      </c>
      <c r="J149" s="32">
        <f>J$6</f>
        <v>43.61</v>
      </c>
      <c r="L149" s="32">
        <f>L$6</f>
        <v>40</v>
      </c>
      <c r="N149" s="32">
        <f>N$6</f>
        <v>45.8</v>
      </c>
      <c r="P149" s="32">
        <f>P$6</f>
        <v>51.45</v>
      </c>
      <c r="R149" s="32">
        <f>R$6</f>
        <v>57.13</v>
      </c>
      <c r="T149" s="32">
        <f>T$6</f>
        <v>62.8</v>
      </c>
      <c r="V149" s="32">
        <f>V$6</f>
        <v>68.47</v>
      </c>
      <c r="X149" s="32">
        <f>X$6</f>
        <v>74.14</v>
      </c>
    </row>
    <row r="150" spans="1:24" x14ac:dyDescent="0.25">
      <c r="A150" t="str">
        <f t="shared" si="25"/>
        <v>Strike Price</v>
      </c>
      <c r="J150" s="10">
        <v>34.520000000000003</v>
      </c>
      <c r="L150" s="32">
        <f>J150</f>
        <v>34.520000000000003</v>
      </c>
      <c r="N150" s="32">
        <f>L150</f>
        <v>34.520000000000003</v>
      </c>
      <c r="P150" s="32">
        <f>N150</f>
        <v>34.520000000000003</v>
      </c>
      <c r="R150" s="32">
        <f>P150</f>
        <v>34.520000000000003</v>
      </c>
      <c r="T150" s="32">
        <f>R150</f>
        <v>34.520000000000003</v>
      </c>
      <c r="V150" s="32">
        <f>T150</f>
        <v>34.520000000000003</v>
      </c>
      <c r="X150" s="32">
        <f>V150</f>
        <v>34.520000000000003</v>
      </c>
    </row>
    <row r="151" spans="1:24" x14ac:dyDescent="0.25">
      <c r="A151" t="str">
        <f t="shared" si="25"/>
        <v>Expiration (yrs)</v>
      </c>
      <c r="J151" s="17">
        <v>4.3</v>
      </c>
      <c r="L151" s="74">
        <f>J151</f>
        <v>4.3</v>
      </c>
      <c r="N151" s="74">
        <f>L151</f>
        <v>4.3</v>
      </c>
      <c r="P151" s="74">
        <f>N151</f>
        <v>4.3</v>
      </c>
      <c r="R151" s="74">
        <f>P151</f>
        <v>4.3</v>
      </c>
      <c r="T151" s="74">
        <f>R151</f>
        <v>4.3</v>
      </c>
      <c r="V151" s="74">
        <f>T151</f>
        <v>4.3</v>
      </c>
      <c r="X151" s="74">
        <f>V151</f>
        <v>4.3</v>
      </c>
    </row>
    <row r="152" spans="1:24" ht="13" x14ac:dyDescent="0.3">
      <c r="A152" t="str">
        <f t="shared" si="25"/>
        <v>Volatility</v>
      </c>
      <c r="J152" s="56">
        <f>J139</f>
        <v>0.34</v>
      </c>
      <c r="L152" s="56">
        <f>L139</f>
        <v>0.34</v>
      </c>
      <c r="N152" s="56">
        <f>N139</f>
        <v>0.34</v>
      </c>
      <c r="P152" s="56">
        <f>P139</f>
        <v>0.34</v>
      </c>
      <c r="R152" s="56">
        <f>R139</f>
        <v>0.34</v>
      </c>
      <c r="T152" s="56">
        <f>T139</f>
        <v>0.34</v>
      </c>
      <c r="V152" s="56">
        <f>V139</f>
        <v>0.34</v>
      </c>
      <c r="X152" s="56">
        <f>X139</f>
        <v>0.34</v>
      </c>
    </row>
    <row r="153" spans="1:24" ht="13" x14ac:dyDescent="0.3">
      <c r="A153" t="str">
        <f t="shared" si="25"/>
        <v>Dividend Yield</v>
      </c>
      <c r="J153" s="56">
        <f>J140</f>
        <v>2.4E-2</v>
      </c>
      <c r="L153" s="56">
        <f>L140</f>
        <v>2.4E-2</v>
      </c>
      <c r="N153" s="56">
        <f>N140</f>
        <v>2.4E-2</v>
      </c>
      <c r="P153" s="56">
        <f>P140</f>
        <v>2.4E-2</v>
      </c>
      <c r="R153" s="56">
        <f>R140</f>
        <v>2.4E-2</v>
      </c>
      <c r="T153" s="56">
        <f>T140</f>
        <v>2.4E-2</v>
      </c>
      <c r="V153" s="56">
        <f>V140</f>
        <v>2.4E-2</v>
      </c>
      <c r="X153" s="56">
        <f>X140</f>
        <v>2.4E-2</v>
      </c>
    </row>
    <row r="154" spans="1:24" ht="13" x14ac:dyDescent="0.3">
      <c r="A154" t="str">
        <f t="shared" si="25"/>
        <v>Risk-Free Rate</v>
      </c>
      <c r="J154" s="56">
        <f>J141</f>
        <v>0.04</v>
      </c>
      <c r="L154" s="56">
        <f>L141</f>
        <v>0.04</v>
      </c>
      <c r="N154" s="56">
        <f>N141</f>
        <v>0.04</v>
      </c>
      <c r="P154" s="56">
        <f>P141</f>
        <v>0.04</v>
      </c>
      <c r="R154" s="56">
        <f>R141</f>
        <v>0.04</v>
      </c>
      <c r="T154" s="56">
        <f>T141</f>
        <v>0.04</v>
      </c>
      <c r="V154" s="56">
        <f>V141</f>
        <v>0.04</v>
      </c>
      <c r="X154" s="56">
        <f>X141</f>
        <v>0.04</v>
      </c>
    </row>
    <row r="155" spans="1:24" x14ac:dyDescent="0.25">
      <c r="A155" t="str">
        <f t="shared" si="25"/>
        <v>d1</v>
      </c>
      <c r="J155" s="133">
        <f>(LN(J149/J150)+(J154-J153+J152^2/2)*J151)/(J152*SQRT(J151))</f>
        <v>0.78164131479156063</v>
      </c>
      <c r="L155" s="133">
        <f>(LN(L149/L150)+(L154-L153+L152^2/2)*L151)/(L152*SQRT(L151))</f>
        <v>0.65908493563552839</v>
      </c>
      <c r="N155" s="133">
        <f>(LN(N149/N150)+(N154-N153+N152^2/2)*N151)/(N152*SQRT(N151))</f>
        <v>0.85113762470856247</v>
      </c>
      <c r="P155" s="133">
        <f>(LN(P149/P150)+(P154-P153+P152^2/2)*P151)/(P152*SQRT(P151))</f>
        <v>1.0161304409468048</v>
      </c>
      <c r="R155" s="133">
        <f>(LN(R149/R150)+(R154-R153+R152^2/2)*R151)/(R152*SQRT(R151))</f>
        <v>1.1646596848087545</v>
      </c>
      <c r="T155" s="133">
        <f>(LN(T149/T150)+(T154-T153+T152^2/2)*T151)/(T152*SQRT(T151))</f>
        <v>1.298873111201815</v>
      </c>
      <c r="V155" s="133">
        <f>(LN(V149/V150)+(V154-V153+V152^2/2)*V151)/(V152*SQRT(V151))</f>
        <v>1.4214771358324856</v>
      </c>
      <c r="X155" s="133">
        <f>(LN(X149/X150)+(X154-X153+X152^2/2)*X151)/(X152*SQRT(X151))</f>
        <v>1.5343212535494728</v>
      </c>
    </row>
    <row r="156" spans="1:24" x14ac:dyDescent="0.25">
      <c r="A156" t="str">
        <f t="shared" si="25"/>
        <v>d2</v>
      </c>
      <c r="J156" s="133">
        <f>J155-J152*SQRT(J151)</f>
        <v>7.6602308778418116E-2</v>
      </c>
      <c r="L156" s="133">
        <f>L155-L152*SQRT(L151)</f>
        <v>-4.595407037761412E-2</v>
      </c>
      <c r="N156" s="133">
        <f>N155-N152*SQRT(N151)</f>
        <v>0.14609861869541996</v>
      </c>
      <c r="P156" s="133">
        <f>P155-P152*SQRT(P151)</f>
        <v>0.31109143493366231</v>
      </c>
      <c r="R156" s="133">
        <f>R155-R152*SQRT(R151)</f>
        <v>0.45962067879561197</v>
      </c>
      <c r="T156" s="133">
        <f>T155-T152*SQRT(T151)</f>
        <v>0.59383410518867252</v>
      </c>
      <c r="V156" s="133">
        <f>V155-V152*SQRT(V151)</f>
        <v>0.71643812981934307</v>
      </c>
      <c r="X156" s="133">
        <f>X155-X152*SQRT(X151)</f>
        <v>0.82928224753633029</v>
      </c>
    </row>
    <row r="157" spans="1:24" x14ac:dyDescent="0.25">
      <c r="A157" t="str">
        <f t="shared" si="25"/>
        <v>N(d1)</v>
      </c>
      <c r="J157" s="133">
        <f>NORMSDIST(J155)</f>
        <v>0.78278730032344468</v>
      </c>
      <c r="L157" s="133">
        <f>NORMSDIST(L155)</f>
        <v>0.7450793856570388</v>
      </c>
      <c r="N157" s="133">
        <f>NORMSDIST(N155)</f>
        <v>0.80265354643325293</v>
      </c>
      <c r="P157" s="133">
        <f>NORMSDIST(P155)</f>
        <v>0.84521636259439026</v>
      </c>
      <c r="R157" s="133">
        <f>NORMSDIST(R155)</f>
        <v>0.87792161300359906</v>
      </c>
      <c r="T157" s="133">
        <f>NORMSDIST(T155)</f>
        <v>0.90300626058824474</v>
      </c>
      <c r="V157" s="133">
        <f>NORMSDIST(V155)</f>
        <v>0.92241095204171675</v>
      </c>
      <c r="X157" s="133">
        <f>NORMSDIST(X155)</f>
        <v>0.93752468020893298</v>
      </c>
    </row>
    <row r="158" spans="1:24" ht="13.5" customHeight="1" thickBot="1" x14ac:dyDescent="0.3">
      <c r="A158" t="str">
        <f t="shared" si="25"/>
        <v>N(d2)</v>
      </c>
      <c r="J158" s="133">
        <f>NORMSDIST(J156)</f>
        <v>0.53053003889353445</v>
      </c>
      <c r="L158" s="133">
        <f>NORMSDIST(L156)</f>
        <v>0.48167342886735798</v>
      </c>
      <c r="N158" s="133">
        <f>NORMSDIST(N156)</f>
        <v>0.55807823158049163</v>
      </c>
      <c r="P158" s="133">
        <f>NORMSDIST(P156)</f>
        <v>0.6221344438685863</v>
      </c>
      <c r="R158" s="133">
        <f>NORMSDIST(R156)</f>
        <v>0.67710574317786976</v>
      </c>
      <c r="T158" s="133">
        <f>NORMSDIST(T156)</f>
        <v>0.72368846217804661</v>
      </c>
      <c r="V158" s="133">
        <f>NORMSDIST(V156)</f>
        <v>0.76313957107006281</v>
      </c>
      <c r="X158" s="133">
        <f>NORMSDIST(X156)</f>
        <v>0.79652764307773904</v>
      </c>
    </row>
    <row r="159" spans="1:24" ht="13" x14ac:dyDescent="0.3">
      <c r="A159" s="19"/>
      <c r="B159" s="19" t="s">
        <v>178</v>
      </c>
      <c r="J159" s="134">
        <f>J149*EXP(-J153*J151)*J157-J150*EXP(-J154*J151)*J158</f>
        <v>15.370149562493944</v>
      </c>
      <c r="K159" s="19"/>
      <c r="L159" s="134">
        <f>L149*EXP(-L153*L151)*L157-L150*EXP(-L154*L151)*L158</f>
        <v>12.880975215105599</v>
      </c>
      <c r="M159" s="19"/>
      <c r="N159" s="134">
        <f>N149*EXP(-N153*N151)*N157-N150*EXP(-N154*N151)*N158</f>
        <v>16.936326577222644</v>
      </c>
      <c r="O159" s="19"/>
      <c r="P159" s="134">
        <f>P149*EXP(-P153*P151)*P157-P150*EXP(-P154*P151)*P158</f>
        <v>21.139979862636228</v>
      </c>
      <c r="Q159" s="19"/>
      <c r="R159" s="134">
        <f>R149*EXP(-R153*R151)*R157-R150*EXP(-R154*R151)*R158</f>
        <v>25.557566493725052</v>
      </c>
      <c r="S159" s="19"/>
      <c r="T159" s="134">
        <f>T149*EXP(-T153*T151)*T157-T150*EXP(-T154*T151)*T158</f>
        <v>30.114208503069996</v>
      </c>
      <c r="U159" s="19"/>
      <c r="V159" s="134">
        <f>V149*EXP(-V153*V151)*V157-V150*EXP(-V154*V151)*V158</f>
        <v>34.783926287728889</v>
      </c>
      <c r="W159" s="19"/>
      <c r="X159" s="134">
        <f>X149*EXP(-X153*X151)*X157-X150*EXP(-X154*X151)*X158</f>
        <v>39.541401513455071</v>
      </c>
    </row>
  </sheetData>
  <phoneticPr fontId="12" type="noConversion"/>
  <pageMargins left="0.75" right="0.75" top="1" bottom="1" header="0.5" footer="0.5"/>
  <headerFooter alignWithMargins="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51"/>
  <sheetViews>
    <sheetView showGridLines="0" zoomScale="110" zoomScaleNormal="110" workbookViewId="0">
      <selection activeCell="S52" sqref="S52"/>
    </sheetView>
  </sheetViews>
  <sheetFormatPr defaultColWidth="8.81640625" defaultRowHeight="12.5" x14ac:dyDescent="0.25"/>
  <cols>
    <col min="1" max="1" width="1.6328125" customWidth="1"/>
    <col min="2" max="2" width="9.6328125" customWidth="1"/>
    <col min="3" max="3" width="1.6328125" customWidth="1"/>
    <col min="4" max="4" width="9.6328125" customWidth="1"/>
    <col min="5" max="5" width="1.6328125" customWidth="1"/>
    <col min="6" max="6" width="9.6328125" customWidth="1"/>
    <col min="7" max="7" width="1.6328125" customWidth="1"/>
    <col min="8" max="8" width="10.6328125" customWidth="1"/>
    <col min="9" max="9" width="1.6328125" customWidth="1"/>
    <col min="10" max="10" width="10.6328125" customWidth="1"/>
    <col min="11" max="11" width="1.6328125" customWidth="1"/>
    <col min="12" max="12" width="10.6328125" customWidth="1"/>
    <col min="13" max="13" width="1.6328125" customWidth="1"/>
    <col min="14" max="14" width="10.6328125" customWidth="1"/>
    <col min="15" max="15" width="1.6328125" customWidth="1"/>
    <col min="16" max="16" width="10.6328125" customWidth="1"/>
  </cols>
  <sheetData>
    <row r="1" spans="1:16" ht="24" customHeight="1" thickBot="1" x14ac:dyDescent="0.5">
      <c r="A1" s="1" t="s">
        <v>111</v>
      </c>
      <c r="B1" s="2"/>
      <c r="C1" s="2"/>
      <c r="D1" s="2"/>
      <c r="E1" s="2"/>
      <c r="F1" s="2"/>
      <c r="G1" s="2"/>
      <c r="H1" s="2"/>
      <c r="I1" s="2"/>
      <c r="J1" s="2"/>
      <c r="K1" s="2"/>
      <c r="L1" s="2"/>
      <c r="M1" s="2"/>
      <c r="N1" s="2"/>
      <c r="O1" s="2"/>
      <c r="P1" s="148"/>
    </row>
    <row r="2" spans="1:16" ht="13" x14ac:dyDescent="0.3">
      <c r="A2" s="90" t="s">
        <v>1</v>
      </c>
      <c r="L2" s="77"/>
      <c r="M2" s="77"/>
      <c r="N2" s="77"/>
      <c r="O2" s="77"/>
      <c r="P2" s="149"/>
    </row>
    <row r="3" spans="1:16" ht="13" x14ac:dyDescent="0.3">
      <c r="P3" s="19"/>
    </row>
    <row r="4" spans="1:16" ht="13.5" thickBot="1" x14ac:dyDescent="0.35">
      <c r="A4" t="s">
        <v>248</v>
      </c>
      <c r="F4" s="97">
        <f>CHOOSE(case,PPR!I5,PPR!K5,PPR!M5,PPR!O5,PPR!Q5,PPR!S5,PPR!U5)</f>
        <v>51.45</v>
      </c>
      <c r="G4" s="97"/>
      <c r="H4" s="98" t="str">
        <f>acq</f>
        <v>Bath &amp; Body Works, Inc.</v>
      </c>
      <c r="J4" s="98" t="str">
        <f>tgt</f>
        <v>Tapestry, Inc.</v>
      </c>
      <c r="L4" s="7" t="s">
        <v>249</v>
      </c>
      <c r="M4" s="31"/>
      <c r="N4" s="31"/>
      <c r="P4" s="82" t="s">
        <v>251</v>
      </c>
    </row>
    <row r="5" spans="1:16" ht="13.5" customHeight="1" thickBot="1" x14ac:dyDescent="0.35">
      <c r="H5" s="99">
        <f>Assumptions!H31</f>
        <v>45107</v>
      </c>
      <c r="J5" s="99">
        <f>Assumptions!L31</f>
        <v>45107</v>
      </c>
      <c r="L5" s="85" t="s">
        <v>250</v>
      </c>
      <c r="N5" s="85" t="s">
        <v>252</v>
      </c>
      <c r="P5" s="85">
        <f>H5</f>
        <v>45107</v>
      </c>
    </row>
    <row r="6" spans="1:16" ht="13" x14ac:dyDescent="0.3">
      <c r="A6" s="39" t="s">
        <v>112</v>
      </c>
    </row>
    <row r="7" spans="1:16" x14ac:dyDescent="0.25">
      <c r="A7" t="s">
        <v>113</v>
      </c>
    </row>
    <row r="8" spans="1:16" x14ac:dyDescent="0.25">
      <c r="B8" t="s">
        <v>114</v>
      </c>
      <c r="H8" s="23">
        <v>1046</v>
      </c>
      <c r="J8" s="23">
        <v>651.79999999999995</v>
      </c>
      <c r="N8" s="113">
        <f>-CHOOSE(case,'S&amp;U'!H31,'S&amp;U'!J31,'S&amp;U'!L31,'S&amp;U'!N31,'S&amp;U'!P31,'S&amp;U'!R31,'S&amp;U'!T31)</f>
        <v>-1397.8</v>
      </c>
      <c r="P8" s="16">
        <f>SUM(H8:N8)</f>
        <v>300</v>
      </c>
    </row>
    <row r="9" spans="1:16" x14ac:dyDescent="0.25">
      <c r="B9" t="s">
        <v>115</v>
      </c>
      <c r="H9" s="17">
        <v>145</v>
      </c>
      <c r="J9" s="17">
        <v>240.8</v>
      </c>
      <c r="P9" s="74">
        <f>SUM(H9:N9)</f>
        <v>385.8</v>
      </c>
    </row>
    <row r="10" spans="1:16" x14ac:dyDescent="0.25">
      <c r="B10" t="s">
        <v>116</v>
      </c>
      <c r="H10" s="17">
        <v>771</v>
      </c>
      <c r="J10" s="17">
        <v>934.1</v>
      </c>
      <c r="P10" s="74">
        <f>SUM(H10:N10)</f>
        <v>1705.1</v>
      </c>
    </row>
    <row r="11" spans="1:16" x14ac:dyDescent="0.25">
      <c r="B11" t="s">
        <v>117</v>
      </c>
      <c r="H11" s="17">
        <v>37</v>
      </c>
      <c r="J11" s="17">
        <v>45</v>
      </c>
      <c r="L11" s="101"/>
      <c r="P11" s="74">
        <f>SUM(H11:N11)</f>
        <v>82</v>
      </c>
    </row>
    <row r="12" spans="1:16" ht="13.5" customHeight="1" thickBot="1" x14ac:dyDescent="0.3">
      <c r="B12" t="s">
        <v>118</v>
      </c>
      <c r="H12" s="17">
        <v>118</v>
      </c>
      <c r="J12" s="17">
        <v>392.2</v>
      </c>
      <c r="P12" s="74">
        <f>SUM(H12:N12)</f>
        <v>510.2</v>
      </c>
    </row>
    <row r="13" spans="1:16" x14ac:dyDescent="0.25">
      <c r="A13" t="s">
        <v>119</v>
      </c>
      <c r="H13" s="59">
        <f>SUM(H8:H12)</f>
        <v>2117</v>
      </c>
      <c r="J13" s="59">
        <f>SUM(J8:J12)</f>
        <v>2263.8999999999996</v>
      </c>
      <c r="P13" s="59">
        <f>SUM(P8:P12)</f>
        <v>2983.0999999999995</v>
      </c>
    </row>
    <row r="15" spans="1:16" x14ac:dyDescent="0.25">
      <c r="B15" t="s">
        <v>120</v>
      </c>
      <c r="H15" s="23">
        <v>1223</v>
      </c>
      <c r="J15" s="23">
        <v>578.20000000000005</v>
      </c>
      <c r="L15" s="101">
        <f>CHOOSE(case,GAAP!L41,GAAP!N41,GAAP!P41,GAAP!R41,GAAP!T41,GAAP!V41,GAAP!X41)</f>
        <v>15</v>
      </c>
      <c r="P15" s="16">
        <f t="shared" ref="P15:P21" si="0">SUM(H15:N15)</f>
        <v>1816.2</v>
      </c>
    </row>
    <row r="16" spans="1:16" x14ac:dyDescent="0.25">
      <c r="B16" t="s">
        <v>121</v>
      </c>
      <c r="H16" s="17">
        <v>628</v>
      </c>
      <c r="J16" s="17">
        <v>1245.3</v>
      </c>
      <c r="L16" s="101">
        <f>-J16+CHOOSE(case,GAAP!L49,GAAP!N49,GAAP!P49,GAAP!R49,GAAP!T49,GAAP!V49,GAAP!X49)</f>
        <v>8291.6799538495088</v>
      </c>
      <c r="P16" s="74">
        <f t="shared" si="0"/>
        <v>10164.979953849508</v>
      </c>
    </row>
    <row r="17" spans="1:16" x14ac:dyDescent="0.25">
      <c r="B17" t="s">
        <v>122</v>
      </c>
      <c r="H17" s="17">
        <v>165</v>
      </c>
      <c r="J17" s="17">
        <v>1361.8</v>
      </c>
      <c r="L17" s="101">
        <f>CHOOSE(case,GAAP!L42,GAAP!N42,GAAP!P42,GAAP!R42,GAAP!T42,GAAP!V42,GAAP!X42)</f>
        <v>2600.6484448732099</v>
      </c>
      <c r="P17" s="74">
        <f t="shared" si="0"/>
        <v>4127.4484448732101</v>
      </c>
    </row>
    <row r="18" spans="1:16" x14ac:dyDescent="0.25">
      <c r="B18" t="s">
        <v>123</v>
      </c>
      <c r="H18" s="17">
        <v>0</v>
      </c>
      <c r="J18" s="17">
        <v>0</v>
      </c>
      <c r="P18" s="74">
        <f t="shared" si="0"/>
        <v>0</v>
      </c>
    </row>
    <row r="19" spans="1:16" x14ac:dyDescent="0.25">
      <c r="B19" t="s">
        <v>124</v>
      </c>
      <c r="H19" s="17">
        <v>0</v>
      </c>
      <c r="J19" s="17">
        <v>0</v>
      </c>
      <c r="L19" s="101">
        <f>CHOOSE(case,GAAP!L119,GAAP!N119,GAAP!P119,GAAP!R119,GAAP!T119,GAAP!V119,GAAP!X119)</f>
        <v>72.799000000000007</v>
      </c>
      <c r="P19" s="74">
        <f t="shared" si="0"/>
        <v>72.799000000000007</v>
      </c>
    </row>
    <row r="20" spans="1:16" x14ac:dyDescent="0.25">
      <c r="B20" t="s">
        <v>125</v>
      </c>
      <c r="H20" s="17">
        <v>0</v>
      </c>
      <c r="J20" s="17">
        <v>0</v>
      </c>
      <c r="N20" s="101">
        <f>CHOOSE(case,'S&amp;U'!H23,'S&amp;U'!J23,'S&amp;U'!L23,'S&amp;U'!N23,'S&amp;U'!P23,'S&amp;U'!R23,'S&amp;U'!T23)</f>
        <v>35.748484000000005</v>
      </c>
      <c r="P20" s="74">
        <f t="shared" si="0"/>
        <v>35.748484000000005</v>
      </c>
    </row>
    <row r="21" spans="1:16" ht="13.5" customHeight="1" thickBot="1" x14ac:dyDescent="0.3">
      <c r="B21" t="s">
        <v>126</v>
      </c>
      <c r="H21" s="17">
        <v>1230</v>
      </c>
      <c r="J21" s="17">
        <v>1535.2</v>
      </c>
      <c r="P21" s="74">
        <f t="shared" si="0"/>
        <v>2765.2</v>
      </c>
    </row>
    <row r="22" spans="1:16" ht="13.5" customHeight="1" thickBot="1" x14ac:dyDescent="0.35">
      <c r="A22" s="19" t="s">
        <v>127</v>
      </c>
      <c r="H22" s="20">
        <f>SUM(H13:H21)</f>
        <v>5363</v>
      </c>
      <c r="J22" s="20">
        <f>SUM(J13:J21)</f>
        <v>6984.4</v>
      </c>
      <c r="P22" s="20">
        <f>SUM(P13:P21)</f>
        <v>21965.475882722716</v>
      </c>
    </row>
    <row r="23" spans="1:16" ht="13.5" customHeight="1" thickTop="1" x14ac:dyDescent="0.25"/>
    <row r="24" spans="1:16" ht="13" x14ac:dyDescent="0.3">
      <c r="A24" s="39" t="s">
        <v>128</v>
      </c>
      <c r="J24" s="100"/>
    </row>
    <row r="25" spans="1:16" x14ac:dyDescent="0.25">
      <c r="A25" t="s">
        <v>129</v>
      </c>
    </row>
    <row r="26" spans="1:16" x14ac:dyDescent="0.25">
      <c r="B26" t="s">
        <v>130</v>
      </c>
      <c r="H26" s="23">
        <v>426</v>
      </c>
      <c r="J26" s="23">
        <v>331</v>
      </c>
      <c r="P26" s="16">
        <f t="shared" ref="P26:P31" si="1">SUM(H26:N26)</f>
        <v>757</v>
      </c>
    </row>
    <row r="27" spans="1:16" ht="12.75" customHeight="1" x14ac:dyDescent="0.25">
      <c r="B27" t="s">
        <v>131</v>
      </c>
      <c r="H27" s="17">
        <v>585</v>
      </c>
      <c r="J27" s="17">
        <v>495.4</v>
      </c>
      <c r="P27" s="74">
        <f t="shared" si="1"/>
        <v>1080.4000000000001</v>
      </c>
    </row>
    <row r="28" spans="1:16" x14ac:dyDescent="0.25">
      <c r="B28" t="s">
        <v>132</v>
      </c>
      <c r="H28" s="17">
        <v>101</v>
      </c>
      <c r="J28" s="17">
        <v>0</v>
      </c>
      <c r="P28" s="74">
        <f t="shared" si="1"/>
        <v>101</v>
      </c>
    </row>
    <row r="29" spans="1:16" ht="12.75" customHeight="1" x14ac:dyDescent="0.25">
      <c r="B29" t="s">
        <v>133</v>
      </c>
      <c r="H29" s="17">
        <v>0</v>
      </c>
      <c r="J29" s="17">
        <v>0</v>
      </c>
      <c r="L29" s="101"/>
      <c r="P29" s="74">
        <f t="shared" si="1"/>
        <v>0</v>
      </c>
    </row>
    <row r="30" spans="1:16" x14ac:dyDescent="0.25">
      <c r="B30" t="s">
        <v>134</v>
      </c>
      <c r="H30" s="17">
        <v>165</v>
      </c>
      <c r="J30" s="17">
        <v>25</v>
      </c>
      <c r="P30" s="74">
        <f t="shared" si="1"/>
        <v>190</v>
      </c>
    </row>
    <row r="31" spans="1:16" ht="13.5" customHeight="1" thickBot="1" x14ac:dyDescent="0.3">
      <c r="B31" t="s">
        <v>135</v>
      </c>
      <c r="H31" s="17">
        <v>0</v>
      </c>
      <c r="J31" s="17">
        <v>294.7</v>
      </c>
      <c r="P31" s="74">
        <f t="shared" si="1"/>
        <v>294.7</v>
      </c>
    </row>
    <row r="32" spans="1:16" x14ac:dyDescent="0.25">
      <c r="A32" t="s">
        <v>136</v>
      </c>
      <c r="H32" s="59">
        <f>SUM(H26:H31)</f>
        <v>1277</v>
      </c>
      <c r="J32" s="59">
        <f>SUM(J26:J31)</f>
        <v>1146.0999999999999</v>
      </c>
      <c r="P32" s="59">
        <f>SUM(P26:P31)</f>
        <v>2423.1</v>
      </c>
    </row>
    <row r="33" spans="1:17" x14ac:dyDescent="0.25">
      <c r="B33" s="281" t="s">
        <v>314</v>
      </c>
      <c r="H33" s="17">
        <v>4781</v>
      </c>
      <c r="J33" s="18">
        <v>1641.6</v>
      </c>
      <c r="P33" s="16">
        <f>SUM(H33:N33)</f>
        <v>6422.6</v>
      </c>
    </row>
    <row r="34" spans="1:17" x14ac:dyDescent="0.25">
      <c r="B34" t="s">
        <v>137</v>
      </c>
      <c r="H34" s="23">
        <v>0</v>
      </c>
      <c r="J34" s="23">
        <v>0</v>
      </c>
      <c r="N34" s="113">
        <f>CHOOSE(case,'S&amp;U'!H32-'S&amp;U'!H15,'S&amp;U'!J32-'S&amp;U'!J15,'S&amp;U'!L32-'S&amp;U'!L15,'S&amp;U'!N32-'S&amp;U'!N15,'S&amp;U'!P32-'S&amp;U'!P15,'S&amp;U'!R32-'S&amp;U'!R15,'S&amp;U'!T32-'S&amp;U'!T15)</f>
        <v>0</v>
      </c>
      <c r="P34" s="16">
        <f>SUM(H34:N34)</f>
        <v>0</v>
      </c>
    </row>
    <row r="35" spans="1:17" x14ac:dyDescent="0.25">
      <c r="B35" t="s">
        <v>138</v>
      </c>
      <c r="H35" s="23">
        <v>9.9999999999999995E-8</v>
      </c>
      <c r="J35" s="23">
        <v>9.9999999999999995E-8</v>
      </c>
      <c r="N35" s="101">
        <f>CHOOSE(case,'S&amp;U'!H33-'S&amp;U'!H19,'S&amp;U'!J33-'S&amp;U'!J19,'S&amp;U'!L33-'S&amp;U'!L19,'S&amp;U'!N33-'S&amp;U'!N19,'S&amp;U'!P33-'S&amp;U'!P19,'S&amp;U'!R33-'S&amp;U'!R19,'S&amp;U'!T33-'S&amp;U'!T19)</f>
        <v>7149.6968000000006</v>
      </c>
      <c r="P35" s="16">
        <f t="shared" ref="P35:P36" si="2">SUM(H35:N35)</f>
        <v>7149.6968002000003</v>
      </c>
    </row>
    <row r="36" spans="1:17" ht="12.75" customHeight="1" x14ac:dyDescent="0.25">
      <c r="B36" t="s">
        <v>139</v>
      </c>
      <c r="H36" s="101">
        <f>Assumptions!H25+Assumptions!J25</f>
        <v>2.0000000000000001E-9</v>
      </c>
      <c r="I36" s="101"/>
      <c r="J36" s="101">
        <f>Assumptions!L25+Assumptions!N25</f>
        <v>2.0000000000000001E-9</v>
      </c>
      <c r="N36" s="101">
        <f>-CHOOSE(case,'S&amp;U'!H17,'S&amp;U'!J17,'S&amp;U'!L17,'S&amp;U'!N17,'S&amp;U'!P17,'S&amp;U'!R17,'S&amp;U'!T17)-IF(Assumptions!L26&gt;F4,0,Assumptions!L25)-IF(Assumptions!N26&gt;F4,0,Assumptions!N25)</f>
        <v>0</v>
      </c>
      <c r="P36" s="16">
        <f t="shared" si="2"/>
        <v>4.0000000000000002E-9</v>
      </c>
    </row>
    <row r="37" spans="1:17" x14ac:dyDescent="0.25">
      <c r="B37" t="s">
        <v>117</v>
      </c>
      <c r="H37" s="17">
        <v>168</v>
      </c>
      <c r="J37" s="17">
        <v>219.8</v>
      </c>
      <c r="L37" s="101">
        <f>-CHOOSE(case,SUM(GAAP!L47:L48),SUM(GAAP!N47:N48),SUM(GAAP!P47:P48),SUM(GAAP!R47:R48),SUM(GAAP!T47:T48),SUM(GAAP!V47:V48),SUM(GAAP!X47:X48))</f>
        <v>724.53461922987924</v>
      </c>
      <c r="P37" s="74">
        <f>SUM(H37:N37)</f>
        <v>1112.3346192298793</v>
      </c>
    </row>
    <row r="38" spans="1:17" ht="13.5" customHeight="1" thickBot="1" x14ac:dyDescent="0.3">
      <c r="B38" t="s">
        <v>140</v>
      </c>
      <c r="H38" s="17">
        <v>1307</v>
      </c>
      <c r="J38" s="17">
        <v>1713.5</v>
      </c>
      <c r="P38" s="74">
        <f>SUM(H38:N38)</f>
        <v>3020.5</v>
      </c>
    </row>
    <row r="39" spans="1:17" s="19" customFormat="1" ht="13" x14ac:dyDescent="0.3">
      <c r="A39" s="91" t="s">
        <v>141</v>
      </c>
      <c r="H39" s="59">
        <f>SUM(H32:H38)</f>
        <v>7533.0000001019998</v>
      </c>
      <c r="J39" s="59">
        <f>SUM(J32:J38)</f>
        <v>4721.0000001019998</v>
      </c>
      <c r="P39" s="57">
        <f>SUM(P32:P38)</f>
        <v>20128.23141943388</v>
      </c>
      <c r="Q39" s="57"/>
    </row>
    <row r="41" spans="1:17" x14ac:dyDescent="0.25">
      <c r="B41" t="s">
        <v>142</v>
      </c>
      <c r="H41" s="23">
        <v>1.0000000000000001E-9</v>
      </c>
      <c r="I41" s="75"/>
      <c r="J41" s="23">
        <v>1.0000000000000001E-9</v>
      </c>
      <c r="N41" s="113">
        <f>-J41+CHOOSE(case,'S&amp;U'!H30,'S&amp;U'!J30,'S&amp;U'!L30,'S&amp;U'!N30,'S&amp;U'!P30,'S&amp;U'!R30,'S&amp;U'!T30)</f>
        <v>0</v>
      </c>
      <c r="P41" s="16">
        <f t="shared" ref="P41:P46" si="3">SUM(H41:N41)</f>
        <v>2.0000000000000001E-9</v>
      </c>
    </row>
    <row r="42" spans="1:17" x14ac:dyDescent="0.25">
      <c r="B42" t="s">
        <v>143</v>
      </c>
      <c r="H42" s="17">
        <v>122</v>
      </c>
      <c r="J42" s="17">
        <v>2.2999999999999998</v>
      </c>
      <c r="N42" s="101">
        <f>-J42+CHOOSE(case,'S&amp;U'!H28,'S&amp;U'!J28,'S&amp;U'!L28,'S&amp;U'!N28,'S&amp;U'!P28,'S&amp;U'!R28,'S&amp;U'!T28)</f>
        <v>4132.9431999999988</v>
      </c>
      <c r="P42" s="74">
        <f t="shared" si="3"/>
        <v>4257.243199999999</v>
      </c>
    </row>
    <row r="43" spans="1:17" x14ac:dyDescent="0.25">
      <c r="B43" t="s">
        <v>144</v>
      </c>
      <c r="H43" s="17">
        <v>818</v>
      </c>
      <c r="J43" s="17">
        <v>3649.2</v>
      </c>
      <c r="N43" s="101">
        <f>-J43+CHOOSE(case,'S&amp;U'!H29,'S&amp;U'!J29,'S&amp;U'!L29,'S&amp;U'!N29,'S&amp;U'!P29,'S&amp;U'!R29,'S&amp;U'!T29)</f>
        <v>-3441.4472205071597</v>
      </c>
      <c r="P43" s="74">
        <f t="shared" si="3"/>
        <v>1025.7527794928401</v>
      </c>
    </row>
    <row r="44" spans="1:17" x14ac:dyDescent="0.25">
      <c r="B44" t="s">
        <v>145</v>
      </c>
      <c r="H44" s="17">
        <v>-822</v>
      </c>
      <c r="J44" s="17">
        <v>0</v>
      </c>
      <c r="N44" s="74">
        <f>-J44</f>
        <v>0</v>
      </c>
      <c r="P44" s="74">
        <f t="shared" si="3"/>
        <v>-822</v>
      </c>
    </row>
    <row r="45" spans="1:17" x14ac:dyDescent="0.25">
      <c r="B45" t="s">
        <v>146</v>
      </c>
      <c r="H45" s="17">
        <v>77</v>
      </c>
      <c r="J45" s="17">
        <v>-217.6</v>
      </c>
      <c r="N45" s="74">
        <f>-J45</f>
        <v>217.6</v>
      </c>
      <c r="P45" s="74">
        <f t="shared" si="3"/>
        <v>77</v>
      </c>
    </row>
    <row r="46" spans="1:17" ht="13.5" customHeight="1" x14ac:dyDescent="0.25">
      <c r="B46" t="s">
        <v>147</v>
      </c>
      <c r="H46" s="17">
        <v>-2366</v>
      </c>
      <c r="J46" s="17">
        <v>-1170.5</v>
      </c>
      <c r="N46" s="101">
        <f>-J46-CHOOSE(case,'S&amp;U'!H24,'S&amp;U'!J24,'S&amp;U'!L24,'S&amp;U'!N24,'S&amp;U'!P24,'S&amp;U'!R24,'S&amp;U'!T24)</f>
        <v>1018.8</v>
      </c>
      <c r="P46" s="74">
        <f t="shared" si="3"/>
        <v>-2517.6999999999998</v>
      </c>
    </row>
    <row r="47" spans="1:17" ht="13.5" customHeight="1" thickBot="1" x14ac:dyDescent="0.3">
      <c r="B47" s="281" t="s">
        <v>315</v>
      </c>
      <c r="H47" s="17">
        <v>1</v>
      </c>
      <c r="J47" s="17"/>
      <c r="N47" s="101"/>
      <c r="P47" s="74"/>
    </row>
    <row r="48" spans="1:17" ht="13.5" customHeight="1" thickBot="1" x14ac:dyDescent="0.3">
      <c r="A48" t="s">
        <v>148</v>
      </c>
      <c r="H48" s="59">
        <f>SUM(H41:H47)</f>
        <v>-2169.999999999</v>
      </c>
      <c r="I48" s="59">
        <f t="shared" ref="I48:J48" si="4">SUM(I41:I47)</f>
        <v>0</v>
      </c>
      <c r="J48" s="59">
        <f t="shared" si="4"/>
        <v>2263.4000000010001</v>
      </c>
      <c r="P48" s="59">
        <f>SUM(P41:P46)</f>
        <v>2020.2959794948392</v>
      </c>
    </row>
    <row r="49" spans="1:16" s="19" customFormat="1" ht="13.5" customHeight="1" thickBot="1" x14ac:dyDescent="0.35">
      <c r="A49" s="19" t="s">
        <v>149</v>
      </c>
      <c r="H49" s="20">
        <f>H48+H39</f>
        <v>5363.0000001030003</v>
      </c>
      <c r="J49" s="20">
        <f>J48+J39</f>
        <v>6984.4000001029999</v>
      </c>
      <c r="P49" s="20">
        <f>P48+P39</f>
        <v>22148.52739892872</v>
      </c>
    </row>
    <row r="50" spans="1:16" ht="13.5" customHeight="1" thickTop="1" x14ac:dyDescent="0.25"/>
    <row r="51" spans="1:16" s="52" customFormat="1" ht="13" x14ac:dyDescent="0.3">
      <c r="A51" s="52" t="s">
        <v>150</v>
      </c>
      <c r="H51" s="102">
        <f>ROUND(ABS(H49-H22),3)</f>
        <v>0</v>
      </c>
      <c r="J51" s="102">
        <f>ROUND(ABS(J49-J22),3)</f>
        <v>0</v>
      </c>
      <c r="P51" s="102">
        <f>ROUND(ABS(P49-P22),3)</f>
        <v>183.05199999999999</v>
      </c>
    </row>
  </sheetData>
  <phoneticPr fontId="12" type="noConversion"/>
  <pageMargins left="0.75" right="0.75" top="1" bottom="1" header="0.5" footer="0.5"/>
  <headerFooter alignWithMargins="0"/>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X87"/>
  <sheetViews>
    <sheetView showGridLines="0" topLeftCell="A20" zoomScaleNormal="100" workbookViewId="0">
      <selection activeCell="M71" sqref="M71:W79"/>
    </sheetView>
  </sheetViews>
  <sheetFormatPr defaultColWidth="8.81640625" defaultRowHeight="12.5" x14ac:dyDescent="0.25"/>
  <cols>
    <col min="1" max="1" width="0.81640625" customWidth="1"/>
    <col min="2" max="3" width="1.6328125" customWidth="1"/>
    <col min="4" max="4" width="7.6328125" customWidth="1"/>
    <col min="5" max="5" width="13" customWidth="1"/>
    <col min="6" max="6" width="7.6328125" customWidth="1"/>
    <col min="7" max="7" width="9.6328125" customWidth="1"/>
    <col min="8" max="8" width="1.6328125" customWidth="1"/>
    <col min="9" max="9" width="9.6328125" customWidth="1"/>
    <col min="10" max="10" width="1.6328125" customWidth="1"/>
    <col min="11" max="11" width="9.6328125" customWidth="1"/>
    <col min="12" max="12" width="1.6328125" customWidth="1"/>
    <col min="13" max="13" width="9.6328125" customWidth="1"/>
    <col min="14" max="14" width="1.6328125" customWidth="1"/>
    <col min="15" max="15" width="9.6328125" customWidth="1"/>
    <col min="16" max="16" width="1.6328125" customWidth="1"/>
    <col min="17" max="17" width="9.6328125" customWidth="1"/>
    <col min="18" max="18" width="1.6328125" customWidth="1"/>
    <col min="19" max="19" width="9.6328125" customWidth="1"/>
    <col min="20" max="20" width="1.6328125" customWidth="1"/>
    <col min="21" max="21" width="9.6328125" customWidth="1"/>
    <col min="22" max="23" width="0.81640625" customWidth="1"/>
    <col min="24" max="24" width="10.6328125" customWidth="1"/>
    <col min="25" max="30" width="9.6328125" customWidth="1"/>
  </cols>
  <sheetData>
    <row r="1" spans="1:24" ht="24" customHeight="1" thickBot="1" x14ac:dyDescent="0.5">
      <c r="A1" s="1" t="s">
        <v>253</v>
      </c>
      <c r="B1" s="51"/>
      <c r="C1" s="2"/>
      <c r="D1" s="2"/>
      <c r="E1" s="2"/>
      <c r="F1" s="2"/>
      <c r="G1" s="2"/>
      <c r="H1" s="2"/>
      <c r="I1" s="2"/>
      <c r="J1" s="2"/>
      <c r="K1" s="2"/>
      <c r="L1" s="2"/>
      <c r="M1" s="2"/>
      <c r="N1" s="2"/>
      <c r="O1" s="2"/>
      <c r="P1" s="2"/>
      <c r="Q1" s="2"/>
      <c r="R1" s="2"/>
      <c r="S1" s="2"/>
      <c r="T1" s="2"/>
      <c r="U1" s="2"/>
      <c r="V1" s="2"/>
      <c r="W1" s="2"/>
      <c r="X1" s="2"/>
    </row>
    <row r="2" spans="1:24" ht="13" x14ac:dyDescent="0.3">
      <c r="A2" s="90" t="s">
        <v>1</v>
      </c>
      <c r="B2" s="52"/>
    </row>
    <row r="4" spans="1:24" ht="13.5" customHeight="1" thickBot="1" x14ac:dyDescent="0.35">
      <c r="G4" s="7" t="str">
        <f>year&amp;" Ended "&amp;IF(year="FY",TEXT(acq_fye,"mmmm d"),"December 31")&amp;","</f>
        <v>FY Ended January 28,</v>
      </c>
      <c r="H4" s="7"/>
      <c r="I4" s="7"/>
      <c r="J4" s="7"/>
      <c r="K4" s="7"/>
      <c r="M4" s="7" t="str">
        <f>year&amp;" Ending "&amp;IF(year="FY",TEXT(acq_fye,"mmmm d"),"December 31")&amp;","</f>
        <v>FY Ending January 28,</v>
      </c>
      <c r="N4" s="31"/>
      <c r="O4" s="31"/>
      <c r="P4" s="31"/>
      <c r="Q4" s="31"/>
      <c r="R4" s="31"/>
      <c r="S4" s="31"/>
      <c r="T4" s="31"/>
      <c r="U4" s="31"/>
      <c r="X4" s="82" t="s">
        <v>110</v>
      </c>
    </row>
    <row r="5" spans="1:24" ht="13.5" customHeight="1" thickBot="1" x14ac:dyDescent="0.35">
      <c r="G5" s="92">
        <f>'Buyer P&amp;L'!G5</f>
        <v>2021</v>
      </c>
      <c r="H5" s="150"/>
      <c r="I5" s="92">
        <f>'Buyer P&amp;L'!I5</f>
        <v>2022</v>
      </c>
      <c r="J5" s="150"/>
      <c r="K5" s="92">
        <f>'Buyer P&amp;L'!K5</f>
        <v>2023</v>
      </c>
      <c r="L5" s="150"/>
      <c r="M5" s="152">
        <f>'Buyer P&amp;L'!M5</f>
        <v>2024</v>
      </c>
      <c r="N5" s="150"/>
      <c r="O5" s="152">
        <f>'Buyer P&amp;L'!O5</f>
        <v>2025</v>
      </c>
      <c r="P5" s="150"/>
      <c r="Q5" s="152">
        <f>'Buyer P&amp;L'!Q5</f>
        <v>2026</v>
      </c>
      <c r="R5" s="151"/>
      <c r="S5" s="152">
        <f>'Buyer P&amp;L'!S5</f>
        <v>2027</v>
      </c>
      <c r="T5" s="150"/>
      <c r="U5" s="152">
        <f>'Buyer P&amp;L'!U5</f>
        <v>2028</v>
      </c>
      <c r="X5" s="85" t="str">
        <f>M5&amp;"-"&amp;U5</f>
        <v>2024-2028</v>
      </c>
    </row>
    <row r="6" spans="1:24" ht="5" customHeight="1" x14ac:dyDescent="0.25"/>
    <row r="7" spans="1:24" s="53" customFormat="1" ht="12.75" customHeight="1" x14ac:dyDescent="0.3">
      <c r="B7" s="53" t="s">
        <v>81</v>
      </c>
      <c r="G7" s="153">
        <f>'Buyer P&amp;L'!G7+'Target P&amp;L'!G7</f>
        <v>11079.1</v>
      </c>
      <c r="I7" s="153">
        <f>'Buyer P&amp;L'!I7+'Target P&amp;L'!I7</f>
        <v>14393.1</v>
      </c>
      <c r="K7" s="153">
        <f>'Buyer P&amp;L'!K7+'Target P&amp;L'!K7</f>
        <v>14154.3</v>
      </c>
      <c r="M7" s="153">
        <f>'Buyer P&amp;L'!M7+'Target P&amp;L'!M7</f>
        <v>14312</v>
      </c>
      <c r="O7" s="153">
        <f>'Buyer P&amp;L'!O7+'Target P&amp;L'!O7</f>
        <v>14966.5</v>
      </c>
      <c r="Q7" s="153">
        <f>'Buyer P&amp;L'!Q7+'Target P&amp;L'!Q7</f>
        <v>15734</v>
      </c>
      <c r="S7" s="153">
        <f>'Buyer P&amp;L'!S7+'Target P&amp;L'!S7</f>
        <v>16160.4301358626</v>
      </c>
      <c r="U7" s="153">
        <f>'Buyer P&amp;L'!U7+'Target P&amp;L'!U7</f>
        <v>16602.713176730307</v>
      </c>
      <c r="X7" s="56">
        <f>(U7/M7)^(1/4)-1</f>
        <v>3.7814380991749941E-2</v>
      </c>
    </row>
    <row r="8" spans="1:24" s="52" customFormat="1" ht="12.75" customHeight="1" x14ac:dyDescent="0.3">
      <c r="C8" s="52" t="s">
        <v>82</v>
      </c>
      <c r="G8" s="55" t="s">
        <v>21</v>
      </c>
      <c r="I8" s="56">
        <f>I7/G7-1</f>
        <v>0.29912176981884819</v>
      </c>
      <c r="K8" s="56">
        <f>K7/I7-1</f>
        <v>-1.6591283323259098E-2</v>
      </c>
      <c r="M8" s="56">
        <f>M7/K7-1</f>
        <v>1.1141490571769719E-2</v>
      </c>
      <c r="O8" s="56">
        <f>O7/M7-1</f>
        <v>4.5730855226383538E-2</v>
      </c>
      <c r="Q8" s="56">
        <f>Q7/O7-1</f>
        <v>5.1281194668092001E-2</v>
      </c>
      <c r="S8" s="56">
        <f>Q8</f>
        <v>5.1281194668092001E-2</v>
      </c>
      <c r="U8" s="56">
        <f>S8</f>
        <v>5.1281194668092001E-2</v>
      </c>
    </row>
    <row r="9" spans="1:24" ht="5" customHeight="1" x14ac:dyDescent="0.25"/>
    <row r="10" spans="1:24" s="57" customFormat="1" x14ac:dyDescent="0.25">
      <c r="B10" s="57" t="s">
        <v>83</v>
      </c>
      <c r="G10" s="101">
        <f>'Buyer P&amp;L'!G10+'Target P&amp;L'!G10</f>
        <v>4864.1000000000004</v>
      </c>
      <c r="H10" s="101"/>
      <c r="I10" s="101">
        <f>'Buyer P&amp;L'!I10+'Target P&amp;L'!I10</f>
        <v>5933.7</v>
      </c>
      <c r="J10" s="101"/>
      <c r="K10" s="101">
        <f>'Buyer P&amp;L'!K10+'Target P&amp;L'!K10</f>
        <v>6331.1</v>
      </c>
      <c r="L10" s="101"/>
      <c r="M10" s="101">
        <f>'Buyer P&amp;L'!M10+'Target P&amp;L'!M10</f>
        <v>6318.42</v>
      </c>
      <c r="N10" s="101"/>
      <c r="O10" s="101">
        <f>'Buyer P&amp;L'!O10+'Target P&amp;L'!O10</f>
        <v>6499</v>
      </c>
      <c r="P10" s="101"/>
      <c r="Q10" s="101">
        <f>'Buyer P&amp;L'!Q10+'Target P&amp;L'!Q10</f>
        <v>6755.55</v>
      </c>
      <c r="R10" s="101"/>
      <c r="S10" s="101">
        <f>'Buyer P&amp;L'!S10+'Target P&amp;L'!S10</f>
        <v>6975.8368022301984</v>
      </c>
      <c r="T10" s="101"/>
      <c r="U10" s="101">
        <f>'Buyer P&amp;L'!U10+'Target P&amp;L'!U10</f>
        <v>7204.9039804997892</v>
      </c>
    </row>
    <row r="11" spans="1:24" s="57" customFormat="1" x14ac:dyDescent="0.25">
      <c r="B11" s="57" t="s">
        <v>254</v>
      </c>
      <c r="G11" s="70">
        <v>0</v>
      </c>
      <c r="H11" s="154"/>
      <c r="I11" s="86">
        <f>G11</f>
        <v>0</v>
      </c>
      <c r="J11" s="154"/>
      <c r="K11" s="86">
        <f>I11</f>
        <v>0</v>
      </c>
      <c r="L11" s="154"/>
      <c r="M11" s="86">
        <f>K11</f>
        <v>0</v>
      </c>
      <c r="N11" s="101"/>
      <c r="O11" s="101">
        <f>-synergies*Assumptions!T29</f>
        <v>-520</v>
      </c>
      <c r="P11" s="101"/>
      <c r="Q11" s="74">
        <f>O11</f>
        <v>-520</v>
      </c>
      <c r="R11" s="101"/>
      <c r="S11" s="74">
        <f>Q11</f>
        <v>-520</v>
      </c>
      <c r="T11" s="101"/>
      <c r="U11" s="74">
        <f>S11</f>
        <v>-520</v>
      </c>
    </row>
    <row r="12" spans="1:24" s="52" customFormat="1" ht="12.75" customHeight="1" thickBot="1" x14ac:dyDescent="0.35">
      <c r="C12" s="52" t="s">
        <v>84</v>
      </c>
      <c r="G12" s="58">
        <f>SUM(G10:G11)/G7</f>
        <v>0.43903385654069377</v>
      </c>
      <c r="I12" s="58">
        <f>SUM(I10:I11)/I7</f>
        <v>0.41226004126977506</v>
      </c>
      <c r="K12" s="58">
        <f>SUM(K10:K11)/K7</f>
        <v>0.44729163575733172</v>
      </c>
      <c r="M12" s="58">
        <f>SUM(M10:M11)/M7</f>
        <v>0.44147708216880938</v>
      </c>
      <c r="O12" s="58">
        <f>SUM(O10:O11)/O7</f>
        <v>0.39949219924498047</v>
      </c>
      <c r="Q12" s="58">
        <f>SUM(Q10:Q11)/Q7</f>
        <v>0.39631053768908098</v>
      </c>
      <c r="S12" s="58">
        <f>SUM(S10:S11)/S7</f>
        <v>0.39948421842458609</v>
      </c>
      <c r="U12" s="58">
        <f>SUM(U10:U11)/U7</f>
        <v>0.40263924994314065</v>
      </c>
    </row>
    <row r="13" spans="1:24" ht="13" x14ac:dyDescent="0.3">
      <c r="B13" t="s">
        <v>85</v>
      </c>
      <c r="G13" s="59">
        <f>G7-SUM(G10:G11)</f>
        <v>6215</v>
      </c>
      <c r="I13" s="59">
        <f>I7-SUM(I10:I11)</f>
        <v>8459.4000000000015</v>
      </c>
      <c r="K13" s="59">
        <f>K7-SUM(K10:K11)</f>
        <v>7823.1999999999989</v>
      </c>
      <c r="M13" s="59">
        <f>M7-SUM(M10:M11)</f>
        <v>7993.58</v>
      </c>
      <c r="O13" s="59">
        <f>O7-SUM(O10:O11)</f>
        <v>8987.5</v>
      </c>
      <c r="Q13" s="59">
        <f>Q7-SUM(Q10:Q11)</f>
        <v>9498.4500000000007</v>
      </c>
      <c r="S13" s="59">
        <f>S7-SUM(S10:S11)</f>
        <v>9704.5933336324015</v>
      </c>
      <c r="U13" s="59">
        <f>U7-SUM(U10:U11)</f>
        <v>9917.8091962305189</v>
      </c>
      <c r="X13" s="56">
        <f>(U13/M13)^(1/4)-1</f>
        <v>5.5403683956703809E-2</v>
      </c>
    </row>
    <row r="14" spans="1:24" s="52" customFormat="1" ht="12.75" customHeight="1" x14ac:dyDescent="0.3">
      <c r="C14" s="52" t="s">
        <v>86</v>
      </c>
      <c r="G14" s="58">
        <f>G13/G$7</f>
        <v>0.56096614345930629</v>
      </c>
      <c r="I14" s="58">
        <f>I13/I$7</f>
        <v>0.587739958730225</v>
      </c>
      <c r="K14" s="58">
        <f>K13/K$7</f>
        <v>0.55270836424266823</v>
      </c>
      <c r="M14" s="58">
        <f>M13/M$7</f>
        <v>0.55852291783119057</v>
      </c>
      <c r="O14" s="58">
        <f>O13/O$7</f>
        <v>0.60050780075501953</v>
      </c>
      <c r="Q14" s="58">
        <f>Q13/Q$7</f>
        <v>0.60368946231091902</v>
      </c>
      <c r="S14" s="58">
        <f>S13/S$7</f>
        <v>0.60051578157541385</v>
      </c>
      <c r="U14" s="58">
        <f>U13/U$7</f>
        <v>0.5973607500568594</v>
      </c>
    </row>
    <row r="15" spans="1:24" ht="5" customHeight="1" x14ac:dyDescent="0.25"/>
    <row r="16" spans="1:24" s="57" customFormat="1" ht="12.75" customHeight="1" x14ac:dyDescent="0.25">
      <c r="B16" s="57" t="s">
        <v>87</v>
      </c>
      <c r="G16" s="101">
        <f>'Buyer P&amp;L'!G15+'Target P&amp;L'!G15</f>
        <v>4507.2</v>
      </c>
      <c r="H16" s="101"/>
      <c r="I16" s="101">
        <f>'Buyer P&amp;L'!I15+'Target P&amp;L'!I15</f>
        <v>5315.9</v>
      </c>
      <c r="J16" s="101"/>
      <c r="K16" s="101">
        <f>'Buyer P&amp;L'!K15+'Target P&amp;L'!K15</f>
        <v>5356.7</v>
      </c>
      <c r="L16" s="101"/>
      <c r="M16" s="101">
        <f>'Buyer P&amp;L'!M15+'Target P&amp;L'!M15</f>
        <v>5673.0599999999995</v>
      </c>
      <c r="N16" s="101"/>
      <c r="O16" s="101">
        <f>'Buyer P&amp;L'!O15+'Target P&amp;L'!O15</f>
        <v>5797.6</v>
      </c>
      <c r="P16" s="101"/>
      <c r="Q16" s="101">
        <f>'Buyer P&amp;L'!Q15+'Target P&amp;L'!Q15</f>
        <v>5910.7</v>
      </c>
      <c r="R16" s="101"/>
      <c r="S16" s="101">
        <f>'Buyer P&amp;L'!S15+'Target P&amp;L'!S15</f>
        <v>6033.92174237375</v>
      </c>
      <c r="T16" s="101"/>
      <c r="U16" s="101">
        <f>'Buyer P&amp;L'!U15+'Target P&amp;L'!U15</f>
        <v>6161.1368600073802</v>
      </c>
    </row>
    <row r="17" spans="1:24" s="57" customFormat="1" ht="12.75" customHeight="1" x14ac:dyDescent="0.25">
      <c r="B17" s="57" t="s">
        <v>70</v>
      </c>
      <c r="G17" s="70">
        <v>0</v>
      </c>
      <c r="H17" s="154"/>
      <c r="I17" s="86">
        <f>G17</f>
        <v>0</v>
      </c>
      <c r="J17" s="154"/>
      <c r="K17" s="86">
        <f>I17</f>
        <v>0</v>
      </c>
      <c r="L17" s="101"/>
      <c r="M17" s="86">
        <f>K17</f>
        <v>0</v>
      </c>
      <c r="N17" s="101"/>
      <c r="O17" s="101">
        <f>-synergies*Assumptions!T30</f>
        <v>-1100</v>
      </c>
      <c r="P17" s="101"/>
      <c r="Q17" s="74">
        <f>O17</f>
        <v>-1100</v>
      </c>
      <c r="R17" s="101"/>
      <c r="S17" s="74">
        <f>Q17</f>
        <v>-1100</v>
      </c>
      <c r="T17" s="101"/>
      <c r="U17" s="74">
        <f>S17</f>
        <v>-1100</v>
      </c>
    </row>
    <row r="18" spans="1:24" s="52" customFormat="1" ht="12.75" customHeight="1" x14ac:dyDescent="0.3">
      <c r="C18" s="52" t="s">
        <v>84</v>
      </c>
      <c r="G18" s="58">
        <f>SUM(G16:G17)/G7</f>
        <v>0.40682004855990106</v>
      </c>
      <c r="I18" s="58">
        <f>SUM(I16:I17)/I7</f>
        <v>0.36933669605574893</v>
      </c>
      <c r="K18" s="58">
        <f>SUM(K16:K17)/K7</f>
        <v>0.37845036490677747</v>
      </c>
      <c r="M18" s="58">
        <f>SUM(M16:M17)/M7</f>
        <v>0.39638485187255446</v>
      </c>
      <c r="O18" s="58">
        <f>SUM(O16:O17)/O7</f>
        <v>0.3138743193131327</v>
      </c>
      <c r="Q18" s="58">
        <f>SUM(Q16:Q17)/Q7</f>
        <v>0.30575187492055422</v>
      </c>
      <c r="S18" s="58">
        <f>SUM(S16:S17)/S7</f>
        <v>0.30530881300149199</v>
      </c>
      <c r="U18" s="58">
        <f>SUM(U16:U17)/U7</f>
        <v>0.30483793860276193</v>
      </c>
    </row>
    <row r="19" spans="1:24" ht="5" customHeight="1" x14ac:dyDescent="0.25"/>
    <row r="20" spans="1:24" ht="5" customHeight="1" x14ac:dyDescent="0.25">
      <c r="A20" s="60"/>
      <c r="B20" s="60"/>
      <c r="C20" s="60"/>
      <c r="D20" s="60"/>
      <c r="E20" s="60"/>
      <c r="F20" s="60"/>
      <c r="G20" s="60"/>
      <c r="H20" s="60"/>
      <c r="I20" s="60"/>
      <c r="J20" s="60"/>
      <c r="K20" s="60"/>
      <c r="L20" s="60"/>
      <c r="M20" s="60"/>
      <c r="N20" s="60"/>
      <c r="O20" s="60"/>
      <c r="P20" s="60"/>
      <c r="Q20" s="60"/>
      <c r="R20" s="60"/>
      <c r="S20" s="60"/>
      <c r="T20" s="60"/>
      <c r="U20" s="60"/>
      <c r="V20" s="61"/>
    </row>
    <row r="21" spans="1:24" s="19" customFormat="1" ht="13" x14ac:dyDescent="0.3">
      <c r="B21" s="19" t="s">
        <v>88</v>
      </c>
      <c r="G21" s="62">
        <f>G13-SUM(G16:G17)</f>
        <v>1707.8000000000002</v>
      </c>
      <c r="I21" s="62">
        <f>I13-SUM(I16:I17)</f>
        <v>3143.5000000000018</v>
      </c>
      <c r="K21" s="62">
        <f>K13-SUM(K16:K17)</f>
        <v>2466.4999999999991</v>
      </c>
      <c r="M21" s="62">
        <f>M13-SUM(M16:M17)</f>
        <v>2320.5200000000004</v>
      </c>
      <c r="O21" s="62">
        <f>O13-SUM(O16:O17)</f>
        <v>4289.8999999999996</v>
      </c>
      <c r="Q21" s="62">
        <f>Q13-SUM(Q16:Q17)</f>
        <v>4687.7500000000009</v>
      </c>
      <c r="S21" s="62">
        <f>S13-SUM(S16:S17)</f>
        <v>4770.6715912586515</v>
      </c>
      <c r="U21" s="62">
        <f>U13-SUM(U16:U17)</f>
        <v>4856.6723362231387</v>
      </c>
      <c r="V21" s="63"/>
      <c r="X21" s="56">
        <f>(U21/M21)^(1/4)-1</f>
        <v>0.20278602110696053</v>
      </c>
    </row>
    <row r="22" spans="1:24" s="52" customFormat="1" ht="12.75" customHeight="1" x14ac:dyDescent="0.3">
      <c r="C22" s="52" t="s">
        <v>86</v>
      </c>
      <c r="G22" s="58">
        <f>G21/G$7</f>
        <v>0.1541460948994052</v>
      </c>
      <c r="I22" s="58">
        <f>I21/I$7</f>
        <v>0.21840326267447607</v>
      </c>
      <c r="K22" s="58">
        <f>K21/K$7</f>
        <v>0.17425799933589081</v>
      </c>
      <c r="M22" s="58">
        <f>M21/M$7</f>
        <v>0.16213806595863614</v>
      </c>
      <c r="O22" s="58">
        <f>O21/O$7</f>
        <v>0.28663348144188688</v>
      </c>
      <c r="Q22" s="58">
        <f>Q21/Q$7</f>
        <v>0.29793758739036486</v>
      </c>
      <c r="S22" s="58">
        <f>S21/S$7</f>
        <v>0.29520696857392192</v>
      </c>
      <c r="U22" s="58">
        <f>U21/U$7</f>
        <v>0.29252281145409742</v>
      </c>
      <c r="V22" s="64"/>
    </row>
    <row r="23" spans="1:24" ht="5" customHeight="1" x14ac:dyDescent="0.25">
      <c r="V23" s="65"/>
    </row>
    <row r="24" spans="1:24" s="57" customFormat="1" ht="12.75" customHeight="1" x14ac:dyDescent="0.25">
      <c r="B24" s="57" t="s">
        <v>255</v>
      </c>
      <c r="G24" s="101">
        <f>'Buyer P&amp;L'!G22+'Target P&amp;L'!G22</f>
        <v>779.25</v>
      </c>
      <c r="H24" s="101"/>
      <c r="I24" s="101">
        <f>'Buyer P&amp;L'!I22+'Target P&amp;L'!I22</f>
        <v>596.5</v>
      </c>
      <c r="J24" s="101"/>
      <c r="K24" s="101">
        <f>'Buyer P&amp;L'!K22+'Target P&amp;L'!K22</f>
        <v>428</v>
      </c>
      <c r="L24" s="101"/>
      <c r="M24" s="101">
        <f>'Buyer P&amp;L'!M22+'Target P&amp;L'!M22</f>
        <v>499.6</v>
      </c>
      <c r="N24" s="101"/>
      <c r="O24" s="101">
        <f>'Buyer P&amp;L'!O22+'Target P&amp;L'!O22</f>
        <v>464.1</v>
      </c>
      <c r="P24" s="101"/>
      <c r="Q24" s="101">
        <f>'Buyer P&amp;L'!Q22+'Target P&amp;L'!Q22</f>
        <v>535.70000000000005</v>
      </c>
      <c r="R24" s="101"/>
      <c r="S24" s="101">
        <f>'Buyer P&amp;L'!S22+'Target P&amp;L'!S22</f>
        <v>548.97627839015649</v>
      </c>
      <c r="T24" s="101"/>
      <c r="U24" s="101">
        <f>'Buyer P&amp;L'!U22+'Target P&amp;L'!U22</f>
        <v>562.72637026135521</v>
      </c>
      <c r="V24" s="66"/>
    </row>
    <row r="25" spans="1:24" s="57" customFormat="1" ht="12.75" customHeight="1" x14ac:dyDescent="0.25">
      <c r="B25" s="57" t="s">
        <v>256</v>
      </c>
      <c r="G25" s="155">
        <v>0</v>
      </c>
      <c r="H25" s="156"/>
      <c r="I25" s="157">
        <f>G25</f>
        <v>0</v>
      </c>
      <c r="J25" s="156"/>
      <c r="K25" s="157">
        <f>I25</f>
        <v>0</v>
      </c>
      <c r="L25" s="156"/>
      <c r="M25" s="101">
        <f>CHOOSE(case,GAAP!L66,GAAP!N66,GAAP!P66,GAAP!R66,GAAP!T66,GAAP!V66,GAAP!X66)</f>
        <v>1.5</v>
      </c>
      <c r="N25" s="101"/>
      <c r="O25" s="74">
        <f>M25</f>
        <v>1.5</v>
      </c>
      <c r="P25" s="101"/>
      <c r="Q25" s="74">
        <f>O25</f>
        <v>1.5</v>
      </c>
      <c r="R25" s="101"/>
      <c r="S25" s="74">
        <f>Q25</f>
        <v>1.5</v>
      </c>
      <c r="T25" s="101"/>
      <c r="U25" s="74">
        <f>S25</f>
        <v>1.5</v>
      </c>
      <c r="V25" s="66"/>
    </row>
    <row r="26" spans="1:24" s="52" customFormat="1" ht="12.75" customHeight="1" x14ac:dyDescent="0.3">
      <c r="C26" s="52" t="s">
        <v>84</v>
      </c>
      <c r="G26" s="58">
        <f>SUM(G24:G25)/G7</f>
        <v>7.0335135525448816E-2</v>
      </c>
      <c r="I26" s="58">
        <f>SUM(I24:I25)/I7</f>
        <v>4.144346944021788E-2</v>
      </c>
      <c r="K26" s="58">
        <f>SUM(K24:K25)/K7</f>
        <v>3.0238160841581711E-2</v>
      </c>
      <c r="M26" s="58">
        <f>SUM(M24:M25)/M7</f>
        <v>3.5012576858580217E-2</v>
      </c>
      <c r="O26" s="58">
        <f>SUM(O24:O25)/O7</f>
        <v>3.1109477833828884E-2</v>
      </c>
      <c r="Q26" s="58">
        <f>SUM(Q24:Q25)/Q7</f>
        <v>3.4142621075378167E-2</v>
      </c>
      <c r="S26" s="58">
        <f>SUM(S24:S25)/S7</f>
        <v>3.4063219466452251E-2</v>
      </c>
      <c r="U26" s="58">
        <f>SUM(U24:U25)/U7</f>
        <v>3.3983985885641395E-2</v>
      </c>
      <c r="V26" s="64"/>
    </row>
    <row r="27" spans="1:24" s="57" customFormat="1" ht="12.75" customHeight="1" x14ac:dyDescent="0.25">
      <c r="B27" s="57" t="s">
        <v>257</v>
      </c>
      <c r="G27" s="101">
        <f>'Buyer P&amp;L'!G24+'Target P&amp;L'!G24</f>
        <v>0</v>
      </c>
      <c r="H27" s="101"/>
      <c r="I27" s="101">
        <f>'Buyer P&amp;L'!I24+'Target P&amp;L'!I24</f>
        <v>0</v>
      </c>
      <c r="J27" s="101"/>
      <c r="K27" s="101">
        <f>'Buyer P&amp;L'!K24+'Target P&amp;L'!K24</f>
        <v>0</v>
      </c>
      <c r="L27" s="101"/>
      <c r="M27" s="101">
        <f>'Buyer P&amp;L'!M24+'Target P&amp;L'!M24</f>
        <v>254</v>
      </c>
      <c r="N27" s="101"/>
      <c r="O27" s="101">
        <f>'Buyer P&amp;L'!O24+'Target P&amp;L'!O24</f>
        <v>260</v>
      </c>
      <c r="P27" s="101"/>
      <c r="Q27" s="101">
        <f>'Buyer P&amp;L'!Q24+'Target P&amp;L'!Q24</f>
        <v>263</v>
      </c>
      <c r="R27" s="101"/>
      <c r="S27" s="101">
        <f>'Buyer P&amp;L'!S24+'Target P&amp;L'!S24</f>
        <v>263</v>
      </c>
      <c r="T27" s="101"/>
      <c r="U27" s="101">
        <f>'Buyer P&amp;L'!U24+'Target P&amp;L'!U24</f>
        <v>263</v>
      </c>
      <c r="V27" s="66"/>
    </row>
    <row r="28" spans="1:24" s="91" customFormat="1" x14ac:dyDescent="0.25">
      <c r="B28" s="91" t="s">
        <v>258</v>
      </c>
      <c r="G28" s="155">
        <v>0</v>
      </c>
      <c r="H28" s="156"/>
      <c r="I28" s="157">
        <f>G28</f>
        <v>0</v>
      </c>
      <c r="J28" s="156"/>
      <c r="K28" s="157">
        <f>I28</f>
        <v>0</v>
      </c>
      <c r="L28" s="156"/>
      <c r="M28" s="158">
        <f>CHOOSE(case,GAAP!L57,GAAP!N57,GAAP!P57,GAAP!R57,GAAP!T57,GAAP!V57,GAAP!X57)</f>
        <v>520.12968897464202</v>
      </c>
      <c r="O28" s="159">
        <f>M28</f>
        <v>520.12968897464202</v>
      </c>
      <c r="Q28" s="159">
        <f>O28</f>
        <v>520.12968897464202</v>
      </c>
      <c r="S28" s="159">
        <f>Q28</f>
        <v>520.12968897464202</v>
      </c>
      <c r="U28" s="159">
        <f>S28</f>
        <v>520.12968897464202</v>
      </c>
      <c r="V28" s="160"/>
    </row>
    <row r="29" spans="1:24" s="52" customFormat="1" ht="12.75" customHeight="1" thickBot="1" x14ac:dyDescent="0.35">
      <c r="C29" s="52" t="s">
        <v>84</v>
      </c>
      <c r="G29" s="58">
        <f>SUM(G27:G28)/G7</f>
        <v>0</v>
      </c>
      <c r="I29" s="58">
        <f>SUM(I27:I28)/I7</f>
        <v>0</v>
      </c>
      <c r="K29" s="58">
        <f>SUM(K27:K28)/K7</f>
        <v>0</v>
      </c>
      <c r="M29" s="58">
        <f>SUM(M27:M28)/M7</f>
        <v>5.4089553449877169E-2</v>
      </c>
      <c r="O29" s="58">
        <f>SUM(O27:O28)/O7</f>
        <v>5.2125058562432235E-2</v>
      </c>
      <c r="Q29" s="58">
        <f>SUM(Q27:Q28)/Q7</f>
        <v>4.9773083066902375E-2</v>
      </c>
      <c r="S29" s="58">
        <f>SUM(S27:S28)/S7</f>
        <v>4.8459705737457504E-2</v>
      </c>
      <c r="U29" s="58">
        <f>SUM(U27:U28)/U7</f>
        <v>4.7168777815920174E-2</v>
      </c>
      <c r="V29" s="64"/>
    </row>
    <row r="30" spans="1:24" x14ac:dyDescent="0.25">
      <c r="B30" t="s">
        <v>91</v>
      </c>
      <c r="G30" s="161">
        <f>SUM(G24:G25,G27:G28)</f>
        <v>779.25</v>
      </c>
      <c r="I30" s="161">
        <f>SUM(I24:I25,I27:I28)</f>
        <v>596.5</v>
      </c>
      <c r="K30" s="161">
        <f>SUM(K24:K25,K27:K28)</f>
        <v>428</v>
      </c>
      <c r="M30" s="161">
        <f>SUM(M24:M25,M27:M28)</f>
        <v>1275.2296889746422</v>
      </c>
      <c r="O30" s="161">
        <f>SUM(O24:O25,O27:O28)</f>
        <v>1245.7296889746422</v>
      </c>
      <c r="Q30" s="161">
        <f>SUM(Q24:Q25,Q27:Q28)</f>
        <v>1320.3296889746421</v>
      </c>
      <c r="S30" s="161">
        <f>SUM(S24:S25,S27:S28)</f>
        <v>1333.6059673647985</v>
      </c>
      <c r="U30" s="161">
        <f>SUM(U24:U25,U27:U28)</f>
        <v>1347.3560592359972</v>
      </c>
      <c r="V30" s="65"/>
    </row>
    <row r="31" spans="1:24" s="52" customFormat="1" ht="12.75" customHeight="1" x14ac:dyDescent="0.3">
      <c r="C31" s="52" t="s">
        <v>84</v>
      </c>
      <c r="G31" s="58">
        <f>G30/G$7</f>
        <v>7.0335135525448816E-2</v>
      </c>
      <c r="I31" s="58">
        <f>I30/I$7</f>
        <v>4.144346944021788E-2</v>
      </c>
      <c r="K31" s="58">
        <f>K30/K$7</f>
        <v>3.0238160841581711E-2</v>
      </c>
      <c r="M31" s="58">
        <f>M30/M$7</f>
        <v>8.9102130308457386E-2</v>
      </c>
      <c r="O31" s="58">
        <f>O30/O$7</f>
        <v>8.3234536396261133E-2</v>
      </c>
      <c r="Q31" s="58">
        <f>Q30/Q$7</f>
        <v>8.3915704142280542E-2</v>
      </c>
      <c r="S31" s="58">
        <f>S30/S$7</f>
        <v>8.2522925203909761E-2</v>
      </c>
      <c r="U31" s="58">
        <f>U30/U$7</f>
        <v>8.1152763701561575E-2</v>
      </c>
      <c r="V31" s="64"/>
    </row>
    <row r="32" spans="1:24" ht="5" customHeight="1" x14ac:dyDescent="0.25">
      <c r="V32" s="65"/>
    </row>
    <row r="33" spans="1:24" s="57" customFormat="1" x14ac:dyDescent="0.25">
      <c r="B33" s="57" t="s">
        <v>92</v>
      </c>
      <c r="G33" s="101">
        <f>'Buyer P&amp;L'!G29+'Target P&amp;L'!G29</f>
        <v>118.95</v>
      </c>
      <c r="I33" s="101">
        <f>'Buyer P&amp;L'!I29+'Target P&amp;L'!I29</f>
        <v>104.6</v>
      </c>
      <c r="K33" s="101">
        <f>'Buyer P&amp;L'!K29+'Target P&amp;L'!K29</f>
        <v>106.15</v>
      </c>
      <c r="M33" s="101">
        <f>'Buyer P&amp;L'!M29+'Target P&amp;L'!M29</f>
        <v>112.8</v>
      </c>
      <c r="O33" s="101">
        <f>'Buyer P&amp;L'!O29+'Target P&amp;L'!O29</f>
        <v>104.78</v>
      </c>
      <c r="Q33" s="101">
        <f>'Buyer P&amp;L'!Q29+'Target P&amp;L'!Q29</f>
        <v>138.15</v>
      </c>
      <c r="S33" s="101">
        <f>'Buyer P&amp;L'!S29+'Target P&amp;L'!S29</f>
        <v>141.0855963855422</v>
      </c>
      <c r="U33" s="101">
        <f>'Buyer P&amp;L'!U29+'Target P&amp;L'!U29</f>
        <v>144.11747726423255</v>
      </c>
      <c r="V33" s="66"/>
    </row>
    <row r="34" spans="1:24" s="52" customFormat="1" ht="12.75" customHeight="1" x14ac:dyDescent="0.3">
      <c r="C34" s="52" t="s">
        <v>84</v>
      </c>
      <c r="G34" s="58">
        <f>G33/G$7</f>
        <v>1.0736431659611341E-2</v>
      </c>
      <c r="I34" s="58">
        <f>I33/I$7</f>
        <v>7.2673711709082822E-3</v>
      </c>
      <c r="K34" s="58">
        <f>K33/K$7</f>
        <v>7.499487788163315E-3</v>
      </c>
      <c r="M34" s="58">
        <f>M33/M$7</f>
        <v>7.8814980435997755E-3</v>
      </c>
      <c r="O34" s="58">
        <f>O33/O$7</f>
        <v>7.0009688303878659E-3</v>
      </c>
      <c r="Q34" s="58">
        <f>Q33/Q$7</f>
        <v>8.7803482903266814E-3</v>
      </c>
      <c r="S34" s="58">
        <f>S33/S$7</f>
        <v>8.7303119532969927E-3</v>
      </c>
      <c r="U34" s="58">
        <f>U33/U$7</f>
        <v>8.6803569832322215E-3</v>
      </c>
      <c r="V34" s="64"/>
    </row>
    <row r="35" spans="1:24" ht="5" customHeight="1" x14ac:dyDescent="0.25">
      <c r="V35" s="65"/>
    </row>
    <row r="36" spans="1:24" s="19" customFormat="1" ht="13" x14ac:dyDescent="0.3">
      <c r="B36" s="19" t="s">
        <v>93</v>
      </c>
      <c r="G36" s="62">
        <f>G21-G30-G33</f>
        <v>809.60000000000014</v>
      </c>
      <c r="I36" s="62">
        <f>I21-I30-I33</f>
        <v>2442.4000000000019</v>
      </c>
      <c r="K36" s="62">
        <f>K21-K30-K33</f>
        <v>1932.349999999999</v>
      </c>
      <c r="M36" s="62">
        <f>M21-M30-M33</f>
        <v>932.49031102535832</v>
      </c>
      <c r="O36" s="62">
        <f>O21-O30-O33</f>
        <v>2939.3903110253573</v>
      </c>
      <c r="Q36" s="62">
        <f>Q21-Q30-Q33</f>
        <v>3229.2703110253588</v>
      </c>
      <c r="S36" s="62">
        <f>S21-S30-S33</f>
        <v>3295.9800275083107</v>
      </c>
      <c r="U36" s="62">
        <f>U21-U30-U33</f>
        <v>3365.1987997229089</v>
      </c>
      <c r="V36" s="63"/>
      <c r="X36" s="56">
        <f>(U36/M36)^(1/4)-1</f>
        <v>0.37829315503034255</v>
      </c>
    </row>
    <row r="37" spans="1:24" s="52" customFormat="1" ht="12.75" customHeight="1" x14ac:dyDescent="0.3">
      <c r="C37" s="52" t="s">
        <v>86</v>
      </c>
      <c r="G37" s="58">
        <f>G36/G$7</f>
        <v>7.3074527714345042E-2</v>
      </c>
      <c r="I37" s="58">
        <f>I36/I$7</f>
        <v>0.16969242206334992</v>
      </c>
      <c r="K37" s="58">
        <f>K36/K$7</f>
        <v>0.13652035070614577</v>
      </c>
      <c r="M37" s="58">
        <f>M36/M$7</f>
        <v>6.5154437606578977E-2</v>
      </c>
      <c r="O37" s="58">
        <f>O36/O$7</f>
        <v>0.19639797621523786</v>
      </c>
      <c r="Q37" s="58">
        <f>Q36/Q$7</f>
        <v>0.20524153495775765</v>
      </c>
      <c r="S37" s="58">
        <f>S36/S$7</f>
        <v>0.20395373141671519</v>
      </c>
      <c r="U37" s="58">
        <f>U36/U$7</f>
        <v>0.20268969076930365</v>
      </c>
      <c r="V37" s="64"/>
    </row>
    <row r="38" spans="1:24" ht="5" customHeight="1" x14ac:dyDescent="0.25">
      <c r="V38" s="65"/>
    </row>
    <row r="39" spans="1:24" s="19" customFormat="1" ht="13" x14ac:dyDescent="0.3">
      <c r="B39" s="19" t="s">
        <v>94</v>
      </c>
      <c r="G39" s="62">
        <f>G36+G33+SUM(G27:G28)</f>
        <v>928.55000000000018</v>
      </c>
      <c r="I39" s="62">
        <f>I36+I33+SUM(I27:I28)</f>
        <v>2547.0000000000018</v>
      </c>
      <c r="K39" s="62">
        <f>K36+K33+SUM(K27:K28)</f>
        <v>2038.4999999999991</v>
      </c>
      <c r="M39" s="62">
        <f>M36+M33+SUM(M27:M28)</f>
        <v>1819.4200000000003</v>
      </c>
      <c r="O39" s="62">
        <f>O36+O33+SUM(O27:O28)</f>
        <v>3824.2999999999993</v>
      </c>
      <c r="Q39" s="62">
        <f>Q36+Q33+SUM(Q27:Q28)</f>
        <v>4150.5500000000011</v>
      </c>
      <c r="S39" s="62">
        <f>S36+S33+SUM(S27:S28)</f>
        <v>4220.1953128684945</v>
      </c>
      <c r="U39" s="62">
        <f>U36+U33+SUM(U27:U28)</f>
        <v>4292.4459659617833</v>
      </c>
      <c r="V39" s="63"/>
      <c r="X39" s="56">
        <f>(U39/M39)^(1/4)-1</f>
        <v>0.23934713778469208</v>
      </c>
    </row>
    <row r="40" spans="1:24" s="52" customFormat="1" ht="12.75" customHeight="1" x14ac:dyDescent="0.3">
      <c r="C40" s="52" t="s">
        <v>86</v>
      </c>
      <c r="G40" s="58">
        <f>G39/G$7</f>
        <v>8.3810959373956384E-2</v>
      </c>
      <c r="I40" s="58">
        <f>I39/I$7</f>
        <v>0.1769597932342582</v>
      </c>
      <c r="K40" s="58">
        <f>K39/K$7</f>
        <v>0.1440198384943091</v>
      </c>
      <c r="M40" s="58">
        <f>M39/M$7</f>
        <v>0.12712548910005592</v>
      </c>
      <c r="O40" s="58">
        <f>O39/O$7</f>
        <v>0.25552400360805794</v>
      </c>
      <c r="Q40" s="58">
        <f>Q39/Q$7</f>
        <v>0.26379496631498672</v>
      </c>
      <c r="S40" s="58">
        <f>S39/S$7</f>
        <v>0.26114374910746968</v>
      </c>
      <c r="U40" s="58">
        <f>U39/U$7</f>
        <v>0.25853882556845603</v>
      </c>
      <c r="V40" s="64"/>
    </row>
    <row r="41" spans="1:24" ht="5" customHeight="1" x14ac:dyDescent="0.25">
      <c r="A41" s="67"/>
      <c r="B41" s="67"/>
      <c r="C41" s="67"/>
      <c r="D41" s="67"/>
      <c r="E41" s="67"/>
      <c r="F41" s="67"/>
      <c r="G41" s="67"/>
      <c r="H41" s="67"/>
      <c r="I41" s="67"/>
      <c r="J41" s="67"/>
      <c r="K41" s="67"/>
      <c r="L41" s="67"/>
      <c r="M41" s="67"/>
      <c r="N41" s="67"/>
      <c r="O41" s="67"/>
      <c r="P41" s="67"/>
      <c r="Q41" s="67"/>
      <c r="R41" s="67"/>
      <c r="S41" s="67"/>
      <c r="T41" s="67"/>
      <c r="U41" s="67"/>
      <c r="V41" s="68"/>
    </row>
    <row r="42" spans="1:24" ht="5" customHeight="1" x14ac:dyDescent="0.25">
      <c r="C42" s="69"/>
    </row>
    <row r="43" spans="1:24" s="57" customFormat="1" x14ac:dyDescent="0.25">
      <c r="B43" s="57" t="s">
        <v>95</v>
      </c>
      <c r="G43" s="101"/>
      <c r="I43" s="101"/>
      <c r="K43" s="101"/>
      <c r="M43" s="101">
        <f>'Buyer P&amp;L'!M39+'Target P&amp;L'!M39</f>
        <v>-391.7</v>
      </c>
      <c r="O43" s="101">
        <f>'Buyer P&amp;L'!O39+'Target P&amp;L'!O39+cash_rate*CHOOSE(case,'S&amp;U'!$H$31,'S&amp;U'!$J$31,'S&amp;U'!$L$31,'S&amp;U'!$N$31,'S&amp;U'!$P$31,'S&amp;U'!$R$31,'S&amp;U'!$T$31)+debt_rate*CHOOSE(case,'S&amp;U'!$H$33,'S&amp;U'!$J$33,'S&amp;U'!$L$33,'S&amp;U'!$N$33,'S&amp;U'!$P$33,'S&amp;U'!$R$33,'S&amp;U'!$T$33)-IF(Assumptions!$L$26&gt;Assumptions!$S$7,0,Assumptions!$L$25*Assumptions!$L$28)-IF(Assumptions!$N$26&gt;Assumptions!$S$7,0,Assumptions!$N$25*Assumptions!$N$28)</f>
        <v>252.26630799999998</v>
      </c>
      <c r="Q43" s="101">
        <f>'Buyer P&amp;L'!Q39+'Target P&amp;L'!Q39+cash_rate*CHOOSE(case,'S&amp;U'!$H$31,'S&amp;U'!$J$31,'S&amp;U'!$L$31,'S&amp;U'!$N$31,'S&amp;U'!$P$31,'S&amp;U'!$R$31,'S&amp;U'!$T$31)+debt_rate*CHOOSE(case,'S&amp;U'!$H$33,'S&amp;U'!$J$33,'S&amp;U'!$L$33,'S&amp;U'!$N$33,'S&amp;U'!$P$33,'S&amp;U'!$R$33,'S&amp;U'!$T$33)-IF(Assumptions!$L$26&gt;Assumptions!$S$7,0,Assumptions!$L$25*Assumptions!$L$28)-IF(Assumptions!$N$26&gt;Assumptions!$S$7,0,Assumptions!$N$25*Assumptions!$N$28)</f>
        <v>170.366308</v>
      </c>
      <c r="S43" s="101">
        <f>'Buyer P&amp;L'!S39+'Target P&amp;L'!S39+cash_rate*CHOOSE(case,'S&amp;U'!$H$31,'S&amp;U'!$J$31,'S&amp;U'!$L$31,'S&amp;U'!$N$31,'S&amp;U'!$P$31,'S&amp;U'!$R$31,'S&amp;U'!$T$31)+debt_rate*CHOOSE(case,'S&amp;U'!$H$33,'S&amp;U'!$J$33,'S&amp;U'!$L$33,'S&amp;U'!$N$33,'S&amp;U'!$P$33,'S&amp;U'!$R$33,'S&amp;U'!$T$33)-IF(Assumptions!$L$26&gt;Assumptions!$S$7,0,Assumptions!$L$25*Assumptions!$L$28)-IF(Assumptions!$N$26&gt;Assumptions!$S$7,0,Assumptions!$N$25*Assumptions!$N$28)</f>
        <v>170.366308</v>
      </c>
      <c r="U43" s="101">
        <f>'Buyer P&amp;L'!U39+'Target P&amp;L'!U39+cash_rate*CHOOSE(case,'S&amp;U'!$H$31,'S&amp;U'!$J$31,'S&amp;U'!$L$31,'S&amp;U'!$N$31,'S&amp;U'!$P$31,'S&amp;U'!$R$31,'S&amp;U'!$T$31)+debt_rate*CHOOSE(case,'S&amp;U'!$H$33,'S&amp;U'!$J$33,'S&amp;U'!$L$33,'S&amp;U'!$N$33,'S&amp;U'!$P$33,'S&amp;U'!$R$33,'S&amp;U'!$T$33)-IF(Assumptions!$L$26&gt;Assumptions!$S$7,0,Assumptions!$L$25*Assumptions!$L$28)-IF(Assumptions!$N$26&gt;Assumptions!$S$7,0,Assumptions!$N$25*Assumptions!$N$28)</f>
        <v>170.366308</v>
      </c>
    </row>
    <row r="44" spans="1:24" x14ac:dyDescent="0.25">
      <c r="B44" t="s">
        <v>96</v>
      </c>
      <c r="G44" s="70"/>
      <c r="I44" s="70"/>
      <c r="K44" s="70"/>
      <c r="M44" s="162">
        <f>'Buyer P&amp;L'!M40+'Target P&amp;L'!M40</f>
        <v>0</v>
      </c>
      <c r="N44" s="163"/>
      <c r="O44" s="162">
        <f>'Buyer P&amp;L'!O40+'Target P&amp;L'!O40</f>
        <v>0</v>
      </c>
      <c r="P44" s="163"/>
      <c r="Q44" s="162">
        <f>'Buyer P&amp;L'!Q40+'Target P&amp;L'!Q40</f>
        <v>0</v>
      </c>
      <c r="R44" s="163"/>
      <c r="S44" s="162">
        <f>'Buyer P&amp;L'!S40+'Target P&amp;L'!S40</f>
        <v>0</v>
      </c>
      <c r="T44" s="163"/>
      <c r="U44" s="162">
        <f>'Buyer P&amp;L'!U40+'Target P&amp;L'!U40</f>
        <v>0</v>
      </c>
    </row>
    <row r="45" spans="1:24" x14ac:dyDescent="0.25">
      <c r="B45" t="s">
        <v>97</v>
      </c>
      <c r="G45" s="70"/>
      <c r="I45" s="70"/>
      <c r="K45" s="70"/>
      <c r="M45" s="162">
        <f>'Buyer P&amp;L'!M41+'Target P&amp;L'!M41</f>
        <v>0</v>
      </c>
      <c r="N45" s="163"/>
      <c r="O45" s="162">
        <f>'Buyer P&amp;L'!O41+'Target P&amp;L'!O41</f>
        <v>0</v>
      </c>
      <c r="P45" s="163"/>
      <c r="Q45" s="162">
        <f>'Buyer P&amp;L'!Q41+'Target P&amp;L'!Q41</f>
        <v>0</v>
      </c>
      <c r="R45" s="163"/>
      <c r="S45" s="162">
        <f>'Buyer P&amp;L'!S41+'Target P&amp;L'!S41</f>
        <v>0</v>
      </c>
      <c r="T45" s="163"/>
      <c r="U45" s="162">
        <f>'Buyer P&amp;L'!U41+'Target P&amp;L'!U41</f>
        <v>0</v>
      </c>
    </row>
    <row r="46" spans="1:24" s="57" customFormat="1" x14ac:dyDescent="0.25">
      <c r="B46" s="57" t="s">
        <v>98</v>
      </c>
      <c r="G46" s="17"/>
      <c r="I46" s="17"/>
      <c r="K46" s="17"/>
      <c r="M46" s="164">
        <f>'Buyer P&amp;L'!M42+'Target P&amp;L'!M42</f>
        <v>4.3</v>
      </c>
      <c r="N46" s="163"/>
      <c r="O46" s="162">
        <f>'Buyer P&amp;L'!O42+'Target P&amp;L'!O42</f>
        <v>0</v>
      </c>
      <c r="P46" s="163"/>
      <c r="Q46" s="162">
        <f>'Buyer P&amp;L'!Q42+'Target P&amp;L'!Q42</f>
        <v>2.4</v>
      </c>
      <c r="R46" s="163"/>
      <c r="S46" s="162">
        <f>'Buyer P&amp;L'!S42+'Target P&amp;L'!S42</f>
        <v>2.4</v>
      </c>
      <c r="T46" s="163"/>
      <c r="U46" s="162">
        <f>'Buyer P&amp;L'!U42+'Target P&amp;L'!U42</f>
        <v>2.4</v>
      </c>
    </row>
    <row r="47" spans="1:24" s="57" customFormat="1" ht="13.5" customHeight="1" thickBot="1" x14ac:dyDescent="0.3">
      <c r="B47" s="57" t="s">
        <v>259</v>
      </c>
      <c r="G47" s="17"/>
      <c r="I47" s="17"/>
      <c r="K47" s="17"/>
      <c r="M47" s="164">
        <f>CHOOSE(case,GAAP!L87,GAAP!N87,GAAP!P87,GAAP!R87,GAAP!T87,GAAP!V87,GAAP!X87)</f>
        <v>0</v>
      </c>
      <c r="N47" s="163"/>
      <c r="O47" s="164">
        <f>CHOOSE(case,GAAP!L78+GAAP!L87,GAAP!N78+GAAP!N87,GAAP!P78+GAAP!P87,GAAP!R78+GAAP!R87,GAAP!T78+GAAP!T87,GAAP!V78+GAAP!V87,GAAP!X78+GAAP!X87)</f>
        <v>0</v>
      </c>
      <c r="P47" s="163"/>
      <c r="Q47" s="74">
        <f>M47</f>
        <v>0</v>
      </c>
      <c r="S47" s="74">
        <f>Q47</f>
        <v>0</v>
      </c>
      <c r="U47" s="74">
        <f>S47</f>
        <v>0</v>
      </c>
    </row>
    <row r="48" spans="1:24" ht="5" customHeight="1" x14ac:dyDescent="0.25">
      <c r="G48" s="16"/>
      <c r="I48" s="16"/>
      <c r="K48" s="16"/>
      <c r="M48" s="59"/>
      <c r="O48" s="59"/>
      <c r="Q48" s="59"/>
      <c r="S48" s="59"/>
      <c r="U48" s="59"/>
    </row>
    <row r="49" spans="1:24" ht="13" x14ac:dyDescent="0.3">
      <c r="B49" t="s">
        <v>99</v>
      </c>
      <c r="G49" s="16"/>
      <c r="I49" s="16"/>
      <c r="K49" s="16"/>
      <c r="M49" s="16">
        <f>M39-SUM(M43:M47)</f>
        <v>2206.8200000000002</v>
      </c>
      <c r="O49" s="16">
        <f>O39-SUM(O43:O47)</f>
        <v>3572.0336919999991</v>
      </c>
      <c r="Q49" s="16">
        <f>Q39-SUM(Q43:Q47)</f>
        <v>3977.7836920000009</v>
      </c>
      <c r="S49" s="16">
        <f>S39-SUM(S43:S47)</f>
        <v>4047.4290048684943</v>
      </c>
      <c r="T49" s="16"/>
      <c r="U49" s="16">
        <f>U39-SUM(U43:U47)</f>
        <v>4119.6796579617831</v>
      </c>
      <c r="X49" s="56">
        <f>(U49/M49)^(1/4)-1</f>
        <v>0.16889132083829628</v>
      </c>
    </row>
    <row r="50" spans="1:24" ht="5" customHeight="1" x14ac:dyDescent="0.25"/>
    <row r="51" spans="1:24" s="57" customFormat="1" ht="12.75" customHeight="1" x14ac:dyDescent="0.25">
      <c r="B51" s="57" t="s">
        <v>100</v>
      </c>
      <c r="G51" s="17"/>
      <c r="I51" s="17"/>
      <c r="K51" s="17"/>
      <c r="M51" s="74">
        <f>M49*M52</f>
        <v>611.28914000000009</v>
      </c>
      <c r="O51" s="74">
        <f>O49*O52</f>
        <v>989.45333268399986</v>
      </c>
      <c r="Q51" s="74">
        <f>Q49*Q52</f>
        <v>1101.8460826840003</v>
      </c>
      <c r="S51" s="74">
        <f>S49*S52</f>
        <v>1121.1378343485731</v>
      </c>
      <c r="U51" s="74">
        <f>U49*U52</f>
        <v>1141.151265255414</v>
      </c>
    </row>
    <row r="52" spans="1:24" s="52" customFormat="1" ht="12.75" customHeight="1" thickBot="1" x14ac:dyDescent="0.35">
      <c r="C52" s="52" t="s">
        <v>101</v>
      </c>
      <c r="G52" s="56"/>
      <c r="I52" s="56"/>
      <c r="K52" s="56"/>
      <c r="M52" s="49">
        <f>tax_rate</f>
        <v>0.27700000000000002</v>
      </c>
      <c r="O52" s="56">
        <f>M52</f>
        <v>0.27700000000000002</v>
      </c>
      <c r="Q52" s="56">
        <f>O52</f>
        <v>0.27700000000000002</v>
      </c>
      <c r="S52" s="56">
        <f>Q52</f>
        <v>0.27700000000000002</v>
      </c>
      <c r="U52" s="56">
        <f>S52</f>
        <v>0.27700000000000002</v>
      </c>
    </row>
    <row r="53" spans="1:24" ht="5" customHeight="1" x14ac:dyDescent="0.25">
      <c r="G53" s="16"/>
      <c r="I53" s="16"/>
      <c r="K53" s="16"/>
      <c r="M53" s="59"/>
      <c r="O53" s="59"/>
      <c r="Q53" s="59"/>
      <c r="S53" s="59"/>
      <c r="U53" s="59"/>
    </row>
    <row r="54" spans="1:24" s="19" customFormat="1" ht="13" x14ac:dyDescent="0.3">
      <c r="B54" s="19" t="s">
        <v>260</v>
      </c>
      <c r="G54" s="62"/>
      <c r="H54" s="62"/>
      <c r="I54" s="62"/>
      <c r="K54" s="62"/>
      <c r="M54" s="62">
        <f>M49-M51</f>
        <v>1595.5308600000001</v>
      </c>
      <c r="O54" s="62">
        <f>O49-O51</f>
        <v>2582.580359315999</v>
      </c>
      <c r="Q54" s="62">
        <f>Q49-Q51</f>
        <v>2875.9376093160008</v>
      </c>
      <c r="S54" s="62">
        <f>S49-S51</f>
        <v>2926.2911705199213</v>
      </c>
      <c r="U54" s="62">
        <f>U49-U51</f>
        <v>2978.5283927063692</v>
      </c>
      <c r="X54" s="56">
        <f>(U54/M54)^(1/4)-1</f>
        <v>0.16889132083829628</v>
      </c>
    </row>
    <row r="55" spans="1:24" s="52" customFormat="1" ht="12.75" customHeight="1" x14ac:dyDescent="0.3">
      <c r="C55" s="52" t="s">
        <v>86</v>
      </c>
      <c r="G55" s="58"/>
      <c r="I55" s="58"/>
      <c r="K55" s="58"/>
      <c r="M55" s="58">
        <f>M54/M$7</f>
        <v>0.11148203325880381</v>
      </c>
      <c r="O55" s="58">
        <f>O54/O$7</f>
        <v>0.17255740215254062</v>
      </c>
      <c r="Q55" s="58">
        <f>Q54/Q$7</f>
        <v>0.18278489953705357</v>
      </c>
      <c r="S55" s="58">
        <f>S54/S$7</f>
        <v>0.18107755461446595</v>
      </c>
      <c r="U55" s="58">
        <f>U54/U$7</f>
        <v>0.17940009930912704</v>
      </c>
    </row>
    <row r="56" spans="1:24" ht="5" customHeight="1" x14ac:dyDescent="0.25"/>
    <row r="57" spans="1:24" s="19" customFormat="1" ht="12.75" customHeight="1" x14ac:dyDescent="0.3">
      <c r="A57" s="71"/>
      <c r="B57" s="71" t="s">
        <v>261</v>
      </c>
      <c r="C57" s="71"/>
      <c r="D57" s="71"/>
      <c r="E57" s="71"/>
      <c r="F57" s="71"/>
      <c r="G57" s="72"/>
      <c r="H57" s="71"/>
      <c r="I57" s="72"/>
      <c r="J57" s="71"/>
      <c r="K57" s="72"/>
      <c r="L57" s="71"/>
      <c r="M57" s="72">
        <f>M54/M59</f>
        <v>4.6012969109819331</v>
      </c>
      <c r="N57" s="71"/>
      <c r="O57" s="72">
        <f>O54/O59</f>
        <v>6.9926703423241658</v>
      </c>
      <c r="P57" s="71"/>
      <c r="Q57" s="72">
        <f>Q54/Q59</f>
        <v>7.9699690815351802</v>
      </c>
      <c r="R57" s="71"/>
      <c r="S57" s="72">
        <f>S54/S59</f>
        <v>8.1095118604329066</v>
      </c>
      <c r="T57" s="71"/>
      <c r="U57" s="72">
        <f>U54/U59</f>
        <v>8.254274752500752</v>
      </c>
      <c r="V57" s="73"/>
      <c r="X57" s="56">
        <f>(U57/M57)^(1/4)-1</f>
        <v>0.15730989309251675</v>
      </c>
    </row>
    <row r="58" spans="1:24" ht="5" customHeight="1" x14ac:dyDescent="0.25"/>
    <row r="59" spans="1:24" x14ac:dyDescent="0.25">
      <c r="B59" t="s">
        <v>104</v>
      </c>
      <c r="G59" s="12"/>
      <c r="H59" s="13"/>
      <c r="I59" s="12"/>
      <c r="J59" s="13"/>
      <c r="K59" s="12"/>
      <c r="M59" s="168">
        <f>'Buyer P&amp;L'!M53+CHOOSE(case,'S&amp;U'!$H$10,'S&amp;U'!$J$10,'S&amp;U'!$L$10,'S&amp;U'!$N$10,'S&amp;U'!$P$10,'S&amp;U'!$R$10,'S&amp;U'!$T$10)*(1-pct_cash)/acq_price</f>
        <v>346.75677115987457</v>
      </c>
      <c r="N59" s="100"/>
      <c r="O59" s="168">
        <f>'Buyer P&amp;L'!O53+CHOOSE(case,'S&amp;U'!$H$10,'S&amp;U'!$J$10,'S&amp;U'!$L$10,'S&amp;U'!$N$10,'S&amp;U'!$P$10,'S&amp;U'!$R$10,'S&amp;U'!$T$10)*(1-pct_cash)/acq_price</f>
        <v>369.32677115987457</v>
      </c>
      <c r="P59" s="100"/>
      <c r="Q59" s="168">
        <f>'Buyer P&amp;L'!Q53+CHOOSE(case,'S&amp;U'!$H$10,'S&amp;U'!$J$10,'S&amp;U'!$L$10,'S&amp;U'!$N$10,'S&amp;U'!$P$10,'S&amp;U'!$R$10,'S&amp;U'!$T$10)*(1-pct_cash)/acq_price</f>
        <v>360.84677115987455</v>
      </c>
      <c r="R59" s="100"/>
      <c r="S59" s="168">
        <f>'Buyer P&amp;L'!S53+CHOOSE(case,'S&amp;U'!$H$10,'S&amp;U'!$J$10,'S&amp;U'!$L$10,'S&amp;U'!$N$10,'S&amp;U'!$P$10,'S&amp;U'!$R$10,'S&amp;U'!$T$10)*(1-pct_cash)/acq_price</f>
        <v>360.84677115987455</v>
      </c>
      <c r="T59" s="100"/>
      <c r="U59" s="168">
        <f>'Buyer P&amp;L'!U53+CHOOSE(case,'S&amp;U'!$H$10,'S&amp;U'!$J$10,'S&amp;U'!$L$10,'S&amp;U'!$N$10,'S&amp;U'!$P$10,'S&amp;U'!$R$10,'S&amp;U'!$T$10)*(1-pct_cash)/acq_price</f>
        <v>360.84677115987455</v>
      </c>
    </row>
    <row r="60" spans="1:24" ht="12.75" customHeight="1" x14ac:dyDescent="0.25"/>
    <row r="61" spans="1:24" ht="12.75" customHeight="1" x14ac:dyDescent="0.25">
      <c r="B61" t="str">
        <f>acq&amp;" Standalone Cash Diluted EPS"</f>
        <v>Bath &amp; Body Works, Inc. Standalone Cash Diluted EPS</v>
      </c>
      <c r="M61" s="97">
        <f>'Buyer P&amp;L'!M51</f>
        <v>4.8372722904198158</v>
      </c>
      <c r="O61" s="97">
        <f>'Buyer P&amp;L'!O51</f>
        <v>4.7661841895975821</v>
      </c>
      <c r="Q61" s="97">
        <f>'Buyer P&amp;L'!Q51</f>
        <v>5.1539094650205763</v>
      </c>
      <c r="S61" s="97">
        <f>'Buyer P&amp;L'!S51</f>
        <v>5.3256761368580117</v>
      </c>
      <c r="U61" s="97">
        <f>'Buyer P&amp;L'!U51</f>
        <v>5.5048400916661446</v>
      </c>
    </row>
    <row r="62" spans="1:24" ht="12.75" customHeight="1" x14ac:dyDescent="0.25">
      <c r="A62" s="111"/>
      <c r="B62" s="111" t="s">
        <v>262</v>
      </c>
      <c r="C62" s="111"/>
      <c r="D62" s="111"/>
      <c r="E62" s="111"/>
      <c r="F62" s="111"/>
      <c r="G62" s="111"/>
      <c r="H62" s="111"/>
      <c r="I62" s="111"/>
      <c r="J62" s="111"/>
      <c r="K62" s="111"/>
      <c r="L62" s="111"/>
      <c r="M62" s="165">
        <f>M57-M61</f>
        <v>-0.23597537943788272</v>
      </c>
      <c r="N62" s="111"/>
      <c r="O62" s="165">
        <f>O57-O61</f>
        <v>2.2264861527265838</v>
      </c>
      <c r="P62" s="111"/>
      <c r="Q62" s="165">
        <f>Q57-Q61</f>
        <v>2.8160596165146039</v>
      </c>
      <c r="R62" s="111"/>
      <c r="S62" s="165">
        <f>S57-S61</f>
        <v>2.7838357235748949</v>
      </c>
      <c r="T62" s="111"/>
      <c r="U62" s="165">
        <f>U57-U61</f>
        <v>2.7494346608346074</v>
      </c>
      <c r="V62" s="111"/>
    </row>
    <row r="63" spans="1:24" s="52" customFormat="1" ht="12.75" customHeight="1" x14ac:dyDescent="0.3">
      <c r="A63" s="166"/>
      <c r="B63" s="166" t="s">
        <v>263</v>
      </c>
      <c r="C63" s="166"/>
      <c r="D63" s="166"/>
      <c r="E63" s="166"/>
      <c r="F63" s="166"/>
      <c r="G63" s="166"/>
      <c r="H63" s="166"/>
      <c r="I63" s="166"/>
      <c r="J63" s="166"/>
      <c r="K63" s="166"/>
      <c r="L63" s="166"/>
      <c r="M63" s="167">
        <f>M62/M61</f>
        <v>-4.87827364825483E-2</v>
      </c>
      <c r="N63" s="166"/>
      <c r="O63" s="167">
        <f>O62/O61</f>
        <v>0.467142280733924</v>
      </c>
      <c r="P63" s="166"/>
      <c r="Q63" s="167">
        <f>Q62/Q61</f>
        <v>0.54639291505353615</v>
      </c>
      <c r="R63" s="166"/>
      <c r="S63" s="167">
        <f>S62/S61</f>
        <v>0.52271967953674214</v>
      </c>
      <c r="T63" s="166"/>
      <c r="U63" s="167">
        <f>U62/U61</f>
        <v>0.49945767997820961</v>
      </c>
      <c r="V63" s="166"/>
    </row>
    <row r="64" spans="1:24" ht="12.75" customHeight="1" x14ac:dyDescent="0.25">
      <c r="B64" t="s">
        <v>264</v>
      </c>
      <c r="M64" s="16">
        <f>-M62*M59/(1-M52)</f>
        <v>113.17574086736718</v>
      </c>
      <c r="O64" s="16">
        <f>-O62*O59/(1-O52)</f>
        <v>-1137.3457009940257</v>
      </c>
      <c r="Q64" s="16">
        <f>-Q62*Q59/(1-Q52)</f>
        <v>-1405.4855048589341</v>
      </c>
      <c r="S64" s="16">
        <f>-S62*S59/(1-S52)</f>
        <v>-1389.4026726023706</v>
      </c>
      <c r="U64" s="16">
        <f>-U62*U59/(1-U52)</f>
        <v>-1372.2332225134342</v>
      </c>
    </row>
    <row r="65" spans="2:21" x14ac:dyDescent="0.25">
      <c r="M65" s="118"/>
    </row>
    <row r="66" spans="2:21" s="75" customFormat="1" x14ac:dyDescent="0.25">
      <c r="B66" s="75" t="s">
        <v>109</v>
      </c>
      <c r="G66" s="23"/>
      <c r="I66" s="23"/>
      <c r="K66" s="23"/>
      <c r="M66" s="113">
        <f>'Buyer P&amp;L'!M65+'Target P&amp;L'!M65</f>
        <v>307.07</v>
      </c>
      <c r="O66" s="113">
        <f>'Buyer P&amp;L'!O65+'Target P&amp;L'!O65</f>
        <v>271.7</v>
      </c>
      <c r="Q66" s="113">
        <f>'Buyer P&amp;L'!Q65+'Target P&amp;L'!Q65</f>
        <v>301.60341265964126</v>
      </c>
      <c r="S66" s="113">
        <f>'Buyer P&amp;L'!S65+'Target P&amp;L'!S65</f>
        <v>347.11278208487909</v>
      </c>
      <c r="U66" s="113">
        <f>'Buyer P&amp;L'!U65+'Target P&amp;L'!U65</f>
        <v>308.4061792862002</v>
      </c>
    </row>
    <row r="67" spans="2:21" s="52" customFormat="1" ht="12.75" customHeight="1" x14ac:dyDescent="0.3">
      <c r="C67" s="52" t="s">
        <v>84</v>
      </c>
      <c r="G67" s="58"/>
      <c r="I67" s="58"/>
      <c r="K67" s="58"/>
      <c r="M67" s="58">
        <f>M66/M$7</f>
        <v>2.1455422023476802E-2</v>
      </c>
      <c r="O67" s="58">
        <f>O66/O$7</f>
        <v>1.8153876991948686E-2</v>
      </c>
      <c r="Q67" s="58">
        <f>Q66/Q$7</f>
        <v>1.9168896190392859E-2</v>
      </c>
      <c r="S67" s="58">
        <f>S66/S$7</f>
        <v>2.1479179648478529E-2</v>
      </c>
      <c r="U67" s="58">
        <f>U66/U$7</f>
        <v>1.8575649413642214E-2</v>
      </c>
    </row>
    <row r="69" spans="2:21" ht="14.5" x14ac:dyDescent="0.35">
      <c r="D69" s="316" t="s">
        <v>326</v>
      </c>
      <c r="E69" s="317"/>
      <c r="F69" s="317"/>
    </row>
    <row r="70" spans="2:21" ht="17" customHeight="1" x14ac:dyDescent="0.3">
      <c r="D70" s="305" t="s">
        <v>323</v>
      </c>
      <c r="E70" s="305"/>
      <c r="F70" s="61"/>
      <c r="G70" s="309">
        <v>520</v>
      </c>
      <c r="H70" s="306"/>
      <c r="J70" s="52"/>
      <c r="K70" s="52"/>
    </row>
    <row r="71" spans="2:21" ht="13" x14ac:dyDescent="0.3">
      <c r="D71" s="305" t="s">
        <v>324</v>
      </c>
      <c r="E71" s="307"/>
      <c r="F71" s="308"/>
      <c r="G71" s="308">
        <v>1100</v>
      </c>
    </row>
    <row r="72" spans="2:21" ht="6" customHeight="1" x14ac:dyDescent="0.3">
      <c r="D72" s="178"/>
      <c r="E72" s="19"/>
    </row>
    <row r="73" spans="2:21" ht="13" x14ac:dyDescent="0.3">
      <c r="D73" s="308"/>
      <c r="E73" s="307" t="s">
        <v>316</v>
      </c>
      <c r="F73" s="314" t="s">
        <v>325</v>
      </c>
      <c r="G73" s="315" t="s">
        <v>322</v>
      </c>
      <c r="J73" s="57"/>
      <c r="K73" s="57"/>
      <c r="L73" s="52"/>
    </row>
    <row r="74" spans="2:21" ht="13" x14ac:dyDescent="0.3">
      <c r="D74" s="309"/>
      <c r="E74" s="309"/>
      <c r="F74" s="309"/>
      <c r="G74" s="309"/>
      <c r="H74" s="52"/>
      <c r="J74" s="57"/>
      <c r="K74" s="57"/>
    </row>
    <row r="75" spans="2:21" x14ac:dyDescent="0.25">
      <c r="D75" s="310">
        <v>1</v>
      </c>
      <c r="E75" s="311" t="s">
        <v>318</v>
      </c>
      <c r="F75" s="308">
        <f>F76-100</f>
        <v>420</v>
      </c>
      <c r="G75" s="313">
        <v>0.34399999999999997</v>
      </c>
      <c r="L75" s="57"/>
    </row>
    <row r="76" spans="2:21" x14ac:dyDescent="0.25">
      <c r="D76" s="310">
        <v>2</v>
      </c>
      <c r="E76" s="311" t="s">
        <v>320</v>
      </c>
      <c r="F76" s="308">
        <f>520</f>
        <v>520</v>
      </c>
      <c r="G76" s="313">
        <v>0.46700000000000003</v>
      </c>
      <c r="H76" s="57"/>
    </row>
    <row r="77" spans="2:21" x14ac:dyDescent="0.25">
      <c r="D77" s="310">
        <v>3</v>
      </c>
      <c r="E77" s="312" t="s">
        <v>321</v>
      </c>
      <c r="F77" s="308">
        <f>F76+100</f>
        <v>620</v>
      </c>
      <c r="G77" s="313">
        <v>0.59</v>
      </c>
      <c r="H77" s="57"/>
    </row>
    <row r="78" spans="2:21" ht="13" x14ac:dyDescent="0.3">
      <c r="D78" s="52"/>
      <c r="E78" s="52"/>
      <c r="F78" s="52"/>
      <c r="G78" s="52"/>
      <c r="H78" s="52"/>
    </row>
    <row r="79" spans="2:21" ht="13" x14ac:dyDescent="0.3">
      <c r="D79" s="307"/>
      <c r="E79" s="305" t="s">
        <v>317</v>
      </c>
      <c r="F79" s="308"/>
      <c r="G79" s="315" t="s">
        <v>322</v>
      </c>
    </row>
    <row r="80" spans="2:21" ht="13" x14ac:dyDescent="0.3">
      <c r="D80" s="309"/>
      <c r="E80" s="309"/>
      <c r="F80" s="309"/>
      <c r="G80" s="309"/>
    </row>
    <row r="81" spans="4:8" ht="13" x14ac:dyDescent="0.3">
      <c r="D81" s="310">
        <v>1</v>
      </c>
      <c r="E81" s="311" t="s">
        <v>319</v>
      </c>
      <c r="F81" s="308">
        <f>F82-200</f>
        <v>900</v>
      </c>
      <c r="G81" s="313">
        <v>0.34399999999999997</v>
      </c>
      <c r="H81" s="52"/>
    </row>
    <row r="82" spans="4:8" x14ac:dyDescent="0.25">
      <c r="D82" s="310">
        <v>2</v>
      </c>
      <c r="E82" s="311" t="s">
        <v>320</v>
      </c>
      <c r="F82" s="308">
        <v>1100</v>
      </c>
      <c r="G82" s="313">
        <v>0.46700000000000003</v>
      </c>
    </row>
    <row r="83" spans="4:8" ht="13" x14ac:dyDescent="0.3">
      <c r="D83" s="310">
        <v>3</v>
      </c>
      <c r="E83" s="312" t="s">
        <v>321</v>
      </c>
      <c r="F83" s="308">
        <f>F82+200</f>
        <v>1300</v>
      </c>
      <c r="G83" s="313">
        <v>0.59</v>
      </c>
      <c r="H83" s="52"/>
    </row>
    <row r="85" spans="4:8" x14ac:dyDescent="0.25">
      <c r="H85" s="57"/>
    </row>
    <row r="86" spans="4:8" x14ac:dyDescent="0.25">
      <c r="H86" s="57"/>
    </row>
    <row r="87" spans="4:8" ht="13" x14ac:dyDescent="0.3">
      <c r="D87" s="52"/>
      <c r="E87" s="52"/>
      <c r="F87" s="52"/>
      <c r="G87" s="52"/>
      <c r="H87" s="52"/>
    </row>
  </sheetData>
  <phoneticPr fontId="12" type="noConversion"/>
  <dataValidations disablePrompts="1" count="1">
    <dataValidation type="list" allowBlank="1" showInputMessage="1" showErrorMessage="1" sqref="D93" xr:uid="{9517500D-E5A0-5F4A-8D82-89BE1EEF5EF7}">
      <formula1>$AE$15:$AE$17</formula1>
    </dataValidation>
  </dataValidations>
  <pageMargins left="0.75" right="0.75" top="1" bottom="1" header="0.5" footer="0.5"/>
  <headerFooter alignWithMargins="0"/>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X66"/>
  <sheetViews>
    <sheetView showGridLines="0" workbookViewId="0">
      <selection activeCell="AC49" sqref="AC49"/>
    </sheetView>
  </sheetViews>
  <sheetFormatPr defaultColWidth="8.81640625" defaultRowHeight="12.5" x14ac:dyDescent="0.25"/>
  <cols>
    <col min="1" max="1" width="0.81640625" customWidth="1"/>
    <col min="2" max="3" width="1.6328125" customWidth="1"/>
    <col min="4" max="6" width="7.6328125" customWidth="1"/>
    <col min="7" max="7" width="9.6328125" customWidth="1"/>
    <col min="8" max="8" width="1.6328125" customWidth="1"/>
    <col min="9" max="9" width="9.6328125" customWidth="1"/>
    <col min="10" max="10" width="1.6328125" customWidth="1"/>
    <col min="11" max="11" width="9.6328125" customWidth="1"/>
    <col min="12" max="12" width="1.6328125" customWidth="1"/>
    <col min="13" max="13" width="9.6328125" customWidth="1"/>
    <col min="14" max="14" width="1.6328125" customWidth="1"/>
    <col min="15" max="15" width="9.6328125" customWidth="1"/>
    <col min="16" max="16" width="1.6328125" customWidth="1"/>
    <col min="17" max="17" width="9.6328125" customWidth="1"/>
    <col min="18" max="18" width="1.6328125" customWidth="1"/>
    <col min="19" max="19" width="9.6328125" customWidth="1"/>
    <col min="20" max="20" width="1.6328125" customWidth="1"/>
    <col min="21" max="21" width="9.6328125" customWidth="1"/>
    <col min="22" max="23" width="0.81640625" customWidth="1"/>
    <col min="24" max="24" width="10.6328125" customWidth="1"/>
  </cols>
  <sheetData>
    <row r="1" spans="1:24" ht="24" customHeight="1" thickBot="1" x14ac:dyDescent="0.5">
      <c r="A1" s="1" t="str">
        <f>acq&amp;" Income Statement"</f>
        <v>Bath &amp; Body Works, Inc. Income Statement</v>
      </c>
      <c r="B1" s="51"/>
      <c r="C1" s="2"/>
      <c r="D1" s="2"/>
      <c r="E1" s="2"/>
      <c r="F1" s="2"/>
      <c r="G1" s="252"/>
      <c r="H1" s="252"/>
      <c r="I1" s="252"/>
      <c r="J1" s="252"/>
      <c r="K1" s="252"/>
      <c r="L1" s="2"/>
      <c r="M1" s="2"/>
      <c r="N1" s="2"/>
      <c r="O1" s="2"/>
      <c r="P1" s="2"/>
      <c r="Q1" s="2"/>
      <c r="R1" s="2"/>
      <c r="S1" s="2"/>
      <c r="T1" s="2"/>
      <c r="U1" s="2"/>
      <c r="V1" s="2"/>
      <c r="W1" s="2"/>
      <c r="X1" s="2"/>
    </row>
    <row r="2" spans="1:24" ht="12" customHeight="1" x14ac:dyDescent="0.3">
      <c r="A2" s="3" t="s">
        <v>1</v>
      </c>
      <c r="B2" s="52"/>
      <c r="G2" s="253"/>
      <c r="H2" s="253"/>
      <c r="I2" s="253"/>
      <c r="J2" s="253"/>
      <c r="K2" s="253"/>
      <c r="M2" s="77"/>
      <c r="N2" s="77"/>
      <c r="O2" s="77"/>
      <c r="P2" s="77"/>
      <c r="Q2" s="77"/>
      <c r="S2" s="77"/>
      <c r="T2" s="77"/>
      <c r="U2" s="77"/>
    </row>
    <row r="3" spans="1:24" ht="12.75" customHeight="1" x14ac:dyDescent="0.25">
      <c r="G3" s="253"/>
      <c r="H3" s="253"/>
      <c r="I3" s="253"/>
      <c r="J3" s="253"/>
      <c r="K3" s="253"/>
    </row>
    <row r="4" spans="1:24" ht="13.5" customHeight="1" thickBot="1" x14ac:dyDescent="0.35">
      <c r="G4" s="254" t="str">
        <f>year&amp;" Ended "&amp;IF(year="FY",TEXT(acq_fye,"mmmm d"),"December 31")&amp;","</f>
        <v>FY Ended January 28,</v>
      </c>
      <c r="H4" s="254"/>
      <c r="I4" s="254"/>
      <c r="J4" s="254"/>
      <c r="K4" s="254"/>
      <c r="L4" s="78"/>
      <c r="M4" s="7" t="str">
        <f>year&amp;" Ending "&amp;IF(year="FY",TEXT(acq_fye,"mmmm d"),"December 31")&amp;","</f>
        <v>FY Ending January 28,</v>
      </c>
      <c r="N4" s="31"/>
      <c r="O4" s="31"/>
      <c r="P4" s="31"/>
      <c r="Q4" s="31"/>
      <c r="R4" s="7"/>
      <c r="S4" s="31"/>
      <c r="T4" s="31"/>
      <c r="U4" s="31"/>
      <c r="X4" s="82" t="s">
        <v>110</v>
      </c>
    </row>
    <row r="5" spans="1:24" ht="13.5" customHeight="1" thickBot="1" x14ac:dyDescent="0.35">
      <c r="G5" s="255">
        <f>I5-1</f>
        <v>2021</v>
      </c>
      <c r="H5" s="256"/>
      <c r="I5" s="255">
        <f>K5-1</f>
        <v>2022</v>
      </c>
      <c r="J5" s="256"/>
      <c r="K5" s="257">
        <f>VALUE(TEXT(acq_fye,"yyyy"))</f>
        <v>2023</v>
      </c>
      <c r="L5" s="79"/>
      <c r="M5" s="80">
        <f>K5+1</f>
        <v>2024</v>
      </c>
      <c r="O5" s="80">
        <f>M5+1</f>
        <v>2025</v>
      </c>
      <c r="Q5" s="80">
        <f>O5+1</f>
        <v>2026</v>
      </c>
      <c r="R5" s="83"/>
      <c r="S5" s="84">
        <f>Q5+1</f>
        <v>2027</v>
      </c>
      <c r="U5" s="84">
        <f>S5+1</f>
        <v>2028</v>
      </c>
      <c r="X5" s="85" t="str">
        <f>M5&amp;"-"&amp;U5</f>
        <v>2024-2028</v>
      </c>
    </row>
    <row r="6" spans="1:24" ht="5" customHeight="1" x14ac:dyDescent="0.25">
      <c r="G6" s="256"/>
      <c r="H6" s="256"/>
      <c r="I6" s="256"/>
      <c r="J6" s="256"/>
      <c r="K6" s="256"/>
    </row>
    <row r="7" spans="1:24" s="53" customFormat="1" ht="12.75" customHeight="1" x14ac:dyDescent="0.3">
      <c r="B7" s="53" t="s">
        <v>81</v>
      </c>
      <c r="G7" s="258">
        <v>6434</v>
      </c>
      <c r="H7" s="259"/>
      <c r="I7" s="258">
        <v>7882</v>
      </c>
      <c r="J7" s="259"/>
      <c r="K7" s="258">
        <v>7560</v>
      </c>
      <c r="L7" s="54"/>
      <c r="M7" s="54">
        <v>7485</v>
      </c>
      <c r="O7" s="54">
        <v>7802</v>
      </c>
      <c r="Q7" s="54">
        <v>8138</v>
      </c>
      <c r="R7" s="54"/>
      <c r="S7" s="62">
        <f>Q7*(1+S8)</f>
        <v>8488.4701358626007</v>
      </c>
      <c r="U7" s="62">
        <f>S7*(1+U8)</f>
        <v>8854.0335767303059</v>
      </c>
      <c r="X7" s="56">
        <f>(U7/M7)^(1/(U$5-$M$5))-1</f>
        <v>4.2887206854894E-2</v>
      </c>
    </row>
    <row r="8" spans="1:24" s="52" customFormat="1" ht="12.75" customHeight="1" x14ac:dyDescent="0.3">
      <c r="C8" s="52" t="s">
        <v>82</v>
      </c>
      <c r="G8" s="260" t="s">
        <v>21</v>
      </c>
      <c r="H8" s="261"/>
      <c r="I8" s="262">
        <f>I7/G7-1</f>
        <v>0.22505439850792675</v>
      </c>
      <c r="J8" s="261"/>
      <c r="K8" s="262">
        <f>K7/I7-1</f>
        <v>-4.0852575488454668E-2</v>
      </c>
      <c r="L8" s="56"/>
      <c r="M8" s="56">
        <f>M7/K7-1</f>
        <v>-9.9206349206348854E-3</v>
      </c>
      <c r="N8" s="3"/>
      <c r="O8" s="56">
        <f>O7/M7-1</f>
        <v>4.2351369405477568E-2</v>
      </c>
      <c r="P8" s="3"/>
      <c r="Q8" s="56">
        <f>Q7/O7-1</f>
        <v>4.3065880543450508E-2</v>
      </c>
      <c r="R8" s="56"/>
      <c r="S8" s="56">
        <f>Q8</f>
        <v>4.3065880543450508E-2</v>
      </c>
      <c r="T8" s="3"/>
      <c r="U8" s="56">
        <f>S8</f>
        <v>4.3065880543450508E-2</v>
      </c>
      <c r="X8" s="3"/>
    </row>
    <row r="9" spans="1:24" ht="5" customHeight="1" x14ac:dyDescent="0.25">
      <c r="G9" s="256"/>
      <c r="H9" s="256"/>
      <c r="I9" s="256"/>
      <c r="J9" s="256"/>
      <c r="K9" s="256"/>
    </row>
    <row r="10" spans="1:24" s="57" customFormat="1" x14ac:dyDescent="0.25">
      <c r="B10" s="57" t="s">
        <v>83</v>
      </c>
      <c r="G10" s="263">
        <v>3338</v>
      </c>
      <c r="H10" s="264"/>
      <c r="I10" s="263">
        <v>4027</v>
      </c>
      <c r="J10" s="264"/>
      <c r="K10" s="263">
        <v>4305</v>
      </c>
      <c r="L10" s="17"/>
      <c r="M10" s="17">
        <v>4340</v>
      </c>
      <c r="O10" s="17">
        <v>4421</v>
      </c>
      <c r="Q10" s="17">
        <v>4619</v>
      </c>
      <c r="R10" s="17"/>
      <c r="S10" s="74">
        <f>S11*S7</f>
        <v>4817.9213022301983</v>
      </c>
      <c r="U10" s="74">
        <f>U11*U7</f>
        <v>5025.4093254997888</v>
      </c>
    </row>
    <row r="11" spans="1:24" s="52" customFormat="1" ht="12.75" customHeight="1" thickBot="1" x14ac:dyDescent="0.35">
      <c r="C11" s="52" t="s">
        <v>84</v>
      </c>
      <c r="G11" s="265">
        <f>G10/G7</f>
        <v>0.51880634131178116</v>
      </c>
      <c r="H11" s="261"/>
      <c r="I11" s="265">
        <f>I10/I7</f>
        <v>0.51091093631058104</v>
      </c>
      <c r="J11" s="261"/>
      <c r="K11" s="265">
        <f>K10/K7</f>
        <v>0.56944444444444442</v>
      </c>
      <c r="L11" s="58"/>
      <c r="M11" s="58">
        <f>M10/M7</f>
        <v>0.57982631930527717</v>
      </c>
      <c r="N11" s="3"/>
      <c r="O11" s="58">
        <f>O10/O7</f>
        <v>0.5666495770315304</v>
      </c>
      <c r="P11" s="3"/>
      <c r="Q11" s="58">
        <f>Q10/Q7</f>
        <v>0.56758417301548292</v>
      </c>
      <c r="R11" s="58"/>
      <c r="S11" s="58">
        <f>Q11</f>
        <v>0.56758417301548292</v>
      </c>
      <c r="T11" s="3"/>
      <c r="U11" s="58">
        <f>S11</f>
        <v>0.56758417301548292</v>
      </c>
      <c r="X11" s="3"/>
    </row>
    <row r="12" spans="1:24" ht="13" x14ac:dyDescent="0.3">
      <c r="B12" t="s">
        <v>85</v>
      </c>
      <c r="G12" s="266">
        <f>G7-G10</f>
        <v>3096</v>
      </c>
      <c r="H12" s="256"/>
      <c r="I12" s="266">
        <f>I7-I10</f>
        <v>3855</v>
      </c>
      <c r="J12" s="256"/>
      <c r="K12" s="266">
        <f>K7-K10</f>
        <v>3255</v>
      </c>
      <c r="L12" s="16"/>
      <c r="M12" s="59">
        <f>M7-M10</f>
        <v>3145</v>
      </c>
      <c r="O12" s="59">
        <f>O7-O10</f>
        <v>3381</v>
      </c>
      <c r="Q12" s="59">
        <f>Q7-Q10</f>
        <v>3519</v>
      </c>
      <c r="R12" s="16"/>
      <c r="S12" s="59">
        <f>S7-S10</f>
        <v>3670.5488336324024</v>
      </c>
      <c r="U12" s="59">
        <f>U7-U10</f>
        <v>3828.6242512305171</v>
      </c>
      <c r="X12" s="56">
        <f>(U12/M12)^(1/(U$5-$M$5))-1</f>
        <v>5.0401961400966311E-2</v>
      </c>
    </row>
    <row r="13" spans="1:24" s="52" customFormat="1" ht="12.75" customHeight="1" x14ac:dyDescent="0.3">
      <c r="C13" s="52" t="s">
        <v>86</v>
      </c>
      <c r="G13" s="265">
        <f>G12/G$7</f>
        <v>0.48119365868821884</v>
      </c>
      <c r="H13" s="261"/>
      <c r="I13" s="265">
        <f>I12/I$7</f>
        <v>0.48908906368941896</v>
      </c>
      <c r="J13" s="261"/>
      <c r="K13" s="265">
        <f>K12/K$7</f>
        <v>0.43055555555555558</v>
      </c>
      <c r="L13" s="58"/>
      <c r="M13" s="58">
        <f>M12/M$7</f>
        <v>0.42017368069472277</v>
      </c>
      <c r="N13" s="3"/>
      <c r="O13" s="58">
        <f>O12/O$7</f>
        <v>0.43335042296846965</v>
      </c>
      <c r="P13" s="3"/>
      <c r="Q13" s="58">
        <f>Q12/Q$7</f>
        <v>0.43241582698451708</v>
      </c>
      <c r="R13" s="58"/>
      <c r="S13" s="58">
        <f>S12/S$7</f>
        <v>0.43241582698451708</v>
      </c>
      <c r="T13" s="3"/>
      <c r="U13" s="58">
        <f>U12/U$7</f>
        <v>0.43241582698451708</v>
      </c>
      <c r="X13" s="3"/>
    </row>
    <row r="14" spans="1:24" ht="5" customHeight="1" x14ac:dyDescent="0.25">
      <c r="G14" s="256"/>
      <c r="H14" s="256"/>
      <c r="I14" s="256"/>
      <c r="J14" s="256"/>
      <c r="K14" s="256"/>
    </row>
    <row r="15" spans="1:24" s="57" customFormat="1" ht="12.75" customHeight="1" x14ac:dyDescent="0.25">
      <c r="B15" s="57" t="s">
        <v>87</v>
      </c>
      <c r="G15" s="263">
        <v>1492</v>
      </c>
      <c r="H15" s="264"/>
      <c r="I15" s="263">
        <v>1846</v>
      </c>
      <c r="J15" s="264"/>
      <c r="K15" s="263">
        <v>1879</v>
      </c>
      <c r="L15" s="17"/>
      <c r="M15" s="17">
        <v>1783</v>
      </c>
      <c r="O15" s="17">
        <v>1858.5</v>
      </c>
      <c r="Q15" s="17">
        <v>1939</v>
      </c>
      <c r="R15" s="17"/>
      <c r="S15" s="74">
        <f>S16*S7</f>
        <v>2022.5047423737506</v>
      </c>
      <c r="U15" s="74">
        <f>U16*U7</f>
        <v>2109.6056900073804</v>
      </c>
    </row>
    <row r="16" spans="1:24" s="52" customFormat="1" ht="12.75" customHeight="1" x14ac:dyDescent="0.3">
      <c r="C16" s="52" t="s">
        <v>84</v>
      </c>
      <c r="G16" s="265">
        <f>G15/G$7</f>
        <v>0.23189306807584706</v>
      </c>
      <c r="H16" s="261"/>
      <c r="I16" s="265">
        <f>I15/I$7</f>
        <v>0.23420451662014716</v>
      </c>
      <c r="J16" s="261"/>
      <c r="K16" s="265">
        <f>K15/K$7</f>
        <v>0.24854497354497354</v>
      </c>
      <c r="L16" s="58"/>
      <c r="M16" s="58">
        <f>M15/M$7</f>
        <v>0.23820975283901136</v>
      </c>
      <c r="N16" s="3"/>
      <c r="O16" s="58">
        <f>O15/O$7</f>
        <v>0.23820815175596002</v>
      </c>
      <c r="P16" s="3"/>
      <c r="Q16" s="58">
        <f>Q15/Q$7</f>
        <v>0.23826492995822068</v>
      </c>
      <c r="R16" s="58"/>
      <c r="S16" s="58">
        <f>Q16</f>
        <v>0.23826492995822068</v>
      </c>
      <c r="T16" s="3"/>
      <c r="U16" s="58">
        <f>S16</f>
        <v>0.23826492995822068</v>
      </c>
      <c r="X16" s="3"/>
    </row>
    <row r="17" spans="1:24" ht="5" customHeight="1" x14ac:dyDescent="0.25">
      <c r="G17" s="256"/>
      <c r="H17" s="256"/>
      <c r="I17" s="256"/>
      <c r="J17" s="256"/>
      <c r="K17" s="256"/>
    </row>
    <row r="18" spans="1:24" ht="5" customHeight="1" x14ac:dyDescent="0.25">
      <c r="A18" s="60"/>
      <c r="B18" s="60"/>
      <c r="C18" s="60"/>
      <c r="D18" s="60"/>
      <c r="E18" s="60"/>
      <c r="F18" s="60"/>
      <c r="G18" s="267"/>
      <c r="H18" s="267"/>
      <c r="I18" s="267"/>
      <c r="J18" s="267"/>
      <c r="K18" s="267"/>
      <c r="L18" s="60"/>
      <c r="M18" s="60"/>
      <c r="N18" s="60"/>
      <c r="O18" s="60"/>
      <c r="P18" s="60"/>
      <c r="Q18" s="60"/>
      <c r="R18" s="60"/>
      <c r="S18" s="60"/>
      <c r="T18" s="60"/>
      <c r="U18" s="60"/>
      <c r="V18" s="61"/>
    </row>
    <row r="19" spans="1:24" s="19" customFormat="1" ht="12.75" customHeight="1" x14ac:dyDescent="0.3">
      <c r="B19" s="19" t="s">
        <v>88</v>
      </c>
      <c r="G19" s="268">
        <f>G12-G15</f>
        <v>1604</v>
      </c>
      <c r="H19" s="269"/>
      <c r="I19" s="268">
        <f>I12-I15</f>
        <v>2009</v>
      </c>
      <c r="J19" s="269"/>
      <c r="K19" s="268">
        <f>K12-K15</f>
        <v>1376</v>
      </c>
      <c r="L19" s="62"/>
      <c r="M19" s="62">
        <f>M12-M15</f>
        <v>1362</v>
      </c>
      <c r="O19" s="62">
        <f>O12-O15</f>
        <v>1522.5</v>
      </c>
      <c r="Q19" s="62">
        <f>Q12-Q15</f>
        <v>1580</v>
      </c>
      <c r="R19" s="62"/>
      <c r="S19" s="62">
        <f>S12-S15</f>
        <v>1648.0440912586519</v>
      </c>
      <c r="U19" s="62">
        <f>U12-U15</f>
        <v>1719.0185612231367</v>
      </c>
      <c r="V19" s="63"/>
      <c r="X19" s="56">
        <f>(U19/M19)^(1/(U$5-$M$5))-1</f>
        <v>5.9926778737572128E-2</v>
      </c>
    </row>
    <row r="20" spans="1:24" s="52" customFormat="1" ht="12.75" customHeight="1" x14ac:dyDescent="0.3">
      <c r="C20" s="52" t="s">
        <v>86</v>
      </c>
      <c r="G20" s="265">
        <f>G19/G$7</f>
        <v>0.24930059061237178</v>
      </c>
      <c r="H20" s="261"/>
      <c r="I20" s="265">
        <f>I19/I$7</f>
        <v>0.25488454706927177</v>
      </c>
      <c r="J20" s="261"/>
      <c r="K20" s="265">
        <f>K19/K$7</f>
        <v>0.18201058201058201</v>
      </c>
      <c r="L20" s="58"/>
      <c r="M20" s="58">
        <f>M19/M$7</f>
        <v>0.18196392785571142</v>
      </c>
      <c r="N20" s="3"/>
      <c r="O20" s="58">
        <f>O19/O$7</f>
        <v>0.1951422712125096</v>
      </c>
      <c r="P20" s="3"/>
      <c r="Q20" s="58">
        <f>Q19/Q$7</f>
        <v>0.1941508970262964</v>
      </c>
      <c r="R20" s="58"/>
      <c r="S20" s="58">
        <f>S19/S$7</f>
        <v>0.19415089702629637</v>
      </c>
      <c r="T20" s="3"/>
      <c r="U20" s="58">
        <f>U19/U$7</f>
        <v>0.19415089702629643</v>
      </c>
      <c r="V20" s="64"/>
      <c r="X20" s="3"/>
    </row>
    <row r="21" spans="1:24" ht="5" customHeight="1" x14ac:dyDescent="0.25">
      <c r="G21" s="256"/>
      <c r="H21" s="256"/>
      <c r="I21" s="256"/>
      <c r="J21" s="256"/>
      <c r="K21" s="256"/>
      <c r="V21" s="65"/>
    </row>
    <row r="22" spans="1:24" s="57" customFormat="1" ht="12.75" customHeight="1" x14ac:dyDescent="0.25">
      <c r="B22" s="57" t="s">
        <v>89</v>
      </c>
      <c r="G22" s="263">
        <v>521</v>
      </c>
      <c r="H22" s="264"/>
      <c r="I22" s="263">
        <v>363</v>
      </c>
      <c r="J22" s="264"/>
      <c r="K22" s="263">
        <v>221</v>
      </c>
      <c r="L22" s="17"/>
      <c r="M22" s="17">
        <v>220</v>
      </c>
      <c r="O22" s="17">
        <v>223.4</v>
      </c>
      <c r="Q22" s="17">
        <v>239.5</v>
      </c>
      <c r="R22" s="17"/>
      <c r="S22" s="74">
        <f>S23*S7</f>
        <v>249.8142783901564</v>
      </c>
      <c r="U22" s="74">
        <f>U23*U7</f>
        <v>260.57275026135517</v>
      </c>
      <c r="V22" s="66"/>
    </row>
    <row r="23" spans="1:24" s="52" customFormat="1" ht="12.75" customHeight="1" x14ac:dyDescent="0.3">
      <c r="C23" s="52" t="s">
        <v>84</v>
      </c>
      <c r="G23" s="265">
        <f>G22/G$7</f>
        <v>8.0976064656512275E-2</v>
      </c>
      <c r="H23" s="261"/>
      <c r="I23" s="265">
        <f>I22/I$7</f>
        <v>4.6054300938848006E-2</v>
      </c>
      <c r="J23" s="261"/>
      <c r="K23" s="265">
        <f>K22/K$7</f>
        <v>2.9232804232804232E-2</v>
      </c>
      <c r="L23" s="58"/>
      <c r="M23" s="58">
        <f>M22/M$7</f>
        <v>2.9392117568470273E-2</v>
      </c>
      <c r="N23" s="3"/>
      <c r="O23" s="58">
        <f>O22/O$7</f>
        <v>2.863368367085363E-2</v>
      </c>
      <c r="P23" s="3"/>
      <c r="Q23" s="58">
        <f>Q22/Q$7</f>
        <v>2.942983534037847E-2</v>
      </c>
      <c r="R23" s="58"/>
      <c r="S23" s="58">
        <f>Q23</f>
        <v>2.942983534037847E-2</v>
      </c>
      <c r="T23" s="3"/>
      <c r="U23" s="58">
        <f>S23</f>
        <v>2.942983534037847E-2</v>
      </c>
      <c r="V23" s="64"/>
      <c r="X23" s="3"/>
    </row>
    <row r="24" spans="1:24" s="57" customFormat="1" ht="12.75" customHeight="1" x14ac:dyDescent="0.25">
      <c r="B24" s="57" t="s">
        <v>90</v>
      </c>
      <c r="G24" s="263">
        <v>0</v>
      </c>
      <c r="H24" s="264"/>
      <c r="I24" s="263">
        <v>0</v>
      </c>
      <c r="J24" s="264"/>
      <c r="K24" s="263">
        <v>0</v>
      </c>
      <c r="L24" s="17"/>
      <c r="M24" s="17">
        <v>254</v>
      </c>
      <c r="O24" s="17">
        <v>260</v>
      </c>
      <c r="Q24" s="17">
        <v>263</v>
      </c>
      <c r="R24" s="17"/>
      <c r="S24" s="74">
        <f>Q24</f>
        <v>263</v>
      </c>
      <c r="U24" s="74">
        <f>S24</f>
        <v>263</v>
      </c>
      <c r="V24" s="66"/>
    </row>
    <row r="25" spans="1:24" s="52" customFormat="1" ht="12.75" customHeight="1" thickBot="1" x14ac:dyDescent="0.35">
      <c r="C25" s="52" t="s">
        <v>84</v>
      </c>
      <c r="G25" s="265">
        <f>G24/G$7</f>
        <v>0</v>
      </c>
      <c r="H25" s="261"/>
      <c r="I25" s="265">
        <f>I24/I$7</f>
        <v>0</v>
      </c>
      <c r="J25" s="261"/>
      <c r="K25" s="265">
        <f>K24/K$7</f>
        <v>0</v>
      </c>
      <c r="L25" s="58"/>
      <c r="M25" s="58">
        <f>M24/M$7</f>
        <v>3.3934535738142951E-2</v>
      </c>
      <c r="N25" s="3"/>
      <c r="O25" s="58">
        <f>O24/O$7</f>
        <v>3.3324788515765189E-2</v>
      </c>
      <c r="P25" s="3"/>
      <c r="Q25" s="58">
        <f>Q24/Q$7</f>
        <v>3.2317522732858199E-2</v>
      </c>
      <c r="R25" s="58"/>
      <c r="S25" s="58">
        <f>S24/S$7</f>
        <v>3.0983203780014696E-2</v>
      </c>
      <c r="T25" s="3"/>
      <c r="U25" s="58">
        <f>U24/U$7</f>
        <v>2.9703975902147291E-2</v>
      </c>
      <c r="V25" s="64"/>
      <c r="X25" s="3"/>
    </row>
    <row r="26" spans="1:24" x14ac:dyDescent="0.25">
      <c r="B26" t="s">
        <v>91</v>
      </c>
      <c r="G26" s="270">
        <f>G24+G22</f>
        <v>521</v>
      </c>
      <c r="H26" s="256"/>
      <c r="I26" s="270">
        <f>I24+I22</f>
        <v>363</v>
      </c>
      <c r="J26" s="256"/>
      <c r="K26" s="270">
        <f>K24+K22</f>
        <v>221</v>
      </c>
      <c r="L26" s="74"/>
      <c r="M26" s="76">
        <f>M24+M22</f>
        <v>474</v>
      </c>
      <c r="O26" s="76">
        <f>O24+O22</f>
        <v>483.4</v>
      </c>
      <c r="Q26" s="76">
        <f>Q24+Q22</f>
        <v>502.5</v>
      </c>
      <c r="R26" s="74"/>
      <c r="S26" s="76">
        <f>S24+S22</f>
        <v>512.81427839015646</v>
      </c>
      <c r="U26" s="76">
        <f>U24+U22</f>
        <v>523.57275026135517</v>
      </c>
      <c r="V26" s="65"/>
    </row>
    <row r="27" spans="1:24" s="52" customFormat="1" ht="12.75" customHeight="1" x14ac:dyDescent="0.3">
      <c r="C27" s="52" t="s">
        <v>84</v>
      </c>
      <c r="G27" s="265">
        <f>G26/G$7</f>
        <v>8.0976064656512275E-2</v>
      </c>
      <c r="H27" s="261"/>
      <c r="I27" s="265">
        <f>I26/I$7</f>
        <v>4.6054300938848006E-2</v>
      </c>
      <c r="J27" s="261"/>
      <c r="K27" s="265">
        <f>K26/K$7</f>
        <v>2.9232804232804232E-2</v>
      </c>
      <c r="L27" s="58"/>
      <c r="M27" s="58">
        <f>M26/M$7</f>
        <v>6.3326653306613231E-2</v>
      </c>
      <c r="N27" s="3"/>
      <c r="O27" s="58">
        <f>O26/O$7</f>
        <v>6.1958472186618811E-2</v>
      </c>
      <c r="P27" s="3"/>
      <c r="Q27" s="58">
        <f>Q26/Q$7</f>
        <v>6.1747358073236669E-2</v>
      </c>
      <c r="R27" s="58"/>
      <c r="S27" s="58">
        <f>S26/S$7</f>
        <v>6.0413039120393176E-2</v>
      </c>
      <c r="T27" s="3"/>
      <c r="U27" s="58">
        <f>U26/U$7</f>
        <v>5.9133811242525765E-2</v>
      </c>
      <c r="V27" s="64"/>
      <c r="X27" s="3"/>
    </row>
    <row r="28" spans="1:24" ht="5" customHeight="1" x14ac:dyDescent="0.25">
      <c r="G28" s="256"/>
      <c r="H28" s="256"/>
      <c r="I28" s="256"/>
      <c r="J28" s="256"/>
      <c r="K28" s="256"/>
      <c r="V28" s="65"/>
    </row>
    <row r="29" spans="1:24" s="57" customFormat="1" x14ac:dyDescent="0.25">
      <c r="B29" s="57" t="s">
        <v>92</v>
      </c>
      <c r="G29" s="263">
        <v>50</v>
      </c>
      <c r="H29" s="264"/>
      <c r="I29" s="263">
        <v>46</v>
      </c>
      <c r="J29" s="264"/>
      <c r="K29" s="263">
        <v>38</v>
      </c>
      <c r="L29" s="17"/>
      <c r="M29" s="17">
        <v>44.5</v>
      </c>
      <c r="O29" s="17">
        <v>41</v>
      </c>
      <c r="Q29" s="17">
        <v>47</v>
      </c>
      <c r="R29" s="17"/>
      <c r="S29" s="74">
        <f>S30*S7</f>
        <v>49.02409638554218</v>
      </c>
      <c r="U29" s="74">
        <f>U30*U7</f>
        <v>51.13536226423254</v>
      </c>
      <c r="V29" s="66"/>
    </row>
    <row r="30" spans="1:24" s="52" customFormat="1" ht="12.75" customHeight="1" x14ac:dyDescent="0.3">
      <c r="C30" s="52" t="s">
        <v>84</v>
      </c>
      <c r="G30" s="265">
        <f>G29/G$7</f>
        <v>7.7712154180913894E-3</v>
      </c>
      <c r="H30" s="261"/>
      <c r="I30" s="265">
        <f>I29/I$7</f>
        <v>5.836082212636387E-3</v>
      </c>
      <c r="J30" s="261"/>
      <c r="K30" s="265">
        <f>K29/K$7</f>
        <v>5.0264550264550265E-3</v>
      </c>
      <c r="L30" s="58"/>
      <c r="M30" s="58">
        <f>M29/M$7</f>
        <v>5.9452237808951232E-3</v>
      </c>
      <c r="N30" s="3"/>
      <c r="O30" s="58">
        <f>O29/O$7</f>
        <v>5.2550628044091257E-3</v>
      </c>
      <c r="P30" s="3"/>
      <c r="Q30" s="58">
        <f>Q29/Q$7</f>
        <v>5.7753747849594497E-3</v>
      </c>
      <c r="R30" s="58"/>
      <c r="S30" s="58">
        <f>Q30</f>
        <v>5.7753747849594497E-3</v>
      </c>
      <c r="T30" s="3"/>
      <c r="U30" s="58">
        <f>S30</f>
        <v>5.7753747849594497E-3</v>
      </c>
      <c r="V30" s="64"/>
      <c r="X30" s="3"/>
    </row>
    <row r="31" spans="1:24" ht="5" customHeight="1" x14ac:dyDescent="0.25">
      <c r="G31" s="256"/>
      <c r="H31" s="256"/>
      <c r="I31" s="256"/>
      <c r="J31" s="256"/>
      <c r="K31" s="256"/>
      <c r="V31" s="65"/>
    </row>
    <row r="32" spans="1:24" s="19" customFormat="1" ht="12.75" customHeight="1" x14ac:dyDescent="0.3">
      <c r="B32" s="19" t="s">
        <v>93</v>
      </c>
      <c r="G32" s="268">
        <f>G19-G26-G29</f>
        <v>1033</v>
      </c>
      <c r="H32" s="269"/>
      <c r="I32" s="268">
        <f>I19-I26-I29</f>
        <v>1600</v>
      </c>
      <c r="J32" s="269"/>
      <c r="K32" s="268">
        <f>K19-K26-K29</f>
        <v>1117</v>
      </c>
      <c r="L32" s="62"/>
      <c r="M32" s="62">
        <f>M19-M26-M29</f>
        <v>843.5</v>
      </c>
      <c r="O32" s="62">
        <f>O19-O26-O29</f>
        <v>998.09999999999991</v>
      </c>
      <c r="Q32" s="62">
        <f>Q19-Q26-Q29</f>
        <v>1030.5</v>
      </c>
      <c r="R32" s="62"/>
      <c r="S32" s="62">
        <f>S19-S26-S29</f>
        <v>1086.2057164829532</v>
      </c>
      <c r="U32" s="62">
        <f>U19-U26-U29</f>
        <v>1144.310448697549</v>
      </c>
      <c r="V32" s="63"/>
      <c r="X32" s="56">
        <f>(U32/M32)^(1/(U$5-$M$5))-1</f>
        <v>7.9231702163304663E-2</v>
      </c>
    </row>
    <row r="33" spans="1:24" s="52" customFormat="1" ht="12.75" customHeight="1" x14ac:dyDescent="0.3">
      <c r="C33" s="52" t="s">
        <v>86</v>
      </c>
      <c r="G33" s="265">
        <f>G32/G$7</f>
        <v>0.16055331053776811</v>
      </c>
      <c r="H33" s="261"/>
      <c r="I33" s="265">
        <f>I32/I$7</f>
        <v>0.20299416391778735</v>
      </c>
      <c r="J33" s="261"/>
      <c r="K33" s="265">
        <f>K32/K$7</f>
        <v>0.14775132275132274</v>
      </c>
      <c r="L33" s="58"/>
      <c r="M33" s="58">
        <f>M32/M$7</f>
        <v>0.11269205076820307</v>
      </c>
      <c r="N33" s="3"/>
      <c r="O33" s="58">
        <f>O32/O$7</f>
        <v>0.12792873622148165</v>
      </c>
      <c r="P33" s="3"/>
      <c r="Q33" s="58">
        <f>Q32/Q$7</f>
        <v>0.12662816416810027</v>
      </c>
      <c r="R33" s="58"/>
      <c r="S33" s="58">
        <f>S32/S$7</f>
        <v>0.12796248312094377</v>
      </c>
      <c r="T33" s="3"/>
      <c r="U33" s="58">
        <f>U32/U$7</f>
        <v>0.12924171099881121</v>
      </c>
      <c r="V33" s="64"/>
      <c r="X33" s="3"/>
    </row>
    <row r="34" spans="1:24" ht="5" customHeight="1" x14ac:dyDescent="0.25">
      <c r="G34" s="256"/>
      <c r="H34" s="256"/>
      <c r="I34" s="256"/>
      <c r="J34" s="256"/>
      <c r="K34" s="256"/>
      <c r="V34" s="65"/>
    </row>
    <row r="35" spans="1:24" s="19" customFormat="1" ht="13" x14ac:dyDescent="0.3">
      <c r="B35" s="19" t="s">
        <v>94</v>
      </c>
      <c r="G35" s="268">
        <f>G32+G24+G29</f>
        <v>1083</v>
      </c>
      <c r="H35" s="269"/>
      <c r="I35" s="268">
        <f>I32+I24+I29</f>
        <v>1646</v>
      </c>
      <c r="J35" s="269"/>
      <c r="K35" s="268">
        <f>K32+K24+K29</f>
        <v>1155</v>
      </c>
      <c r="L35" s="62"/>
      <c r="M35" s="62">
        <f>M32+M24+M29</f>
        <v>1142</v>
      </c>
      <c r="O35" s="62">
        <f>O32+O24+O29</f>
        <v>1299.0999999999999</v>
      </c>
      <c r="Q35" s="62">
        <f>Q32+Q24+Q29</f>
        <v>1340.5</v>
      </c>
      <c r="R35" s="62"/>
      <c r="S35" s="62">
        <f>S32+S24+S29</f>
        <v>1398.2298128684954</v>
      </c>
      <c r="U35" s="62">
        <f>U32+U24+U29</f>
        <v>1458.4458109617815</v>
      </c>
      <c r="V35" s="63"/>
      <c r="X35" s="56">
        <f>(U35/M35)^(1/(U$5-$M$5))-1</f>
        <v>6.3055768305980697E-2</v>
      </c>
    </row>
    <row r="36" spans="1:24" s="52" customFormat="1" ht="12.75" customHeight="1" x14ac:dyDescent="0.3">
      <c r="C36" s="52" t="s">
        <v>86</v>
      </c>
      <c r="G36" s="265">
        <f>G35/G$7</f>
        <v>0.16832452595585951</v>
      </c>
      <c r="H36" s="261"/>
      <c r="I36" s="265">
        <f>I35/I$7</f>
        <v>0.20883024613042375</v>
      </c>
      <c r="J36" s="261"/>
      <c r="K36" s="265">
        <f>K35/K$7</f>
        <v>0.15277777777777779</v>
      </c>
      <c r="L36" s="58"/>
      <c r="M36" s="58">
        <f>M35/M$7</f>
        <v>0.15257181028724115</v>
      </c>
      <c r="N36" s="3"/>
      <c r="O36" s="58">
        <f>O35/O$7</f>
        <v>0.16650858754165598</v>
      </c>
      <c r="P36" s="3"/>
      <c r="Q36" s="58">
        <f>Q35/Q$7</f>
        <v>0.16472106168591791</v>
      </c>
      <c r="R36" s="58"/>
      <c r="S36" s="58">
        <f>S35/S$7</f>
        <v>0.16472106168591791</v>
      </c>
      <c r="T36" s="3"/>
      <c r="U36" s="58">
        <f>U35/U$7</f>
        <v>0.16472106168591796</v>
      </c>
      <c r="V36" s="64"/>
      <c r="X36" s="3"/>
    </row>
    <row r="37" spans="1:24" ht="5" customHeight="1" x14ac:dyDescent="0.25">
      <c r="A37" s="67"/>
      <c r="B37" s="67"/>
      <c r="C37" s="67"/>
      <c r="D37" s="67"/>
      <c r="E37" s="67"/>
      <c r="F37" s="67"/>
      <c r="G37" s="271"/>
      <c r="H37" s="271"/>
      <c r="I37" s="271"/>
      <c r="J37" s="271"/>
      <c r="K37" s="271"/>
      <c r="L37" s="67"/>
      <c r="M37" s="67"/>
      <c r="N37" s="67"/>
      <c r="O37" s="67"/>
      <c r="P37" s="67"/>
      <c r="Q37" s="67"/>
      <c r="R37" s="67"/>
      <c r="S37" s="67"/>
      <c r="T37" s="67"/>
      <c r="U37" s="67"/>
      <c r="V37" s="68"/>
    </row>
    <row r="38" spans="1:24" ht="5" customHeight="1" x14ac:dyDescent="0.25">
      <c r="C38" s="69"/>
      <c r="G38" s="256"/>
      <c r="H38" s="256"/>
      <c r="I38" s="256"/>
      <c r="J38" s="256"/>
      <c r="K38" s="256"/>
    </row>
    <row r="39" spans="1:24" s="57" customFormat="1" x14ac:dyDescent="0.25">
      <c r="B39" s="57" t="s">
        <v>95</v>
      </c>
      <c r="G39" s="263">
        <v>-432</v>
      </c>
      <c r="H39" s="264"/>
      <c r="I39" s="263">
        <v>-388</v>
      </c>
      <c r="J39" s="264"/>
      <c r="K39" s="263">
        <v>-348</v>
      </c>
      <c r="L39" s="17"/>
      <c r="M39" s="17">
        <v>-389.3</v>
      </c>
      <c r="O39" s="17">
        <v>-358.5</v>
      </c>
      <c r="Q39" s="17">
        <v>-391.7</v>
      </c>
      <c r="R39" s="17"/>
      <c r="S39" s="74">
        <f>Q39</f>
        <v>-391.7</v>
      </c>
      <c r="U39" s="74">
        <f>S39</f>
        <v>-391.7</v>
      </c>
    </row>
    <row r="40" spans="1:24" x14ac:dyDescent="0.25">
      <c r="B40" t="s">
        <v>96</v>
      </c>
      <c r="G40" s="272">
        <v>0</v>
      </c>
      <c r="H40" s="256"/>
      <c r="I40" s="272">
        <v>0</v>
      </c>
      <c r="J40" s="256"/>
      <c r="K40" s="272">
        <v>0</v>
      </c>
      <c r="L40" s="70"/>
      <c r="M40" s="70">
        <v>0</v>
      </c>
      <c r="O40" s="70">
        <v>0</v>
      </c>
      <c r="Q40" s="70">
        <v>0</v>
      </c>
      <c r="R40" s="70"/>
      <c r="S40" s="86">
        <f>Q40</f>
        <v>0</v>
      </c>
      <c r="T40" s="81"/>
      <c r="U40" s="86">
        <f>S40</f>
        <v>0</v>
      </c>
    </row>
    <row r="41" spans="1:24" x14ac:dyDescent="0.25">
      <c r="B41" t="s">
        <v>97</v>
      </c>
      <c r="G41" s="272">
        <v>0</v>
      </c>
      <c r="H41" s="256"/>
      <c r="I41" s="272">
        <v>0</v>
      </c>
      <c r="J41" s="256"/>
      <c r="K41" s="272">
        <v>0</v>
      </c>
      <c r="L41" s="70"/>
      <c r="M41" s="70">
        <v>0</v>
      </c>
      <c r="O41" s="70">
        <v>0</v>
      </c>
      <c r="Q41" s="70">
        <v>0</v>
      </c>
      <c r="R41" s="70"/>
      <c r="S41" s="86">
        <f>Q41</f>
        <v>0</v>
      </c>
      <c r="T41" s="81"/>
      <c r="U41" s="86">
        <f>S41</f>
        <v>0</v>
      </c>
    </row>
    <row r="42" spans="1:24" s="57" customFormat="1" ht="13.5" customHeight="1" thickBot="1" x14ac:dyDescent="0.3">
      <c r="B42" s="57" t="s">
        <v>98</v>
      </c>
      <c r="G42" s="263">
        <v>-50</v>
      </c>
      <c r="H42" s="264"/>
      <c r="I42" s="263">
        <v>-198</v>
      </c>
      <c r="J42" s="264"/>
      <c r="K42" s="263">
        <v>17</v>
      </c>
      <c r="L42" s="17"/>
      <c r="M42" s="70">
        <v>0</v>
      </c>
      <c r="N42" s="81"/>
      <c r="O42" s="70">
        <v>0</v>
      </c>
      <c r="P42" s="81"/>
      <c r="Q42" s="70">
        <v>0</v>
      </c>
      <c r="R42" s="70"/>
      <c r="S42" s="86">
        <f>Q42</f>
        <v>0</v>
      </c>
      <c r="T42" s="87"/>
      <c r="U42" s="86">
        <f>S42</f>
        <v>0</v>
      </c>
    </row>
    <row r="43" spans="1:24" ht="13" x14ac:dyDescent="0.3">
      <c r="B43" t="s">
        <v>99</v>
      </c>
      <c r="G43" s="266">
        <f>G35-SUM(G39:G42)</f>
        <v>1565</v>
      </c>
      <c r="H43" s="256"/>
      <c r="I43" s="266">
        <f>I35-SUM(I39:I42)</f>
        <v>2232</v>
      </c>
      <c r="J43" s="256"/>
      <c r="K43" s="266">
        <f>K35-SUM(K39:K42)</f>
        <v>1486</v>
      </c>
      <c r="L43" s="16"/>
      <c r="M43" s="59">
        <f>M35-SUM(M39:M42)</f>
        <v>1531.3</v>
      </c>
      <c r="O43" s="59">
        <f>O35-SUM(O39:O42)</f>
        <v>1657.6</v>
      </c>
      <c r="Q43" s="59">
        <f>Q35-SUM(Q39:Q42)</f>
        <v>1732.2</v>
      </c>
      <c r="R43" s="16"/>
      <c r="S43" s="59">
        <f>S35-SUM(S39:S42)</f>
        <v>1789.9298128684954</v>
      </c>
      <c r="U43" s="59">
        <f>U35-SUM(U39:U42)</f>
        <v>1850.1458109617815</v>
      </c>
      <c r="X43" s="56">
        <f>(U43/M43)^(1/(U$5-$M$5))-1</f>
        <v>4.8422707282805399E-2</v>
      </c>
    </row>
    <row r="44" spans="1:24" ht="5" customHeight="1" x14ac:dyDescent="0.25">
      <c r="G44" s="256"/>
      <c r="H44" s="256"/>
      <c r="I44" s="256"/>
      <c r="J44" s="256"/>
      <c r="K44" s="256"/>
    </row>
    <row r="45" spans="1:24" s="57" customFormat="1" x14ac:dyDescent="0.25">
      <c r="B45" s="57" t="s">
        <v>100</v>
      </c>
      <c r="G45" s="263">
        <v>257</v>
      </c>
      <c r="H45" s="264"/>
      <c r="I45" s="263">
        <v>348</v>
      </c>
      <c r="J45" s="264"/>
      <c r="K45" s="263">
        <v>251</v>
      </c>
      <c r="L45" s="17"/>
      <c r="M45" s="17">
        <v>424</v>
      </c>
      <c r="O45" s="17">
        <v>459</v>
      </c>
      <c r="Q45" s="17">
        <v>479.8</v>
      </c>
      <c r="R45" s="17"/>
      <c r="S45" s="74">
        <f>S46*S43</f>
        <v>495.79051161199862</v>
      </c>
      <c r="U45" s="74">
        <f>U46*U43</f>
        <v>512.46966868690834</v>
      </c>
      <c r="X45"/>
    </row>
    <row r="46" spans="1:24" s="52" customFormat="1" ht="12.75" customHeight="1" thickBot="1" x14ac:dyDescent="0.35">
      <c r="C46" s="52" t="s">
        <v>101</v>
      </c>
      <c r="G46" s="262">
        <f>G45/G43</f>
        <v>0.16421725239616614</v>
      </c>
      <c r="H46" s="261"/>
      <c r="I46" s="262">
        <f>I45/I43</f>
        <v>0.15591397849462366</v>
      </c>
      <c r="J46" s="261"/>
      <c r="K46" s="262">
        <f>K45/K43</f>
        <v>0.16890982503364738</v>
      </c>
      <c r="L46" s="56"/>
      <c r="M46" s="56">
        <f>M45/M43</f>
        <v>0.2768889179128845</v>
      </c>
      <c r="N46" s="3"/>
      <c r="O46" s="56">
        <f>O45/O43</f>
        <v>0.27690637065637069</v>
      </c>
      <c r="P46" s="3"/>
      <c r="Q46" s="56">
        <f>Q45/Q43</f>
        <v>0.27698880036947232</v>
      </c>
      <c r="R46" s="56"/>
      <c r="S46" s="56">
        <f>Q46</f>
        <v>0.27698880036947232</v>
      </c>
      <c r="T46" s="3"/>
      <c r="U46" s="56">
        <f>S46</f>
        <v>0.27698880036947232</v>
      </c>
      <c r="X46" s="57"/>
    </row>
    <row r="47" spans="1:24" ht="5" customHeight="1" x14ac:dyDescent="0.25">
      <c r="G47" s="266"/>
      <c r="H47" s="256"/>
      <c r="I47" s="266"/>
      <c r="J47" s="256"/>
      <c r="K47" s="266"/>
      <c r="L47" s="16"/>
      <c r="M47" s="59"/>
      <c r="O47" s="59"/>
      <c r="Q47" s="59"/>
      <c r="R47" s="16"/>
      <c r="S47" s="59"/>
      <c r="U47" s="59"/>
      <c r="X47" s="3"/>
    </row>
    <row r="48" spans="1:24" s="19" customFormat="1" ht="13" x14ac:dyDescent="0.3">
      <c r="B48" s="19" t="s">
        <v>102</v>
      </c>
      <c r="G48" s="268">
        <f>G43-G45</f>
        <v>1308</v>
      </c>
      <c r="H48" s="268"/>
      <c r="I48" s="268">
        <f>I43-I45</f>
        <v>1884</v>
      </c>
      <c r="J48" s="269"/>
      <c r="K48" s="268">
        <f>K43-K45</f>
        <v>1235</v>
      </c>
      <c r="L48" s="62"/>
      <c r="M48" s="62">
        <f>M43-M45</f>
        <v>1107.3</v>
      </c>
      <c r="O48" s="62">
        <f>O43-O45</f>
        <v>1198.5999999999999</v>
      </c>
      <c r="Q48" s="62">
        <f>Q43-Q45</f>
        <v>1252.4000000000001</v>
      </c>
      <c r="R48" s="62"/>
      <c r="S48" s="62">
        <f>S43-S45</f>
        <v>1294.1393012564968</v>
      </c>
      <c r="U48" s="62">
        <f>U43-U45</f>
        <v>1337.6761422748732</v>
      </c>
      <c r="X48" s="56">
        <f>(U48/M48)^(1/(U$5-$M$5))-1</f>
        <v>4.8386501068143239E-2</v>
      </c>
    </row>
    <row r="49" spans="1:24" s="52" customFormat="1" ht="12.75" customHeight="1" x14ac:dyDescent="0.3">
      <c r="C49" s="52" t="s">
        <v>86</v>
      </c>
      <c r="G49" s="265">
        <f>G48/G$7</f>
        <v>0.20329499533727075</v>
      </c>
      <c r="H49" s="261"/>
      <c r="I49" s="265">
        <f>I48/I$7</f>
        <v>0.23902562801319463</v>
      </c>
      <c r="J49" s="261"/>
      <c r="K49" s="265">
        <f>K48/K$7</f>
        <v>0.16335978835978837</v>
      </c>
      <c r="L49" s="58"/>
      <c r="M49" s="58">
        <f>M48/M$7</f>
        <v>0.14793587174348696</v>
      </c>
      <c r="N49" s="3"/>
      <c r="O49" s="58">
        <f>O48/O$7</f>
        <v>0.15362727505767751</v>
      </c>
      <c r="P49" s="3"/>
      <c r="Q49" s="58">
        <f>Q48/Q$7</f>
        <v>0.15389530597198331</v>
      </c>
      <c r="R49" s="58"/>
      <c r="S49" s="58">
        <f>S48/S$7</f>
        <v>0.15245848551542154</v>
      </c>
      <c r="T49" s="3"/>
      <c r="U49" s="58">
        <f>U48/U$7</f>
        <v>0.15108098819395507</v>
      </c>
    </row>
    <row r="50" spans="1:24" ht="5" customHeight="1" x14ac:dyDescent="0.25">
      <c r="G50" s="256"/>
      <c r="H50" s="256"/>
      <c r="I50" s="256"/>
      <c r="J50" s="256"/>
      <c r="K50" s="256"/>
      <c r="X50" s="3"/>
    </row>
    <row r="51" spans="1:24" s="19" customFormat="1" ht="13" x14ac:dyDescent="0.3">
      <c r="A51" s="71"/>
      <c r="B51" s="71" t="s">
        <v>103</v>
      </c>
      <c r="C51" s="71"/>
      <c r="D51" s="71"/>
      <c r="E51" s="71"/>
      <c r="F51" s="71"/>
      <c r="G51" s="273">
        <f>G48/G53</f>
        <v>4.6548042704626331</v>
      </c>
      <c r="H51" s="274"/>
      <c r="I51" s="273">
        <f>I48/I53</f>
        <v>6.9010989010989015</v>
      </c>
      <c r="J51" s="274"/>
      <c r="K51" s="273">
        <f>K48/K53</f>
        <v>5.5381165919282509</v>
      </c>
      <c r="L51" s="72"/>
      <c r="M51" s="72">
        <f>M48/M53</f>
        <v>4.8372722904198158</v>
      </c>
      <c r="N51" s="71"/>
      <c r="O51" s="72">
        <f>O48/O53</f>
        <v>4.7661841895975821</v>
      </c>
      <c r="P51" s="71"/>
      <c r="Q51" s="72">
        <f>Q48/Q53</f>
        <v>5.1539094650205763</v>
      </c>
      <c r="R51" s="72"/>
      <c r="S51" s="72">
        <f>S48/S53</f>
        <v>5.3256761368580117</v>
      </c>
      <c r="T51" s="71"/>
      <c r="U51" s="72">
        <f>U48/U53</f>
        <v>5.5048400916661446</v>
      </c>
      <c r="V51" s="73"/>
      <c r="X51" s="56">
        <f>(U51/M51)^(1/(U$5-$M$5))-1</f>
        <v>3.2847121081483577E-2</v>
      </c>
    </row>
    <row r="52" spans="1:24" ht="5" customHeight="1" x14ac:dyDescent="0.25">
      <c r="G52" s="256"/>
      <c r="H52" s="256"/>
      <c r="I52" s="256"/>
      <c r="J52" s="256"/>
      <c r="K52" s="256"/>
    </row>
    <row r="53" spans="1:24" x14ac:dyDescent="0.25">
      <c r="B53" s="281" t="s">
        <v>313</v>
      </c>
      <c r="G53" s="275">
        <v>281</v>
      </c>
      <c r="H53" s="276"/>
      <c r="I53" s="275">
        <v>273</v>
      </c>
      <c r="J53" s="276"/>
      <c r="K53" s="275">
        <v>223</v>
      </c>
      <c r="L53" s="12"/>
      <c r="M53" s="12">
        <v>228.91</v>
      </c>
      <c r="N53" s="12">
        <v>1000</v>
      </c>
      <c r="O53" s="12">
        <v>251.48</v>
      </c>
      <c r="P53" s="12">
        <v>1000</v>
      </c>
      <c r="Q53" s="12">
        <v>243</v>
      </c>
      <c r="R53" s="12">
        <v>1000</v>
      </c>
      <c r="S53" s="304">
        <f>Q53</f>
        <v>243</v>
      </c>
      <c r="T53" s="304">
        <v>1000</v>
      </c>
      <c r="U53" s="304">
        <f>S53</f>
        <v>243</v>
      </c>
    </row>
    <row r="54" spans="1:24" x14ac:dyDescent="0.25">
      <c r="G54" s="256"/>
      <c r="H54" s="256"/>
      <c r="I54" s="256"/>
      <c r="J54" s="256"/>
      <c r="K54" s="256"/>
    </row>
    <row r="55" spans="1:24" ht="13" x14ac:dyDescent="0.3">
      <c r="B55" s="19" t="s">
        <v>105</v>
      </c>
      <c r="G55" s="256"/>
      <c r="H55" s="256"/>
      <c r="I55" s="256"/>
      <c r="J55" s="256"/>
      <c r="K55" s="256"/>
    </row>
    <row r="56" spans="1:24" x14ac:dyDescent="0.25">
      <c r="C56" t="s">
        <v>90</v>
      </c>
      <c r="G56" s="277">
        <f>G24*(1-G46)</f>
        <v>0</v>
      </c>
      <c r="H56" s="256"/>
      <c r="I56" s="277">
        <f>I24*(1-I46)</f>
        <v>0</v>
      </c>
      <c r="J56" s="256"/>
      <c r="K56" s="277">
        <f>K24*(1-K46)</f>
        <v>0</v>
      </c>
      <c r="L56" s="16"/>
      <c r="M56" s="16">
        <f>M24*(1-M46)</f>
        <v>183.67021485012734</v>
      </c>
      <c r="O56" s="16">
        <f>O24*(1-O46)</f>
        <v>188.00434362934362</v>
      </c>
      <c r="Q56" s="16">
        <f>Q24*(1-Q46)</f>
        <v>190.1519455028288</v>
      </c>
      <c r="R56" s="16"/>
      <c r="S56" s="16">
        <f>S24*(1-S46)</f>
        <v>190.1519455028288</v>
      </c>
      <c r="U56" s="16">
        <f>U24*(1-U46)</f>
        <v>190.1519455028288</v>
      </c>
    </row>
    <row r="57" spans="1:24" x14ac:dyDescent="0.25">
      <c r="C57" t="s">
        <v>92</v>
      </c>
      <c r="G57" s="278">
        <f>G29*(1-G46)</f>
        <v>41.78913738019169</v>
      </c>
      <c r="H57" s="256"/>
      <c r="I57" s="278">
        <f>I29*(1-I46)</f>
        <v>38.827956989247312</v>
      </c>
      <c r="J57" s="256"/>
      <c r="K57" s="278">
        <f>K29*(1-K46)</f>
        <v>31.581426648721401</v>
      </c>
      <c r="L57" s="74"/>
      <c r="M57" s="74">
        <f>M29*(1-M46)</f>
        <v>32.178443152876639</v>
      </c>
      <c r="O57" s="74">
        <f>O29*(1-O46)</f>
        <v>29.646838803088801</v>
      </c>
      <c r="Q57" s="74">
        <f>Q29*(1-Q46)</f>
        <v>33.981526382634804</v>
      </c>
      <c r="R57" s="74"/>
      <c r="S57" s="74">
        <f>S29*(1-S46)</f>
        <v>35.444970738513469</v>
      </c>
      <c r="U57" s="74">
        <f>U29*(1-U46)</f>
        <v>36.971439614204385</v>
      </c>
    </row>
    <row r="58" spans="1:24" ht="13.5" customHeight="1" thickBot="1" x14ac:dyDescent="0.3">
      <c r="C58" t="s">
        <v>106</v>
      </c>
      <c r="G58" s="263">
        <v>161</v>
      </c>
      <c r="H58" s="256"/>
      <c r="I58" s="263">
        <v>0</v>
      </c>
      <c r="J58" s="256"/>
      <c r="K58" s="263">
        <v>0</v>
      </c>
      <c r="L58" s="17"/>
      <c r="M58" s="70">
        <v>0</v>
      </c>
      <c r="N58" s="81"/>
      <c r="O58" s="70">
        <v>0</v>
      </c>
      <c r="P58" s="81"/>
      <c r="Q58" s="70">
        <v>0</v>
      </c>
      <c r="R58" s="70"/>
      <c r="S58" s="86">
        <f>Q58</f>
        <v>0</v>
      </c>
      <c r="T58" s="81"/>
      <c r="U58" s="86">
        <f>S58</f>
        <v>0</v>
      </c>
    </row>
    <row r="59" spans="1:24" ht="5" customHeight="1" x14ac:dyDescent="0.3">
      <c r="G59" s="266"/>
      <c r="H59" s="256"/>
      <c r="I59" s="266"/>
      <c r="J59" s="256"/>
      <c r="K59" s="266"/>
      <c r="L59" s="16"/>
      <c r="M59" s="59"/>
      <c r="O59" s="59"/>
      <c r="Q59" s="59"/>
      <c r="R59" s="16"/>
      <c r="S59" s="88"/>
      <c r="U59" s="88"/>
    </row>
    <row r="60" spans="1:24" s="19" customFormat="1" ht="13" x14ac:dyDescent="0.3">
      <c r="B60" s="19" t="s">
        <v>107</v>
      </c>
      <c r="G60" s="268">
        <f>G48-SUM(G56:G58)</f>
        <v>1105.2108626198083</v>
      </c>
      <c r="H60" s="269"/>
      <c r="I60" s="268">
        <f>I48-SUM(I56:I58)</f>
        <v>1845.1720430107528</v>
      </c>
      <c r="J60" s="269"/>
      <c r="K60" s="268">
        <f>K48-SUM(K56:K58)</f>
        <v>1203.4185733512786</v>
      </c>
      <c r="L60" s="62"/>
      <c r="M60" s="62">
        <f>M48-SUM(M56:M58)</f>
        <v>891.45134199699601</v>
      </c>
      <c r="O60" s="62">
        <f>O48-SUM(O56:O58)</f>
        <v>980.94881756756752</v>
      </c>
      <c r="Q60" s="62">
        <f>Q48-SUM(Q56:Q58)</f>
        <v>1028.2665281145364</v>
      </c>
      <c r="R60" s="62"/>
      <c r="S60" s="62">
        <f>S48-SUM(S56:S58)</f>
        <v>1068.5423850151544</v>
      </c>
      <c r="U60" s="62">
        <f>U48-SUM(U56:U58)</f>
        <v>1110.55275715784</v>
      </c>
      <c r="X60" s="56">
        <f>(U60/M60)^(1/(U$5-$M$5))-1</f>
        <v>5.6477830000747353E-2</v>
      </c>
    </row>
    <row r="61" spans="1:24" s="52" customFormat="1" ht="12.75" customHeight="1" x14ac:dyDescent="0.3">
      <c r="C61" s="52" t="s">
        <v>86</v>
      </c>
      <c r="G61" s="265">
        <f>G60/G$7</f>
        <v>0.17177663391666276</v>
      </c>
      <c r="H61" s="261"/>
      <c r="I61" s="265">
        <f>I60/I$7</f>
        <v>0.23409947259715208</v>
      </c>
      <c r="J61" s="261"/>
      <c r="K61" s="265">
        <f>K60/K$7</f>
        <v>0.15918235097239136</v>
      </c>
      <c r="L61" s="58"/>
      <c r="M61" s="58">
        <f>M60/M$7</f>
        <v>0.1190983756843014</v>
      </c>
      <c r="N61" s="3"/>
      <c r="O61" s="58">
        <f>O60/O$7</f>
        <v>0.12573043034703504</v>
      </c>
      <c r="P61" s="3"/>
      <c r="Q61" s="58">
        <f>Q60/Q$7</f>
        <v>0.1263537144402232</v>
      </c>
      <c r="R61" s="58"/>
      <c r="S61" s="58">
        <f>S60/S$7</f>
        <v>0.12588162153044657</v>
      </c>
      <c r="T61" s="3"/>
      <c r="U61" s="58">
        <f>U60/U$7</f>
        <v>0.12542902029155784</v>
      </c>
    </row>
    <row r="62" spans="1:24" ht="5" customHeight="1" x14ac:dyDescent="0.25">
      <c r="G62" s="256"/>
      <c r="H62" s="256"/>
      <c r="I62" s="256"/>
      <c r="J62" s="256"/>
      <c r="K62" s="256"/>
      <c r="X62" s="3"/>
    </row>
    <row r="63" spans="1:24" ht="13" x14ac:dyDescent="0.3">
      <c r="A63" s="71"/>
      <c r="B63" s="71" t="s">
        <v>108</v>
      </c>
      <c r="C63" s="71"/>
      <c r="D63" s="71"/>
      <c r="E63" s="71"/>
      <c r="F63" s="71"/>
      <c r="G63" s="273">
        <f>G60/G53</f>
        <v>3.9331347424192464</v>
      </c>
      <c r="H63" s="274"/>
      <c r="I63" s="273">
        <f>I60/I53</f>
        <v>6.75887195242034</v>
      </c>
      <c r="J63" s="274"/>
      <c r="K63" s="273">
        <f>K60/K53</f>
        <v>5.3964958446245674</v>
      </c>
      <c r="L63" s="72"/>
      <c r="M63" s="72">
        <f>M60/M53</f>
        <v>3.8943311432309469</v>
      </c>
      <c r="N63" s="71"/>
      <c r="O63" s="72">
        <f>O60/O53</f>
        <v>3.9007031078716699</v>
      </c>
      <c r="P63" s="71"/>
      <c r="Q63" s="72">
        <f>Q60/Q53</f>
        <v>4.2315494984137301</v>
      </c>
      <c r="R63" s="72"/>
      <c r="S63" s="72">
        <f>S60/S53</f>
        <v>4.3972937654944628</v>
      </c>
      <c r="T63" s="71"/>
      <c r="U63" s="72">
        <f>U60/U53</f>
        <v>4.5701759553820578</v>
      </c>
      <c r="V63" s="73"/>
      <c r="X63" s="56">
        <f>(U63/M63)^(1/(U$5-$M$5))-1</f>
        <v>4.0818518829593531E-2</v>
      </c>
    </row>
    <row r="64" spans="1:24" x14ac:dyDescent="0.25">
      <c r="G64" s="256"/>
      <c r="H64" s="256"/>
      <c r="I64" s="256"/>
      <c r="J64" s="256"/>
      <c r="K64" s="256"/>
    </row>
    <row r="65" spans="2:21" s="75" customFormat="1" x14ac:dyDescent="0.25">
      <c r="B65" s="75" t="s">
        <v>109</v>
      </c>
      <c r="G65" s="279">
        <v>228</v>
      </c>
      <c r="H65" s="280"/>
      <c r="I65" s="279">
        <v>270</v>
      </c>
      <c r="J65" s="280"/>
      <c r="K65" s="279">
        <v>328</v>
      </c>
      <c r="L65" s="23"/>
      <c r="M65" s="23">
        <v>298.37</v>
      </c>
      <c r="O65" s="23">
        <v>256.7</v>
      </c>
      <c r="Q65" s="23">
        <v>285.7</v>
      </c>
      <c r="R65" s="23"/>
      <c r="S65" s="16">
        <f>S66*S7</f>
        <v>331.05033529864141</v>
      </c>
      <c r="U65" s="16">
        <f>U66*U7</f>
        <v>292.18310803210011</v>
      </c>
    </row>
    <row r="66" spans="2:21" s="52" customFormat="1" ht="12.75" customHeight="1" x14ac:dyDescent="0.3">
      <c r="C66" s="52" t="s">
        <v>84</v>
      </c>
      <c r="G66" s="265">
        <f>G65/G$7</f>
        <v>3.5436742306496738E-2</v>
      </c>
      <c r="H66" s="261"/>
      <c r="I66" s="265">
        <f>I65/I$7</f>
        <v>3.4255265161126619E-2</v>
      </c>
      <c r="J66" s="261"/>
      <c r="K66" s="265">
        <f>K65/K$7</f>
        <v>4.3386243386243389E-2</v>
      </c>
      <c r="L66" s="58"/>
      <c r="M66" s="58">
        <f>M65/M$7</f>
        <v>3.9862391449565798E-2</v>
      </c>
      <c r="N66" s="3"/>
      <c r="O66" s="58">
        <f>O65/O$7</f>
        <v>3.2901820046142012E-2</v>
      </c>
      <c r="P66" s="3"/>
      <c r="Q66" s="58">
        <f>Q65/Q$7</f>
        <v>3.5106905873679033E-2</v>
      </c>
      <c r="R66" s="58"/>
      <c r="S66" s="89">
        <v>3.9E-2</v>
      </c>
      <c r="U66" s="89">
        <v>3.3000000000000002E-2</v>
      </c>
    </row>
  </sheetData>
  <phoneticPr fontId="12" type="noConversion"/>
  <pageMargins left="0.75" right="0.75" top="1" bottom="1" header="0.5" footer="0.5"/>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19</vt:i4>
      </vt:variant>
    </vt:vector>
  </HeadingPairs>
  <TitlesOfParts>
    <vt:vector size="30" baseType="lpstr">
      <vt:lpstr>Assumptions</vt:lpstr>
      <vt:lpstr>Acc-Dil</vt:lpstr>
      <vt:lpstr>Contrib</vt:lpstr>
      <vt:lpstr>PPR</vt:lpstr>
      <vt:lpstr>S&amp;U</vt:lpstr>
      <vt:lpstr>GAAP</vt:lpstr>
      <vt:lpstr>PF BS</vt:lpstr>
      <vt:lpstr>PF P&amp;L</vt:lpstr>
      <vt:lpstr>Buyer P&amp;L</vt:lpstr>
      <vt:lpstr>Target P&amp;L</vt:lpstr>
      <vt:lpstr>DCF</vt:lpstr>
      <vt:lpstr>acq</vt:lpstr>
      <vt:lpstr>acq_fye</vt:lpstr>
      <vt:lpstr>acq_price</vt:lpstr>
      <vt:lpstr>assume</vt:lpstr>
      <vt:lpstr>case</vt:lpstr>
      <vt:lpstr>cash_rate</vt:lpstr>
      <vt:lpstr>debt_rate</vt:lpstr>
      <vt:lpstr>eps</vt:lpstr>
      <vt:lpstr>fees</vt:lpstr>
      <vt:lpstr>min_cash</vt:lpstr>
      <vt:lpstr>pct_cash</vt:lpstr>
      <vt:lpstr>sec_338</vt:lpstr>
      <vt:lpstr>synergies</vt:lpstr>
      <vt:lpstr>tax_rate</vt:lpstr>
      <vt:lpstr>tgt</vt:lpstr>
      <vt:lpstr>tgt_price</vt:lpstr>
      <vt:lpstr>trying_to_name_a_cell</vt:lpstr>
      <vt:lpstr>type</vt:lpstr>
      <vt:lpstr>year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MacGregor</dc:creator>
  <cp:lastModifiedBy>tavleen kaur</cp:lastModifiedBy>
  <dcterms:created xsi:type="dcterms:W3CDTF">2008-10-06T18:34:59Z</dcterms:created>
  <dcterms:modified xsi:type="dcterms:W3CDTF">2025-06-01T23:09:27Z</dcterms:modified>
</cp:coreProperties>
</file>