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ecasted values(Gaussian)" sheetId="1" r:id="rId4"/>
    <sheet state="visible" name="Product 1Gaussian" sheetId="2" r:id="rId5"/>
    <sheet state="visible" name="Product 2 Gaussian" sheetId="3" r:id="rId6"/>
    <sheet state="visible" name="Product 3 Gaussian" sheetId="4" r:id="rId7"/>
    <sheet state="visible" name="Product 4 Gaussian" sheetId="5" r:id="rId8"/>
    <sheet state="visible" name="Product 5 Gaussian" sheetId="6" r:id="rId9"/>
    <sheet state="visible" name="Forecasting Product 1" sheetId="7" r:id="rId10"/>
    <sheet state="visible" name="Forecasting Product 2" sheetId="8" r:id="rId11"/>
    <sheet state="visible" name="Forecasting Product 3" sheetId="9" r:id="rId12"/>
    <sheet state="visible" name="Forecasting product 4" sheetId="10" r:id="rId13"/>
    <sheet state="visible" name="Forecasting Product 5" sheetId="11" r:id="rId14"/>
    <sheet state="visible" name="Forecasting Summary" sheetId="12" r:id="rId15"/>
    <sheet state="visible" name="Aggregate Planning Product 1" sheetId="13" r:id="rId16"/>
    <sheet state="visible" name="Aggregate Planning Product 2" sheetId="14" r:id="rId17"/>
    <sheet state="visible" name="Aggregate Planning Product 3" sheetId="15" r:id="rId18"/>
    <sheet state="visible" name="Aggregate Planning Product 4" sheetId="16" r:id="rId19"/>
    <sheet state="visible" name="Aggregate Planning Product 5" sheetId="17" r:id="rId20"/>
    <sheet state="visible" name="Summary of Aggregate Planning" sheetId="18" r:id="rId21"/>
    <sheet state="visible" name="Master Production Schedule" sheetId="19" r:id="rId22"/>
    <sheet state="visible" name="Material Requirement Planning" sheetId="20" r:id="rId23"/>
    <sheet state="visible" name="Capacity Planning" sheetId="21" r:id="rId24"/>
    <sheet state="visible" name="Machine Planning " sheetId="22" r:id="rId25"/>
    <sheet state="visible" name="Total Cost " sheetId="23" r:id="rId26"/>
  </sheets>
  <externalReferences>
    <externalReference r:id="rId27"/>
  </externalReferences>
  <definedNames>
    <definedName name="sindex">'Forecasting Product 3'!$I$4:$J$8</definedName>
    <definedName name="week">'Forecasting Product 3'!$A$2:$A$21</definedName>
    <definedName name="D">'Forecasting Product 3'!$C$2:$C$21</definedName>
    <definedName name="period">'Forecasting Product 3'!$B$2:$B$21</definedName>
  </definedNames>
  <calcPr/>
  <extLst>
    <ext uri="GoogleSheetsCustomDataVersion1">
      <go:sheetsCustomData xmlns:go="http://customooxmlschemas.google.com/" r:id="rId28" roundtripDataSignature="AMtx7miUx3NtSpFPVn3gUwV//OcZAOuHdw=="/>
    </ext>
  </extLst>
</workbook>
</file>

<file path=xl/sharedStrings.xml><?xml version="1.0" encoding="utf-8"?>
<sst xmlns="http://schemas.openxmlformats.org/spreadsheetml/2006/main" count="752" uniqueCount="285">
  <si>
    <t>MAD(1-10)</t>
  </si>
  <si>
    <t>Product1</t>
  </si>
  <si>
    <t>Product2</t>
  </si>
  <si>
    <t>Product3</t>
  </si>
  <si>
    <t>Product4</t>
  </si>
  <si>
    <t>Product5</t>
  </si>
  <si>
    <t>mean</t>
  </si>
  <si>
    <t>median</t>
  </si>
  <si>
    <t>sd</t>
  </si>
  <si>
    <t>History Horizon</t>
  </si>
  <si>
    <t>Product 1</t>
  </si>
  <si>
    <t>Difference</t>
  </si>
  <si>
    <t>Forecast</t>
  </si>
  <si>
    <t>Error</t>
  </si>
  <si>
    <t>Timesteps</t>
  </si>
  <si>
    <t>MAD</t>
  </si>
  <si>
    <t>*</t>
  </si>
  <si>
    <t>MAD(11-20)</t>
  </si>
  <si>
    <t>Product 2</t>
  </si>
  <si>
    <t>Product 3</t>
  </si>
  <si>
    <t>step1:</t>
  </si>
  <si>
    <t>calculate difference</t>
  </si>
  <si>
    <t>step 2:</t>
  </si>
  <si>
    <t>Product 4</t>
  </si>
  <si>
    <t>Product 5</t>
  </si>
  <si>
    <t>Period</t>
  </si>
  <si>
    <t>Demand</t>
  </si>
  <si>
    <t>Exponential with alpha 0.2</t>
  </si>
  <si>
    <t xml:space="preserve">forecast for week 20 is assumed to be the same for the weeks 21 to 25 </t>
  </si>
  <si>
    <t>MAD (11 - 20)</t>
  </si>
  <si>
    <t>Horizon</t>
  </si>
  <si>
    <t>LT</t>
  </si>
  <si>
    <t>seasonal with trend</t>
  </si>
  <si>
    <t>intercept</t>
  </si>
  <si>
    <t>slope</t>
  </si>
  <si>
    <t>week</t>
  </si>
  <si>
    <t>index</t>
  </si>
  <si>
    <t>Week</t>
  </si>
  <si>
    <t>Seasonal with Trend</t>
  </si>
  <si>
    <t>Weeks</t>
  </si>
  <si>
    <t xml:space="preserve">Horizon </t>
  </si>
  <si>
    <t xml:space="preserve">LT forecast </t>
  </si>
  <si>
    <t>Seasonal Forecast with Trend</t>
  </si>
  <si>
    <t>Abs Error</t>
  </si>
  <si>
    <t>Slope</t>
  </si>
  <si>
    <t>Seasonality Index</t>
  </si>
  <si>
    <t>Linear Regression</t>
  </si>
  <si>
    <t>Intercept</t>
  </si>
  <si>
    <t>Average Requierment =90(approx)</t>
  </si>
  <si>
    <t>8 Month Moving Average</t>
  </si>
  <si>
    <t>Absolute Error</t>
  </si>
  <si>
    <t>assumption: forecast for week 21 is used as demand for week 21 to calculate forecast for week 22 and so on</t>
  </si>
  <si>
    <t>Mad ( 11 - 20)</t>
  </si>
  <si>
    <t>Method</t>
  </si>
  <si>
    <t>Level Strategy</t>
  </si>
  <si>
    <t>Total</t>
  </si>
  <si>
    <t>Cost</t>
  </si>
  <si>
    <t>Beginning Inventory</t>
  </si>
  <si>
    <t>how many workers</t>
  </si>
  <si>
    <t>Regular production</t>
  </si>
  <si>
    <t>Worker per period</t>
  </si>
  <si>
    <t>rounding up 5</t>
  </si>
  <si>
    <t>Workers needed</t>
  </si>
  <si>
    <t>undertime is 1 unit/80 mins</t>
  </si>
  <si>
    <t>workers available</t>
  </si>
  <si>
    <t>Hire</t>
  </si>
  <si>
    <t>Undertime</t>
  </si>
  <si>
    <t>Ending Inventory</t>
  </si>
  <si>
    <t>Average Inventory</t>
  </si>
  <si>
    <t>Undertime min</t>
  </si>
  <si>
    <t>Chase Strategy</t>
  </si>
  <si>
    <t>Beg. Inventory</t>
  </si>
  <si>
    <t>Reg. production</t>
  </si>
  <si>
    <t>Fire</t>
  </si>
  <si>
    <t>BackOrder</t>
  </si>
  <si>
    <t>Avg.Inventory</t>
  </si>
  <si>
    <t>Undertime (min)</t>
  </si>
  <si>
    <t>hire</t>
  </si>
  <si>
    <t>Level Plan</t>
  </si>
  <si>
    <t xml:space="preserve">Period </t>
  </si>
  <si>
    <t xml:space="preserve">Beginning Inventory </t>
  </si>
  <si>
    <t xml:space="preserve">Forecast </t>
  </si>
  <si>
    <t xml:space="preserve">Production </t>
  </si>
  <si>
    <t xml:space="preserve">Available Units </t>
  </si>
  <si>
    <t xml:space="preserve">Workers Needed </t>
  </si>
  <si>
    <t xml:space="preserve">Workers Available </t>
  </si>
  <si>
    <t xml:space="preserve">Workers Fired </t>
  </si>
  <si>
    <t xml:space="preserve">Ending Inventory </t>
  </si>
  <si>
    <t>Undertime Minutes</t>
  </si>
  <si>
    <t>Backlogs</t>
  </si>
  <si>
    <t>Note: Workers available in 20th period is 8 because workers needed in the previous period that is 20th period was 8.</t>
  </si>
  <si>
    <t>Chase Plan</t>
  </si>
  <si>
    <t xml:space="preserve">Total </t>
  </si>
  <si>
    <t xml:space="preserve">Costs </t>
  </si>
  <si>
    <t>Beginning inventory</t>
  </si>
  <si>
    <t>Production</t>
  </si>
  <si>
    <t>Workers available</t>
  </si>
  <si>
    <t>Hiring</t>
  </si>
  <si>
    <t>Firing</t>
  </si>
  <si>
    <t>Ending inventory</t>
  </si>
  <si>
    <t>Begin Inventory</t>
  </si>
  <si>
    <t>Regular Cost $/Unit</t>
  </si>
  <si>
    <t>Holding($/unit/week)</t>
  </si>
  <si>
    <t>Workers Needed</t>
  </si>
  <si>
    <t>Backorder($/unit/week)</t>
  </si>
  <si>
    <t>Workers Available</t>
  </si>
  <si>
    <t>Hiring Cost($per person)</t>
  </si>
  <si>
    <t>Workers Hired</t>
  </si>
  <si>
    <t>Layoff Cost($per person)</t>
  </si>
  <si>
    <t>Workers Fired</t>
  </si>
  <si>
    <t>Undertime in mins</t>
  </si>
  <si>
    <t>End Inventory</t>
  </si>
  <si>
    <t>Backlog</t>
  </si>
  <si>
    <t>Average Inventtory</t>
  </si>
  <si>
    <t xml:space="preserve">Regular Production </t>
  </si>
  <si>
    <t xml:space="preserve">30 units/worker/week </t>
  </si>
  <si>
    <t>*Assumed that productions of 30 units/worker is 30units/worker/week</t>
  </si>
  <si>
    <t>units</t>
  </si>
  <si>
    <t>Regular Production Cost</t>
  </si>
  <si>
    <t>$/unit</t>
  </si>
  <si>
    <t>Holding Cost (Inventory)</t>
  </si>
  <si>
    <t>$/unit/week</t>
  </si>
  <si>
    <t>* Assumed that holding cost is based on ending inventory</t>
  </si>
  <si>
    <t>Backorder Cost</t>
  </si>
  <si>
    <t xml:space="preserve">Undertime Cost </t>
  </si>
  <si>
    <t>$/min</t>
  </si>
  <si>
    <t>Hiring Cost</t>
  </si>
  <si>
    <t>$/worker</t>
  </si>
  <si>
    <t>Layoff Cost</t>
  </si>
  <si>
    <t>Initial Workforce</t>
  </si>
  <si>
    <t>Workers</t>
  </si>
  <si>
    <t>8*60</t>
  </si>
  <si>
    <t>manufacturing minutes in a day</t>
  </si>
  <si>
    <t>Manufacturing minutes in a week =</t>
  </si>
  <si>
    <t>manufacturing days in a week</t>
  </si>
  <si>
    <t>weeks in a year</t>
  </si>
  <si>
    <t>At 30 units/worker/week, this means that 30 units are produced per worker in 2400 minutes</t>
  </si>
  <si>
    <t xml:space="preserve">Production time of one unit by one worker: </t>
  </si>
  <si>
    <t>minutes</t>
  </si>
  <si>
    <t>Therefore, 1 unit is produced per worker in 80 manufacturing minutes</t>
  </si>
  <si>
    <t>For level strategy, workforce numbers do not change every week. Hiring/firing occurs at the beginning if required.</t>
  </si>
  <si>
    <t xml:space="preserve">The production numbers do not change every week - production is constant the the time period in question. </t>
  </si>
  <si>
    <t xml:space="preserve">We need to consider inventory - holding cost &amp; backorder cost. </t>
  </si>
  <si>
    <t xml:space="preserve">Total forecasted demand (Week 21 through 25) = </t>
  </si>
  <si>
    <t xml:space="preserve">Beginning Inventory = </t>
  </si>
  <si>
    <t xml:space="preserve">Total production required = </t>
  </si>
  <si>
    <t xml:space="preserve">Average production = </t>
  </si>
  <si>
    <t>units per week</t>
  </si>
  <si>
    <t># workers required @ 30 units/worker/week:</t>
  </si>
  <si>
    <t>Rounding up to whole number of worker:</t>
  </si>
  <si>
    <t xml:space="preserve">Max production with workers available: </t>
  </si>
  <si>
    <t>units/week</t>
  </si>
  <si>
    <t>Production required</t>
  </si>
  <si>
    <t>Undertime per week</t>
  </si>
  <si>
    <t>(Max production - production required)*production time/unit</t>
  </si>
  <si>
    <t>Cost Per Unit</t>
  </si>
  <si>
    <t>Total Cost($)</t>
  </si>
  <si>
    <t>Forecast/Demand(units)</t>
  </si>
  <si>
    <t>Production Required</t>
  </si>
  <si>
    <t>Regular Production</t>
  </si>
  <si>
    <t># Workers Needed</t>
  </si>
  <si>
    <t># Workers Available</t>
  </si>
  <si>
    <t># Workers Fired</t>
  </si>
  <si>
    <t>Backorder</t>
  </si>
  <si>
    <t>Undertime (minutes): 1 unit/80 minutes</t>
  </si>
  <si>
    <t xml:space="preserve">Product </t>
  </si>
  <si>
    <t xml:space="preserve">Level strategy </t>
  </si>
  <si>
    <t xml:space="preserve">Chase Strategy </t>
  </si>
  <si>
    <t>Chosen method</t>
  </si>
  <si>
    <t xml:space="preserve">Both Level and Chase result in same </t>
  </si>
  <si>
    <t>Level</t>
  </si>
  <si>
    <t>Chase</t>
  </si>
  <si>
    <t>Master Production Schedule(MPS) for Products</t>
  </si>
  <si>
    <t>Week 21</t>
  </si>
  <si>
    <t>Week 22</t>
  </si>
  <si>
    <t>Week 23</t>
  </si>
  <si>
    <t>Week 24</t>
  </si>
  <si>
    <t>Week 25</t>
  </si>
  <si>
    <t>Quantity</t>
  </si>
  <si>
    <t>total</t>
  </si>
  <si>
    <t>SP4(*1)</t>
  </si>
  <si>
    <t>SP1(*3)</t>
  </si>
  <si>
    <t>SP4</t>
  </si>
  <si>
    <t>SP3(*2)</t>
  </si>
  <si>
    <t>SP4(*4)</t>
  </si>
  <si>
    <t>Total SP4</t>
  </si>
  <si>
    <t>SP1</t>
  </si>
  <si>
    <t>SP3</t>
  </si>
  <si>
    <t>SP2</t>
  </si>
  <si>
    <t>SP1(*5)</t>
  </si>
  <si>
    <t>Total SP1</t>
  </si>
  <si>
    <t>Master Production Schedule(MPS) for Subproducts</t>
  </si>
  <si>
    <t>SubProduct 1</t>
  </si>
  <si>
    <t>Gross requirements</t>
  </si>
  <si>
    <t>Scheduled receipt</t>
  </si>
  <si>
    <t>PAB /450</t>
  </si>
  <si>
    <t>Net requirements</t>
  </si>
  <si>
    <t>Planned order receipt</t>
  </si>
  <si>
    <t>Planned order release</t>
  </si>
  <si>
    <t>Q = 1000</t>
  </si>
  <si>
    <t>LT=1</t>
  </si>
  <si>
    <t>SS=100</t>
  </si>
  <si>
    <t>Sub-Product 2</t>
  </si>
  <si>
    <t xml:space="preserve">Week </t>
  </si>
  <si>
    <t>PAB /150</t>
  </si>
  <si>
    <t>PAB = 150</t>
  </si>
  <si>
    <t>Q = 200</t>
  </si>
  <si>
    <t>LT = 0</t>
  </si>
  <si>
    <t>SS =0</t>
  </si>
  <si>
    <t>Sub-Product 3</t>
  </si>
  <si>
    <t>PAB /200</t>
  </si>
  <si>
    <t>Q =Fixed 2 periods</t>
  </si>
  <si>
    <t>LT = 1</t>
  </si>
  <si>
    <t>SS = 25</t>
  </si>
  <si>
    <t>Sub-Product 4</t>
  </si>
  <si>
    <t>PAB /650</t>
  </si>
  <si>
    <t>IOH</t>
  </si>
  <si>
    <t>Q = L4L</t>
  </si>
  <si>
    <t>SS = 50</t>
  </si>
  <si>
    <t xml:space="preserve">Capacity Planning for Sub-Product 2 without downtime </t>
  </si>
  <si>
    <t>PROCESSING TIMES(min/unit)</t>
  </si>
  <si>
    <t>SET-UP TIMES(min/lot)</t>
  </si>
  <si>
    <t>Stations</t>
  </si>
  <si>
    <t>Sub-Product 1</t>
  </si>
  <si>
    <t xml:space="preserve"> Plan Order Releases(Units)</t>
  </si>
  <si>
    <t>Work Station 1</t>
  </si>
  <si>
    <t>1,5,4,3,2,6,5</t>
  </si>
  <si>
    <t>Work Station 5</t>
  </si>
  <si>
    <t>Work Station 4</t>
  </si>
  <si>
    <t>Work Station 3</t>
  </si>
  <si>
    <t>Work Station 2</t>
  </si>
  <si>
    <t>Work Station 6</t>
  </si>
  <si>
    <t xml:space="preserve">Capacity Planning for Sub-Product 2 with downtime </t>
  </si>
  <si>
    <t>Downtime(mins/machine)</t>
  </si>
  <si>
    <t>Work Center</t>
  </si>
  <si>
    <t>Time between failures</t>
  </si>
  <si>
    <t>Repair Time</t>
  </si>
  <si>
    <t>Sub Product 1</t>
  </si>
  <si>
    <t>Sub Product 2</t>
  </si>
  <si>
    <t>Sub Product 3</t>
  </si>
  <si>
    <t>Sub Product 4</t>
  </si>
  <si>
    <t xml:space="preserve">Capacity Planning for Sub-Product 3 without downtime </t>
  </si>
  <si>
    <t>Work Station 7</t>
  </si>
  <si>
    <t>Capacity Planning for Sub-Product 3 with downtime</t>
  </si>
  <si>
    <t>Capacity Planning for Sub-Product 4 without downtime</t>
  </si>
  <si>
    <t>Capacity Planning for Sub-Product 4 with downtime</t>
  </si>
  <si>
    <t>Capacity Planning without Downtime for Sub product 1</t>
  </si>
  <si>
    <t>Capacity Planning with Downtime for Sub product 1</t>
  </si>
  <si>
    <t>Without downtime capacity</t>
  </si>
  <si>
    <t>Workstation 1</t>
  </si>
  <si>
    <t>Workstation 2</t>
  </si>
  <si>
    <t>Workstation 3</t>
  </si>
  <si>
    <t>Workstation 4</t>
  </si>
  <si>
    <t>Workstation 5</t>
  </si>
  <si>
    <t>Workstation 6</t>
  </si>
  <si>
    <t>Workstation 7</t>
  </si>
  <si>
    <t>With downtime capacity</t>
  </si>
  <si>
    <t>Periods</t>
  </si>
  <si>
    <t>Total Qty</t>
  </si>
  <si>
    <t>Cost($)</t>
  </si>
  <si>
    <t>Required total capacity on WS 1(mins)</t>
  </si>
  <si>
    <t>No. of machines available in beginning</t>
  </si>
  <si>
    <t>No. of machines required</t>
  </si>
  <si>
    <t>Work station available time for single machine (mins)</t>
  </si>
  <si>
    <t>Work station available time considering Downtime(mins)</t>
  </si>
  <si>
    <t>Total time available on workstation(Mins)</t>
  </si>
  <si>
    <t>Total time required on workstation(Mins)</t>
  </si>
  <si>
    <t>Undertime (Mins)</t>
  </si>
  <si>
    <t>No. of machines purchased</t>
  </si>
  <si>
    <t>No. of machines sold</t>
  </si>
  <si>
    <t>Number of machines required</t>
  </si>
  <si>
    <t>Aggregate planning cost product 1</t>
  </si>
  <si>
    <t>Aggregate planning cost product 2</t>
  </si>
  <si>
    <t>Aggregate planning cost product 3</t>
  </si>
  <si>
    <t>Aggregate planning cost product 4</t>
  </si>
  <si>
    <t>Aggregate planning cost product 5</t>
  </si>
  <si>
    <t xml:space="preserve">Workstation 1 cost </t>
  </si>
  <si>
    <t xml:space="preserve">Workstation 2 cost </t>
  </si>
  <si>
    <t xml:space="preserve">Workstation 3 cost </t>
  </si>
  <si>
    <t xml:space="preserve">Workstation 4 cost </t>
  </si>
  <si>
    <t xml:space="preserve">Workstation 5 cost </t>
  </si>
  <si>
    <t xml:space="preserve">Workstation 6 cost </t>
  </si>
  <si>
    <t xml:space="preserve">Workstation 7 cost </t>
  </si>
  <si>
    <t>Cost per unit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</si>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</sst>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00000"/>
    <numFmt numFmtId="166" formatCode="_(&quot;$&quot;* #,##0.00_);_(&quot;$&quot;* \(#,##0.00\);_(&quot;$&quot;* &quot;-&quot;??_);_(@_)"/>
  </numFmts>
  <fonts count="15">
    <font>
      <sz val="11.0"/>
      <color theme="1"/>
      <name val="Arial"/>
    </font>
    <font>
      <sz val="11.0"/>
      <color theme="1"/>
      <name val="Calibri"/>
    </font>
    <font>
      <b/>
      <sz val="11.0"/>
      <color rgb="FFFFFFFF"/>
      <name val="&quot;Times New Roman&quot;"/>
    </font>
    <font>
      <sz val="11.0"/>
      <color rgb="FF000000"/>
      <name val="Calibri"/>
    </font>
    <font>
      <sz val="11.0"/>
      <color theme="1"/>
      <name val="&quot;Times New Roman&quot;"/>
    </font>
    <font>
      <b/>
      <sz val="11.0"/>
      <color theme="1"/>
      <name val="Calibri"/>
    </font>
    <font>
      <color theme="1"/>
      <name val="Calibri"/>
    </font>
    <font/>
    <font>
      <sz val="11.0"/>
      <color rgb="FF006100"/>
      <name val="Calibri"/>
    </font>
    <font>
      <b/>
      <sz val="11.0"/>
      <color rgb="FF000000"/>
      <name val="Calibri"/>
    </font>
    <font>
      <sz val="12.0"/>
      <color theme="1"/>
      <name val="Times New Roman"/>
    </font>
    <font>
      <b/>
      <sz val="12.0"/>
      <color theme="1"/>
      <name val="Times New Roman"/>
    </font>
    <font>
      <b/>
      <i/>
      <sz val="12.0"/>
      <color theme="1"/>
      <name val="Times New Roman"/>
    </font>
    <font>
      <sz val="12.0"/>
      <color theme="1"/>
      <name val="Arial"/>
    </font>
    <font>
      <b/>
      <sz val="11.0"/>
      <color theme="1"/>
    </font>
  </fonts>
  <fills count="9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1F3864"/>
        <bgColor rgb="FF1F3864"/>
      </patternFill>
    </fill>
    <fill>
      <patternFill patternType="solid">
        <fgColor rgb="FF70AD47"/>
        <bgColor rgb="FF70AD47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center" vertical="bottom"/>
    </xf>
    <xf borderId="1" fillId="2" fontId="1" numFmtId="0" xfId="0" applyAlignment="1" applyBorder="1" applyFill="1" applyFont="1">
      <alignment horizontal="center" vertical="bottom"/>
    </xf>
    <xf borderId="0" fillId="0" fontId="1" numFmtId="2" xfId="0" applyAlignment="1" applyFont="1" applyNumberFormat="1">
      <alignment horizontal="right" vertical="bottom"/>
    </xf>
    <xf borderId="1" fillId="0" fontId="1" numFmtId="2" xfId="0" applyAlignment="1" applyBorder="1" applyFont="1" applyNumberFormat="1">
      <alignment horizontal="right" vertical="bottom"/>
    </xf>
    <xf borderId="1" fillId="2" fontId="1" numFmtId="164" xfId="0" applyAlignment="1" applyBorder="1" applyFont="1" applyNumberFormat="1">
      <alignment horizontal="center" vertical="bottom"/>
    </xf>
    <xf borderId="1" fillId="3" fontId="2" numFmtId="0" xfId="0" applyAlignment="1" applyBorder="1" applyFill="1" applyFont="1">
      <alignment horizontal="center" vertical="bottom"/>
    </xf>
    <xf borderId="1" fillId="3" fontId="2" numFmtId="0" xfId="0" applyAlignment="1" applyBorder="1" applyFont="1">
      <alignment vertical="bottom"/>
    </xf>
    <xf borderId="2" fillId="0" fontId="1" numFmtId="0" xfId="0" applyAlignment="1" applyBorder="1" applyFont="1">
      <alignment horizontal="right" shrinkToFit="0" vertical="bottom" wrapText="1"/>
    </xf>
    <xf borderId="2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shrinkToFit="0" vertical="bottom" wrapText="1"/>
    </xf>
    <xf borderId="1" fillId="4" fontId="1" numFmtId="0" xfId="0" applyAlignment="1" applyBorder="1" applyFill="1" applyFont="1">
      <alignment horizontal="right" shrinkToFit="0" vertical="bottom" wrapText="1"/>
    </xf>
    <xf borderId="1" fillId="4" fontId="1" numFmtId="2" xfId="0" applyAlignment="1" applyBorder="1" applyFont="1" applyNumberFormat="1">
      <alignment horizontal="right" vertical="bottom"/>
    </xf>
    <xf borderId="1" fillId="5" fontId="1" numFmtId="0" xfId="0" applyAlignment="1" applyBorder="1" applyFill="1" applyFont="1">
      <alignment horizontal="right" vertical="bottom"/>
    </xf>
    <xf borderId="1" fillId="5" fontId="1" numFmtId="0" xfId="0" applyAlignment="1" applyBorder="1" applyFont="1">
      <alignment vertical="bottom"/>
    </xf>
    <xf borderId="0" fillId="0" fontId="1" numFmtId="2" xfId="0" applyAlignment="1" applyFont="1" applyNumberFormat="1">
      <alignment vertical="bottom"/>
    </xf>
    <xf borderId="0" fillId="0" fontId="1" numFmtId="1" xfId="0" applyAlignment="1" applyFont="1" applyNumberFormat="1">
      <alignment horizontal="right" vertical="bottom"/>
    </xf>
    <xf borderId="2" fillId="0" fontId="3" numFmtId="0" xfId="0" applyAlignment="1" applyBorder="1" applyFont="1">
      <alignment horizontal="right"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1" fillId="0" fontId="1" numFmtId="1" xfId="0" applyAlignment="1" applyBorder="1" applyFont="1" applyNumberFormat="1">
      <alignment horizontal="right" vertical="bottom"/>
    </xf>
    <xf borderId="1" fillId="4" fontId="1" numFmtId="1" xfId="0" applyAlignment="1" applyBorder="1" applyFont="1" applyNumberFormat="1">
      <alignment horizontal="right" vertical="bottom"/>
    </xf>
    <xf borderId="0" fillId="0" fontId="1" numFmtId="1" xfId="0" applyAlignment="1" applyFont="1" applyNumberFormat="1">
      <alignment vertical="bottom"/>
    </xf>
    <xf borderId="0" fillId="0" fontId="1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1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right" vertical="bottom"/>
    </xf>
    <xf borderId="1" fillId="4" fontId="4" numFmtId="0" xfId="0" applyAlignment="1" applyBorder="1" applyFont="1">
      <alignment horizontal="center" vertical="bottom"/>
    </xf>
    <xf borderId="0" fillId="0" fontId="1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1" fillId="0" fontId="5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2" xfId="0" applyAlignment="1" applyBorder="1" applyFont="1" applyNumberFormat="1">
      <alignment horizontal="center" vertical="center"/>
    </xf>
    <xf borderId="0" fillId="0" fontId="6" numFmtId="0" xfId="0" applyFont="1"/>
    <xf borderId="1" fillId="0" fontId="1" numFmtId="0" xfId="0" applyAlignment="1" applyBorder="1" applyFont="1">
      <alignment horizontal="center" shrinkToFit="0" vertical="center" wrapText="1"/>
    </xf>
    <xf borderId="1" fillId="6" fontId="5" numFmtId="0" xfId="0" applyBorder="1" applyFill="1" applyFont="1"/>
    <xf borderId="0" fillId="0" fontId="1" numFmtId="0" xfId="0" applyFont="1"/>
    <xf borderId="1" fillId="6" fontId="1" numFmtId="0" xfId="0" applyBorder="1" applyFont="1"/>
    <xf borderId="1" fillId="0" fontId="1" numFmtId="0" xfId="0" applyBorder="1" applyFont="1"/>
    <xf borderId="1" fillId="0" fontId="1" numFmtId="2" xfId="0" applyBorder="1" applyFont="1" applyNumberFormat="1"/>
    <xf borderId="1" fillId="6" fontId="1" numFmtId="0" xfId="0" applyAlignment="1" applyBorder="1" applyFont="1">
      <alignment horizontal="center" vertical="center"/>
    </xf>
    <xf borderId="1" fillId="6" fontId="3" numFmtId="0" xfId="0" applyBorder="1" applyFont="1"/>
    <xf borderId="0" fillId="0" fontId="1" numFmtId="2" xfId="0" applyAlignment="1" applyFont="1" applyNumberFormat="1">
      <alignment horizontal="center" vertical="center"/>
    </xf>
    <xf borderId="0" fillId="0" fontId="1" numFmtId="2" xfId="0" applyFont="1" applyNumberFormat="1"/>
    <xf borderId="3" fillId="0" fontId="5" numFmtId="0" xfId="0" applyAlignment="1" applyBorder="1" applyFont="1">
      <alignment horizontal="center"/>
    </xf>
    <xf borderId="3" fillId="0" fontId="7" numFmtId="0" xfId="0" applyBorder="1" applyFont="1"/>
    <xf borderId="1" fillId="0" fontId="5" numFmtId="0" xfId="0" applyAlignment="1" applyBorder="1" applyFont="1">
      <alignment horizontal="center"/>
    </xf>
    <xf borderId="1" fillId="0" fontId="5" numFmtId="2" xfId="0" applyAlignment="1" applyBorder="1" applyFont="1" applyNumberFormat="1">
      <alignment horizontal="center" vertical="center"/>
    </xf>
    <xf borderId="1" fillId="6" fontId="5" numFmtId="2" xfId="0" applyBorder="1" applyFont="1" applyNumberFormat="1"/>
    <xf borderId="1" fillId="6" fontId="1" numFmtId="2" xfId="0" applyBorder="1" applyFont="1" applyNumberFormat="1"/>
    <xf borderId="1" fillId="6" fontId="5" numFmtId="0" xfId="0" applyAlignment="1" applyBorder="1" applyFont="1">
      <alignment shrinkToFit="0" wrapText="1"/>
    </xf>
    <xf borderId="4" fillId="6" fontId="5" numFmtId="0" xfId="0" applyAlignment="1" applyBorder="1" applyFont="1">
      <alignment shrinkToFit="0" wrapText="1"/>
    </xf>
    <xf borderId="0" fillId="0" fontId="5" numFmtId="0" xfId="0" applyFont="1"/>
    <xf borderId="1" fillId="0" fontId="5" numFmtId="0" xfId="0" applyBorder="1" applyFont="1"/>
    <xf borderId="1" fillId="6" fontId="1" numFmtId="0" xfId="0" applyAlignment="1" applyBorder="1" applyFont="1">
      <alignment horizontal="right"/>
    </xf>
    <xf borderId="1" fillId="0" fontId="1" numFmtId="0" xfId="0" applyAlignment="1" applyBorder="1" applyFont="1">
      <alignment horizontal="center"/>
    </xf>
    <xf borderId="5" fillId="0" fontId="5" numFmtId="0" xfId="0" applyAlignment="1" applyBorder="1" applyFont="1">
      <alignment horizontal="center" vertical="center"/>
    </xf>
    <xf borderId="6" fillId="0" fontId="7" numFmtId="0" xfId="0" applyBorder="1" applyFont="1"/>
    <xf borderId="7" fillId="0" fontId="7" numFmtId="0" xfId="0" applyBorder="1" applyFont="1"/>
    <xf borderId="1" fillId="7" fontId="8" numFmtId="0" xfId="0" applyBorder="1" applyFill="1" applyFont="1"/>
    <xf borderId="5" fillId="0" fontId="5" numFmtId="0" xfId="0" applyAlignment="1" applyBorder="1" applyFont="1">
      <alignment horizontal="center"/>
    </xf>
    <xf borderId="5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horizontal="center" vertical="center"/>
    </xf>
    <xf borderId="1" fillId="7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0" fontId="5" numFmtId="0" xfId="0" applyAlignment="1" applyBorder="1" applyFont="1">
      <alignment vertical="center"/>
    </xf>
    <xf borderId="1" fillId="6" fontId="5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1" fillId="6" fontId="1" numFmtId="0" xfId="0" applyAlignment="1" applyBorder="1" applyFont="1">
      <alignment vertical="center"/>
    </xf>
    <xf borderId="0" fillId="0" fontId="1" numFmtId="0" xfId="0" applyAlignment="1" applyFont="1">
      <alignment horizontal="center"/>
    </xf>
    <xf borderId="5" fillId="6" fontId="5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6" fontId="5" numFmtId="0" xfId="0" applyAlignment="1" applyBorder="1" applyFont="1">
      <alignment horizontal="center" vertical="center"/>
    </xf>
    <xf borderId="8" fillId="6" fontId="1" numFmtId="0" xfId="0" applyAlignment="1" applyBorder="1" applyFont="1">
      <alignment horizontal="center" vertical="center"/>
    </xf>
    <xf borderId="9" fillId="0" fontId="7" numFmtId="0" xfId="0" applyBorder="1" applyFont="1"/>
    <xf borderId="0" fillId="0" fontId="10" numFmtId="0" xfId="0" applyFont="1"/>
    <xf borderId="0" fillId="0" fontId="11" numFmtId="0" xfId="0" applyFont="1"/>
    <xf borderId="0" fillId="0" fontId="1" numFmtId="1" xfId="0" applyFont="1" applyNumberFormat="1"/>
    <xf borderId="0" fillId="0" fontId="12" numFmtId="0" xfId="0" applyFont="1"/>
    <xf borderId="0" fillId="0" fontId="13" numFmtId="0" xfId="0" applyFont="1"/>
    <xf borderId="0" fillId="0" fontId="0" numFmtId="0" xfId="0" applyFont="1"/>
    <xf borderId="1" fillId="0" fontId="1" numFmtId="166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shrinkToFit="0" wrapText="1"/>
    </xf>
    <xf borderId="0" fillId="0" fontId="1" numFmtId="166" xfId="0" applyFont="1" applyNumberFormat="1"/>
    <xf borderId="1" fillId="0" fontId="1" numFmtId="166" xfId="0" applyAlignment="1" applyBorder="1" applyFont="1" applyNumberFormat="1">
      <alignment horizontal="center"/>
    </xf>
    <xf borderId="5" fillId="0" fontId="9" numFmtId="0" xfId="0" applyAlignment="1" applyBorder="1" applyFont="1">
      <alignment horizontal="center"/>
    </xf>
    <xf borderId="1" fillId="0" fontId="9" numFmtId="0" xfId="0" applyAlignment="1" applyBorder="1" applyFont="1">
      <alignment horizontal="center"/>
    </xf>
    <xf borderId="1" fillId="6" fontId="5" numFmtId="0" xfId="0" applyAlignment="1" applyBorder="1" applyFont="1">
      <alignment horizontal="center"/>
    </xf>
    <xf borderId="5" fillId="0" fontId="1" numFmtId="0" xfId="0" applyBorder="1" applyFont="1"/>
    <xf borderId="6" fillId="0" fontId="1" numFmtId="0" xfId="0" applyBorder="1" applyFont="1"/>
    <xf borderId="6" fillId="0" fontId="5" numFmtId="0" xfId="0" applyBorder="1" applyFont="1"/>
    <xf borderId="7" fillId="0" fontId="1" numFmtId="0" xfId="0" applyBorder="1" applyFont="1"/>
    <xf borderId="1" fillId="0" fontId="3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4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5" fillId="0" fontId="1" numFmtId="0" xfId="0" applyAlignment="1" applyBorder="1" applyFont="1">
      <alignment horizontal="center"/>
    </xf>
    <xf borderId="1" fillId="8" fontId="3" numFmtId="0" xfId="0" applyAlignment="1" applyBorder="1" applyFill="1" applyFont="1">
      <alignment horizontal="center"/>
    </xf>
    <xf borderId="10" fillId="0" fontId="3" numFmtId="0" xfId="0" applyAlignment="1" applyBorder="1" applyFont="1">
      <alignment horizontal="center"/>
    </xf>
    <xf borderId="5" fillId="8" fontId="9" numFmtId="0" xfId="0" applyAlignment="1" applyBorder="1" applyFont="1">
      <alignment horizontal="center"/>
    </xf>
    <xf borderId="1" fillId="8" fontId="5" numFmtId="0" xfId="0" applyAlignment="1" applyBorder="1" applyFont="1">
      <alignment horizontal="center"/>
    </xf>
    <xf borderId="1" fillId="8" fontId="1" numFmtId="0" xfId="0" applyAlignment="1" applyBorder="1" applyFont="1">
      <alignment horizontal="center"/>
    </xf>
    <xf borderId="1" fillId="0" fontId="14" numFmtId="0" xfId="0" applyAlignment="1" applyBorder="1" applyFont="1">
      <alignment horizontal="center" vertical="center"/>
    </xf>
    <xf borderId="1" fillId="7" fontId="8" numFmtId="0" xfId="0" applyAlignment="1" applyBorder="1" applyFont="1">
      <alignment horizontal="center"/>
    </xf>
    <xf borderId="4" fillId="7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Period Vs Demand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Demand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'Forecasting Product 2'!$C$2:$C$21</c:f>
              <c:numCache/>
            </c:numRef>
          </c:val>
          <c:smooth val="0"/>
        </c:ser>
        <c:axId val="225775730"/>
        <c:axId val="1992272284"/>
      </c:lineChart>
      <c:catAx>
        <c:axId val="225775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2272284"/>
      </c:catAx>
      <c:valAx>
        <c:axId val="1992272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577573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Demand Vs Period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'Forecasting Product 3'!$C$2:$C$21</c:f>
              <c:numCache/>
            </c:numRef>
          </c:val>
          <c:smooth val="0"/>
        </c:ser>
        <c:axId val="1533267520"/>
        <c:axId val="436842521"/>
      </c:lineChart>
      <c:catAx>
        <c:axId val="153326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6842521"/>
      </c:catAx>
      <c:valAx>
        <c:axId val="436842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3267520"/>
      </c:valAx>
    </c:plotArea>
    <c:plotVisOnly val="1"/>
  </c:chart>
</c:chartSpace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352425</xdr:colOff>
      <xdr:row>3</xdr:row>
      <xdr:rowOff>85725</xdr:rowOff>
    </xdr:from>
    <xdr:ext cx="4010025" cy="3914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3</xdr:row>
      <xdr:rowOff>171450</xdr:rowOff>
    </xdr:from>
    <xdr:ext cx="4943475" cy="2886075"/>
    <xdr:graphicFrame>
      <xdr:nvGraphicFramePr>
        <xdr:cNvPr id="165069458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76200</xdr:colOff>
      <xdr:row>2</xdr:row>
      <xdr:rowOff>123825</xdr:rowOff>
    </xdr:from>
    <xdr:ext cx="4371975" cy="2886075"/>
    <xdr:graphicFrame>
      <xdr:nvGraphicFramePr>
        <xdr:cNvPr id="179856849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ular/AppData/Local/Temp/ISE140_Group8_Forecasting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orecasted values"/>
      <sheetName val="Product 1 "/>
      <sheetName val="Product 2"/>
      <sheetName val="Product 3"/>
      <sheetName val="Product 4"/>
      <sheetName val="Product 5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>
        <v>21.0</v>
      </c>
      <c r="C2" s="1">
        <v>22.0</v>
      </c>
      <c r="D2" s="1">
        <v>23.0</v>
      </c>
      <c r="E2" s="1">
        <v>24.0</v>
      </c>
      <c r="F2" s="1">
        <v>25.0</v>
      </c>
      <c r="G2" s="1" t="s">
        <v>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1</v>
      </c>
      <c r="B3" s="3">
        <v>289.25</v>
      </c>
      <c r="C3" s="3">
        <v>434.5</v>
      </c>
      <c r="D3" s="3">
        <v>579.75</v>
      </c>
      <c r="E3" s="3">
        <v>725.0</v>
      </c>
      <c r="F3" s="3">
        <v>870.25</v>
      </c>
      <c r="G3" s="1">
        <v>145.25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2</v>
      </c>
      <c r="B4" s="4">
        <v>329.8</v>
      </c>
      <c r="C4" s="4">
        <v>499.6</v>
      </c>
      <c r="D4" s="4">
        <v>669.4000000000001</v>
      </c>
      <c r="E4" s="4">
        <v>839.2</v>
      </c>
      <c r="F4" s="3">
        <v>1009.0</v>
      </c>
      <c r="G4" s="1">
        <v>169.80000000000004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3</v>
      </c>
      <c r="B5" s="4">
        <v>164.4</v>
      </c>
      <c r="C5" s="4">
        <v>251.8</v>
      </c>
      <c r="D5" s="4">
        <v>339.20000000000005</v>
      </c>
      <c r="E5" s="4">
        <v>426.6</v>
      </c>
      <c r="F5" s="4">
        <v>514.0</v>
      </c>
      <c r="G5" s="5">
        <v>87.39999999999999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4</v>
      </c>
      <c r="B6" s="7">
        <v>82.21052631578948</v>
      </c>
      <c r="C6" s="7">
        <v>85.42105263157896</v>
      </c>
      <c r="D6" s="7">
        <v>88.63157894736844</v>
      </c>
      <c r="E6" s="7">
        <v>91.84210526315792</v>
      </c>
      <c r="F6" s="8">
        <v>95.0526315789474</v>
      </c>
      <c r="G6" s="9">
        <v>3.211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5</v>
      </c>
      <c r="B7" s="4">
        <v>87.95</v>
      </c>
      <c r="C7" s="4">
        <v>135.9</v>
      </c>
      <c r="D7" s="4">
        <v>183.85000000000002</v>
      </c>
      <c r="E7" s="4">
        <v>231.8</v>
      </c>
      <c r="F7" s="3">
        <v>279.75</v>
      </c>
      <c r="G7" s="1">
        <v>47.95000000000002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1">
        <v>21.0</v>
      </c>
      <c r="C9" s="1">
        <v>22.0</v>
      </c>
      <c r="D9" s="1">
        <v>23.0</v>
      </c>
      <c r="E9" s="1">
        <v>24.0</v>
      </c>
      <c r="F9" s="1">
        <v>25.0</v>
      </c>
      <c r="G9" s="1" t="s"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1</v>
      </c>
      <c r="B10" s="1">
        <f t="shared" ref="B10:F10" si="1">ROUNDUP(B3,0)</f>
        <v>290</v>
      </c>
      <c r="C10" s="1">
        <f t="shared" si="1"/>
        <v>435</v>
      </c>
      <c r="D10" s="1">
        <f t="shared" si="1"/>
        <v>580</v>
      </c>
      <c r="E10" s="1">
        <f t="shared" si="1"/>
        <v>725</v>
      </c>
      <c r="F10" s="1">
        <f t="shared" si="1"/>
        <v>871</v>
      </c>
      <c r="G10" s="1">
        <v>145.25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2</v>
      </c>
      <c r="B11" s="1">
        <f t="shared" ref="B11:F11" si="2">ROUNDUP(B4,0)</f>
        <v>330</v>
      </c>
      <c r="C11" s="1">
        <f t="shared" si="2"/>
        <v>500</v>
      </c>
      <c r="D11" s="1">
        <f t="shared" si="2"/>
        <v>670</v>
      </c>
      <c r="E11" s="1">
        <f t="shared" si="2"/>
        <v>840</v>
      </c>
      <c r="F11" s="1">
        <f t="shared" si="2"/>
        <v>1009</v>
      </c>
      <c r="G11" s="1">
        <v>169.80000000000004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3</v>
      </c>
      <c r="B12" s="1">
        <f t="shared" ref="B12:F12" si="3">ROUNDUP(B5,0)</f>
        <v>165</v>
      </c>
      <c r="C12" s="1">
        <f t="shared" si="3"/>
        <v>252</v>
      </c>
      <c r="D12" s="1">
        <f t="shared" si="3"/>
        <v>340</v>
      </c>
      <c r="E12" s="1">
        <f t="shared" si="3"/>
        <v>427</v>
      </c>
      <c r="F12" s="1">
        <f t="shared" si="3"/>
        <v>514</v>
      </c>
      <c r="G12" s="5">
        <v>87.39999999999999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4</v>
      </c>
      <c r="B13" s="1">
        <f t="shared" ref="B13:F13" si="4">ROUNDUP(B6,0)</f>
        <v>83</v>
      </c>
      <c r="C13" s="1">
        <f t="shared" si="4"/>
        <v>86</v>
      </c>
      <c r="D13" s="1">
        <f t="shared" si="4"/>
        <v>89</v>
      </c>
      <c r="E13" s="1">
        <f t="shared" si="4"/>
        <v>92</v>
      </c>
      <c r="F13" s="1">
        <f t="shared" si="4"/>
        <v>96</v>
      </c>
      <c r="G13" s="9">
        <v>3.2105263157894726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5</v>
      </c>
      <c r="B14" s="1">
        <f t="shared" ref="B14:F14" si="5">ROUNDUP(B7,0)</f>
        <v>88</v>
      </c>
      <c r="C14" s="1">
        <f t="shared" si="5"/>
        <v>136</v>
      </c>
      <c r="D14" s="1">
        <f t="shared" si="5"/>
        <v>184</v>
      </c>
      <c r="E14" s="1">
        <f t="shared" si="5"/>
        <v>232</v>
      </c>
      <c r="F14" s="1">
        <f t="shared" si="5"/>
        <v>280</v>
      </c>
      <c r="G14" s="1">
        <v>47.95000000000002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6" width="7.63"/>
  </cols>
  <sheetData>
    <row r="1">
      <c r="A1" s="40" t="s">
        <v>25</v>
      </c>
      <c r="B1" s="40" t="s">
        <v>26</v>
      </c>
      <c r="C1" s="55" t="s">
        <v>46</v>
      </c>
      <c r="D1" s="55" t="s">
        <v>13</v>
      </c>
      <c r="E1" s="56"/>
      <c r="F1" s="40" t="s">
        <v>34</v>
      </c>
      <c r="G1" s="40">
        <f>SLOPE(B2:B21,A2:A21)</f>
        <v>3.172932331</v>
      </c>
      <c r="J1" s="41"/>
      <c r="K1" s="41"/>
      <c r="L1" s="41"/>
      <c r="M1" s="41"/>
      <c r="N1" s="41"/>
      <c r="O1" s="41"/>
      <c r="P1" s="41"/>
    </row>
    <row r="2">
      <c r="A2" s="43">
        <v>1.0</v>
      </c>
      <c r="B2" s="43">
        <v>18.0</v>
      </c>
      <c r="C2" s="43">
        <f t="shared" ref="C2:C26" si="1">G$1*A2+G$2</f>
        <v>18.85714286</v>
      </c>
      <c r="D2" s="43">
        <f t="shared" ref="D2:D21" si="2">ABS(B2-C2)</f>
        <v>0.8571428571</v>
      </c>
      <c r="E2" s="41"/>
      <c r="F2" s="40" t="s">
        <v>47</v>
      </c>
      <c r="G2" s="40">
        <f>INTERCEPT(B2:B21,A2:A21)</f>
        <v>15.68421053</v>
      </c>
      <c r="H2" s="41"/>
      <c r="I2" s="41"/>
      <c r="J2" s="41"/>
      <c r="K2" s="41"/>
      <c r="L2" s="41"/>
      <c r="M2" s="41"/>
      <c r="N2" s="41"/>
      <c r="O2" s="41"/>
      <c r="P2" s="41"/>
    </row>
    <row r="3">
      <c r="A3" s="43">
        <v>2.0</v>
      </c>
      <c r="B3" s="43">
        <v>22.0</v>
      </c>
      <c r="C3" s="43">
        <f t="shared" si="1"/>
        <v>22.03007519</v>
      </c>
      <c r="D3" s="43">
        <f t="shared" si="2"/>
        <v>0.03007518797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>
      <c r="A4" s="43">
        <v>3.0</v>
      </c>
      <c r="B4" s="43">
        <v>25.0</v>
      </c>
      <c r="C4" s="43">
        <f t="shared" si="1"/>
        <v>25.20300752</v>
      </c>
      <c r="D4" s="43">
        <f t="shared" si="2"/>
        <v>0.2030075188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>
      <c r="A5" s="43">
        <v>4.0</v>
      </c>
      <c r="B5" s="43">
        <v>27.0</v>
      </c>
      <c r="C5" s="43">
        <f t="shared" si="1"/>
        <v>28.37593985</v>
      </c>
      <c r="D5" s="43">
        <f t="shared" si="2"/>
        <v>1.37593985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>
      <c r="A6" s="43">
        <v>5.0</v>
      </c>
      <c r="B6" s="43">
        <v>32.0</v>
      </c>
      <c r="C6" s="43">
        <f t="shared" si="1"/>
        <v>31.54887218</v>
      </c>
      <c r="D6" s="43">
        <f t="shared" si="2"/>
        <v>0.4511278195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>
      <c r="A7" s="43">
        <v>6.0</v>
      </c>
      <c r="B7" s="43">
        <v>35.0</v>
      </c>
      <c r="C7" s="43">
        <f t="shared" si="1"/>
        <v>34.72180451</v>
      </c>
      <c r="D7" s="43">
        <f t="shared" si="2"/>
        <v>0.2781954887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</row>
    <row r="8">
      <c r="A8" s="43">
        <v>7.0</v>
      </c>
      <c r="B8" s="43">
        <v>39.0</v>
      </c>
      <c r="C8" s="43">
        <f t="shared" si="1"/>
        <v>37.89473684</v>
      </c>
      <c r="D8" s="43">
        <f t="shared" si="2"/>
        <v>1.105263158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</row>
    <row r="9">
      <c r="A9" s="43">
        <v>8.0</v>
      </c>
      <c r="B9" s="43">
        <v>41.0</v>
      </c>
      <c r="C9" s="43">
        <f t="shared" si="1"/>
        <v>41.06766917</v>
      </c>
      <c r="D9" s="43">
        <f t="shared" si="2"/>
        <v>0.06766917293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</row>
    <row r="10">
      <c r="A10" s="43">
        <v>9.0</v>
      </c>
      <c r="B10" s="43">
        <v>43.0</v>
      </c>
      <c r="C10" s="43">
        <f t="shared" si="1"/>
        <v>44.2406015</v>
      </c>
      <c r="D10" s="43">
        <f t="shared" si="2"/>
        <v>1.240601504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>
      <c r="A11" s="43">
        <v>10.0</v>
      </c>
      <c r="B11" s="43">
        <v>47.0</v>
      </c>
      <c r="C11" s="43">
        <f t="shared" si="1"/>
        <v>47.41353383</v>
      </c>
      <c r="D11" s="43">
        <f t="shared" si="2"/>
        <v>0.4135338346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>
      <c r="A12" s="43">
        <v>11.0</v>
      </c>
      <c r="B12" s="43">
        <v>53.0</v>
      </c>
      <c r="C12" s="43">
        <f t="shared" si="1"/>
        <v>50.58646617</v>
      </c>
      <c r="D12" s="43">
        <f t="shared" si="2"/>
        <v>2.413533835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</row>
    <row r="13">
      <c r="A13" s="43">
        <v>12.0</v>
      </c>
      <c r="B13" s="43">
        <v>55.0</v>
      </c>
      <c r="C13" s="43">
        <f t="shared" si="1"/>
        <v>53.7593985</v>
      </c>
      <c r="D13" s="43">
        <f t="shared" si="2"/>
        <v>1.240601504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  <row r="14">
      <c r="A14" s="43">
        <v>13.0</v>
      </c>
      <c r="B14" s="43">
        <v>58.0</v>
      </c>
      <c r="C14" s="43">
        <f t="shared" si="1"/>
        <v>56.93233083</v>
      </c>
      <c r="D14" s="43">
        <f t="shared" si="2"/>
        <v>1.067669173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</row>
    <row r="15">
      <c r="A15" s="43">
        <v>14.0</v>
      </c>
      <c r="B15" s="43">
        <v>60.0</v>
      </c>
      <c r="C15" s="43">
        <f t="shared" si="1"/>
        <v>60.10526316</v>
      </c>
      <c r="D15" s="43">
        <f t="shared" si="2"/>
        <v>0.1052631579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</row>
    <row r="16">
      <c r="A16" s="43">
        <v>15.0</v>
      </c>
      <c r="B16" s="43">
        <v>64.0</v>
      </c>
      <c r="C16" s="43">
        <f t="shared" si="1"/>
        <v>63.27819549</v>
      </c>
      <c r="D16" s="43">
        <f t="shared" si="2"/>
        <v>0.7218045113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</row>
    <row r="17">
      <c r="A17" s="43">
        <v>16.0</v>
      </c>
      <c r="B17" s="43">
        <v>66.0</v>
      </c>
      <c r="C17" s="43">
        <f t="shared" si="1"/>
        <v>66.45112782</v>
      </c>
      <c r="D17" s="43">
        <f t="shared" si="2"/>
        <v>0.4511278195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</row>
    <row r="18">
      <c r="A18" s="43">
        <v>17.0</v>
      </c>
      <c r="B18" s="43">
        <v>69.0</v>
      </c>
      <c r="C18" s="43">
        <f t="shared" si="1"/>
        <v>69.62406015</v>
      </c>
      <c r="D18" s="43">
        <f t="shared" si="2"/>
        <v>0.6240601504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</row>
    <row r="19">
      <c r="A19" s="43">
        <v>18.0</v>
      </c>
      <c r="B19" s="43">
        <v>72.0</v>
      </c>
      <c r="C19" s="43">
        <f t="shared" si="1"/>
        <v>72.79699248</v>
      </c>
      <c r="D19" s="43">
        <f t="shared" si="2"/>
        <v>0.7969924812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</row>
    <row r="20">
      <c r="A20" s="43">
        <v>19.0</v>
      </c>
      <c r="B20" s="43">
        <v>75.0</v>
      </c>
      <c r="C20" s="43">
        <f t="shared" si="1"/>
        <v>75.96992481</v>
      </c>
      <c r="D20" s="43">
        <f t="shared" si="2"/>
        <v>0.969924812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</row>
    <row r="21" ht="15.75" customHeight="1">
      <c r="A21" s="43">
        <v>20.0</v>
      </c>
      <c r="B21" s="43">
        <v>79.0</v>
      </c>
      <c r="C21" s="43">
        <f t="shared" si="1"/>
        <v>79.14285714</v>
      </c>
      <c r="D21" s="43">
        <f t="shared" si="2"/>
        <v>0.1428571429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</row>
    <row r="22" ht="15.75" customHeight="1">
      <c r="A22" s="43">
        <v>21.0</v>
      </c>
      <c r="B22" s="43"/>
      <c r="C22" s="42">
        <f t="shared" si="1"/>
        <v>82.31578947</v>
      </c>
      <c r="D22" s="42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</row>
    <row r="23" ht="15.75" customHeight="1">
      <c r="A23" s="43">
        <v>22.0</v>
      </c>
      <c r="B23" s="43"/>
      <c r="C23" s="42">
        <f t="shared" si="1"/>
        <v>85.4887218</v>
      </c>
      <c r="D23" s="43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</row>
    <row r="24" ht="15.75" customHeight="1">
      <c r="A24" s="43">
        <v>23.0</v>
      </c>
      <c r="B24" s="43"/>
      <c r="C24" s="42">
        <f t="shared" si="1"/>
        <v>88.66165414</v>
      </c>
      <c r="D24" s="43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</row>
    <row r="25" ht="15.75" customHeight="1">
      <c r="A25" s="43">
        <v>24.0</v>
      </c>
      <c r="B25" s="43"/>
      <c r="C25" s="42">
        <f t="shared" si="1"/>
        <v>91.83458647</v>
      </c>
      <c r="D25" s="43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</row>
    <row r="26" ht="15.75" customHeight="1">
      <c r="A26" s="43">
        <v>25.0</v>
      </c>
      <c r="B26" s="43"/>
      <c r="C26" s="42">
        <f t="shared" si="1"/>
        <v>95.0075188</v>
      </c>
      <c r="D26" s="43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  <row r="27" ht="15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</row>
    <row r="28" ht="15.75" customHeight="1">
      <c r="A28" s="41"/>
      <c r="B28" s="41"/>
      <c r="C28" s="41"/>
      <c r="D28" s="43" t="s">
        <v>29</v>
      </c>
      <c r="E28" s="43"/>
      <c r="F28" s="43">
        <f>AVERAGE(D11:D20)</f>
        <v>0.8804511278</v>
      </c>
      <c r="G28" s="41"/>
      <c r="H28" s="41"/>
      <c r="I28" s="41"/>
      <c r="J28" s="41"/>
      <c r="K28" s="41"/>
      <c r="L28" s="41"/>
      <c r="M28" s="41"/>
      <c r="N28" s="41"/>
      <c r="O28" s="41"/>
      <c r="P28" s="41"/>
    </row>
    <row r="29" ht="15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</row>
    <row r="30" ht="15.75" customHeight="1">
      <c r="A30" s="41"/>
      <c r="B30" s="41"/>
      <c r="C30" s="41">
        <f>AVERAGE(C22:C26)</f>
        <v>88.66165414</v>
      </c>
      <c r="D30" s="41" t="s">
        <v>48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</row>
    <row r="31" ht="15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ht="15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ht="15.75" customHeight="1">
      <c r="B33" s="41"/>
      <c r="C33" s="41"/>
      <c r="D33" s="41"/>
      <c r="E33" s="41"/>
      <c r="F33" s="41"/>
      <c r="G33" s="41"/>
      <c r="H33" s="41"/>
      <c r="I33" s="41"/>
      <c r="J33" s="41"/>
    </row>
    <row r="34" ht="15.75" customHeight="1">
      <c r="B34" s="41"/>
      <c r="C34" s="41"/>
      <c r="D34" s="41"/>
      <c r="E34" s="41"/>
      <c r="F34" s="41"/>
      <c r="G34" s="41"/>
      <c r="H34" s="41"/>
      <c r="I34" s="41"/>
      <c r="J34" s="41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20.5"/>
    <col customWidth="1" min="4" max="4" width="12.13"/>
    <col customWidth="1" min="5" max="7" width="7.63"/>
  </cols>
  <sheetData>
    <row r="1">
      <c r="A1" s="57" t="s">
        <v>25</v>
      </c>
      <c r="B1" s="58" t="s">
        <v>26</v>
      </c>
      <c r="C1" s="58" t="s">
        <v>49</v>
      </c>
      <c r="D1" s="58" t="s">
        <v>50</v>
      </c>
    </row>
    <row r="2">
      <c r="A2" s="36">
        <v>1.0</v>
      </c>
      <c r="B2" s="36">
        <v>55.0</v>
      </c>
      <c r="C2" s="36"/>
      <c r="D2" s="36"/>
    </row>
    <row r="3">
      <c r="A3" s="36">
        <v>2.0</v>
      </c>
      <c r="B3" s="36">
        <v>46.0</v>
      </c>
      <c r="C3" s="36"/>
      <c r="D3" s="36"/>
    </row>
    <row r="4">
      <c r="A4" s="36">
        <v>3.0</v>
      </c>
      <c r="B4" s="36">
        <v>58.0</v>
      </c>
      <c r="C4" s="36"/>
      <c r="D4" s="36"/>
    </row>
    <row r="5">
      <c r="A5" s="36">
        <v>4.0</v>
      </c>
      <c r="B5" s="36">
        <v>37.0</v>
      </c>
      <c r="C5" s="36"/>
      <c r="D5" s="36"/>
    </row>
    <row r="6">
      <c r="A6" s="36">
        <v>5.0</v>
      </c>
      <c r="B6" s="36">
        <v>32.0</v>
      </c>
      <c r="C6" s="36"/>
      <c r="D6" s="36"/>
    </row>
    <row r="7">
      <c r="A7" s="36">
        <v>6.0</v>
      </c>
      <c r="B7" s="36">
        <v>48.0</v>
      </c>
      <c r="C7" s="36"/>
      <c r="D7" s="36"/>
    </row>
    <row r="8">
      <c r="A8" s="36">
        <v>7.0</v>
      </c>
      <c r="B8" s="36">
        <v>67.0</v>
      </c>
      <c r="C8" s="36"/>
      <c r="D8" s="36"/>
    </row>
    <row r="9">
      <c r="A9" s="36">
        <v>8.0</v>
      </c>
      <c r="B9" s="36">
        <v>68.0</v>
      </c>
      <c r="C9" s="36"/>
      <c r="D9" s="36"/>
    </row>
    <row r="10">
      <c r="A10" s="36">
        <v>9.0</v>
      </c>
      <c r="B10" s="36">
        <v>52.0</v>
      </c>
      <c r="C10" s="36">
        <f t="shared" ref="C10:C22" si="1">AVERAGE(B2:B9)</f>
        <v>51.375</v>
      </c>
      <c r="D10" s="36">
        <f t="shared" ref="D10:D21" si="2">ABS(B10-C10)</f>
        <v>0.625</v>
      </c>
    </row>
    <row r="11">
      <c r="A11" s="36">
        <v>10.0</v>
      </c>
      <c r="B11" s="36">
        <v>42.0</v>
      </c>
      <c r="C11" s="36">
        <f t="shared" si="1"/>
        <v>51</v>
      </c>
      <c r="D11" s="36">
        <f t="shared" si="2"/>
        <v>9</v>
      </c>
    </row>
    <row r="12">
      <c r="A12" s="36">
        <v>11.0</v>
      </c>
      <c r="B12" s="36">
        <v>32.0</v>
      </c>
      <c r="C12" s="36">
        <f t="shared" si="1"/>
        <v>50.5</v>
      </c>
      <c r="D12" s="36">
        <f t="shared" si="2"/>
        <v>18.5</v>
      </c>
    </row>
    <row r="13">
      <c r="A13" s="36">
        <v>12.0</v>
      </c>
      <c r="B13" s="36">
        <v>43.0</v>
      </c>
      <c r="C13" s="36">
        <f t="shared" si="1"/>
        <v>47.25</v>
      </c>
      <c r="D13" s="36">
        <f t="shared" si="2"/>
        <v>4.25</v>
      </c>
    </row>
    <row r="14">
      <c r="A14" s="36">
        <v>13.0</v>
      </c>
      <c r="B14" s="36">
        <v>37.0</v>
      </c>
      <c r="C14" s="36">
        <f t="shared" si="1"/>
        <v>48</v>
      </c>
      <c r="D14" s="36">
        <f t="shared" si="2"/>
        <v>11</v>
      </c>
    </row>
    <row r="15">
      <c r="A15" s="36">
        <v>14.0</v>
      </c>
      <c r="B15" s="36">
        <v>61.0</v>
      </c>
      <c r="C15" s="36">
        <f t="shared" si="1"/>
        <v>48.625</v>
      </c>
      <c r="D15" s="36">
        <f t="shared" si="2"/>
        <v>12.375</v>
      </c>
    </row>
    <row r="16">
      <c r="A16" s="36">
        <v>15.0</v>
      </c>
      <c r="B16" s="36">
        <v>45.0</v>
      </c>
      <c r="C16" s="36">
        <f t="shared" si="1"/>
        <v>50.25</v>
      </c>
      <c r="D16" s="36">
        <f t="shared" si="2"/>
        <v>5.25</v>
      </c>
    </row>
    <row r="17">
      <c r="A17" s="36">
        <v>16.0</v>
      </c>
      <c r="B17" s="36">
        <v>48.0</v>
      </c>
      <c r="C17" s="36">
        <f t="shared" si="1"/>
        <v>47.5</v>
      </c>
      <c r="D17" s="36">
        <f t="shared" si="2"/>
        <v>0.5</v>
      </c>
    </row>
    <row r="18">
      <c r="A18" s="36">
        <v>17.0</v>
      </c>
      <c r="B18" s="36">
        <v>53.0</v>
      </c>
      <c r="C18" s="36">
        <f t="shared" si="1"/>
        <v>45</v>
      </c>
      <c r="D18" s="36">
        <f t="shared" si="2"/>
        <v>8</v>
      </c>
    </row>
    <row r="19">
      <c r="A19" s="36">
        <v>18.0</v>
      </c>
      <c r="B19" s="36">
        <v>38.0</v>
      </c>
      <c r="C19" s="36">
        <f t="shared" si="1"/>
        <v>45.125</v>
      </c>
      <c r="D19" s="36">
        <f t="shared" si="2"/>
        <v>7.125</v>
      </c>
    </row>
    <row r="20">
      <c r="A20" s="36">
        <v>19.0</v>
      </c>
      <c r="B20" s="36">
        <v>57.0</v>
      </c>
      <c r="C20" s="36">
        <f t="shared" si="1"/>
        <v>44.625</v>
      </c>
      <c r="D20" s="36">
        <f t="shared" si="2"/>
        <v>12.375</v>
      </c>
    </row>
    <row r="21" ht="15.75" customHeight="1">
      <c r="A21" s="36">
        <v>20.0</v>
      </c>
      <c r="B21" s="36">
        <v>40.0</v>
      </c>
      <c r="C21" s="36">
        <f t="shared" si="1"/>
        <v>47.75</v>
      </c>
      <c r="D21" s="36">
        <f t="shared" si="2"/>
        <v>7.75</v>
      </c>
    </row>
    <row r="22" ht="15.75" customHeight="1">
      <c r="A22" s="45">
        <v>21.0</v>
      </c>
      <c r="B22" s="45"/>
      <c r="C22" s="45">
        <f t="shared" si="1"/>
        <v>47.375</v>
      </c>
      <c r="D22" s="45"/>
    </row>
    <row r="23" ht="15.75" customHeight="1">
      <c r="A23" s="45">
        <v>22.0</v>
      </c>
      <c r="B23" s="45"/>
      <c r="C23" s="45">
        <f>AVERAGE(B15:B21,C22)</f>
        <v>48.671875</v>
      </c>
      <c r="D23" s="45"/>
    </row>
    <row r="24" ht="15.75" customHeight="1">
      <c r="A24" s="45">
        <v>23.0</v>
      </c>
      <c r="B24" s="45"/>
      <c r="C24" s="45">
        <f>AVERAGE(B16:B21,C22:C23)</f>
        <v>47.13085938</v>
      </c>
      <c r="D24" s="45"/>
    </row>
    <row r="25" ht="15.75" customHeight="1">
      <c r="A25" s="45">
        <v>24.0</v>
      </c>
      <c r="B25" s="45"/>
      <c r="C25" s="45">
        <f>AVERAGE(B17:B21,C22:C24)</f>
        <v>47.3972168</v>
      </c>
      <c r="D25" s="45"/>
    </row>
    <row r="26" ht="15.75" customHeight="1">
      <c r="A26" s="45">
        <v>25.0</v>
      </c>
      <c r="B26" s="45"/>
      <c r="C26" s="45">
        <f>AVERAGE(B18:B21,C22:C25)</f>
        <v>47.3218689</v>
      </c>
      <c r="D26" s="45"/>
      <c r="G26" s="38" t="s">
        <v>51</v>
      </c>
    </row>
    <row r="27" ht="15.75" customHeight="1">
      <c r="D27" s="41"/>
    </row>
    <row r="28" ht="15.75" customHeight="1">
      <c r="A28" s="42" t="s">
        <v>52</v>
      </c>
      <c r="B28" s="59">
        <f>AVERAGE(D12:D21)</f>
        <v>8.7125</v>
      </c>
      <c r="C28" s="41"/>
      <c r="D28" s="41"/>
    </row>
    <row r="29" ht="15.75" customHeight="1">
      <c r="A29" s="41"/>
      <c r="B29" s="41"/>
      <c r="C29" s="41"/>
      <c r="D29" s="41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  <col customWidth="1" min="7" max="7" width="11.25"/>
    <col customWidth="1" min="8" max="8" width="7.13"/>
    <col customWidth="1" min="9" max="26" width="7.63"/>
  </cols>
  <sheetData>
    <row r="1">
      <c r="A1" s="35" t="s">
        <v>37</v>
      </c>
      <c r="B1" s="35">
        <v>21.0</v>
      </c>
      <c r="C1" s="35">
        <v>22.0</v>
      </c>
      <c r="D1" s="35">
        <v>23.0</v>
      </c>
      <c r="E1" s="35">
        <v>24.0</v>
      </c>
      <c r="F1" s="35">
        <v>25.0</v>
      </c>
      <c r="G1" s="51" t="s">
        <v>29</v>
      </c>
      <c r="H1" s="57" t="s">
        <v>53</v>
      </c>
    </row>
    <row r="2">
      <c r="A2" s="35" t="s">
        <v>10</v>
      </c>
      <c r="B2" s="36">
        <v>146.0</v>
      </c>
      <c r="C2" s="36">
        <v>146.0</v>
      </c>
      <c r="D2" s="36">
        <v>146.0</v>
      </c>
      <c r="E2" s="36">
        <v>146.0</v>
      </c>
      <c r="F2" s="36">
        <v>146.0</v>
      </c>
      <c r="G2" s="60">
        <v>8.63</v>
      </c>
    </row>
    <row r="3">
      <c r="A3" s="35" t="s">
        <v>18</v>
      </c>
      <c r="B3" s="36">
        <v>182.0</v>
      </c>
      <c r="C3" s="36">
        <v>201.0</v>
      </c>
      <c r="D3" s="36">
        <v>217.0</v>
      </c>
      <c r="E3" s="36">
        <v>204.0</v>
      </c>
      <c r="F3" s="36">
        <v>169.0</v>
      </c>
      <c r="G3" s="60">
        <v>4.16</v>
      </c>
    </row>
    <row r="4">
      <c r="A4" s="35" t="s">
        <v>19</v>
      </c>
      <c r="B4" s="36">
        <v>124.0</v>
      </c>
      <c r="C4" s="36">
        <v>97.0</v>
      </c>
      <c r="D4" s="36">
        <v>87.0</v>
      </c>
      <c r="E4" s="36">
        <v>73.0</v>
      </c>
      <c r="F4" s="36">
        <v>128.0</v>
      </c>
      <c r="G4" s="60">
        <v>3.09</v>
      </c>
    </row>
    <row r="5">
      <c r="A5" s="35" t="s">
        <v>23</v>
      </c>
      <c r="B5" s="36">
        <v>82.0</v>
      </c>
      <c r="C5" s="36">
        <v>85.0</v>
      </c>
      <c r="D5" s="36">
        <v>89.0</v>
      </c>
      <c r="E5" s="36">
        <v>92.0</v>
      </c>
      <c r="F5" s="36">
        <v>95.0</v>
      </c>
      <c r="G5" s="60">
        <v>0.8804</v>
      </c>
    </row>
    <row r="6">
      <c r="A6" s="35" t="s">
        <v>24</v>
      </c>
      <c r="B6" s="36">
        <v>47.0</v>
      </c>
      <c r="C6" s="36">
        <v>49.0</v>
      </c>
      <c r="D6" s="36">
        <v>47.0</v>
      </c>
      <c r="E6" s="36">
        <v>47.0</v>
      </c>
      <c r="F6" s="36">
        <v>47.0</v>
      </c>
      <c r="G6" s="60">
        <v>8.7125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9" width="7.63"/>
    <col customWidth="1" min="10" max="10" width="22.63"/>
    <col customWidth="1" min="11" max="12" width="7.63"/>
  </cols>
  <sheetData>
    <row r="1">
      <c r="A1" s="61" t="s">
        <v>54</v>
      </c>
      <c r="B1" s="62"/>
      <c r="C1" s="62"/>
      <c r="D1" s="62"/>
      <c r="E1" s="62"/>
      <c r="F1" s="62"/>
      <c r="G1" s="62"/>
      <c r="H1" s="63"/>
    </row>
    <row r="2">
      <c r="A2" s="43" t="s">
        <v>25</v>
      </c>
      <c r="B2" s="43">
        <v>21.0</v>
      </c>
      <c r="C2" s="43">
        <v>22.0</v>
      </c>
      <c r="D2" s="43">
        <v>23.0</v>
      </c>
      <c r="E2" s="43">
        <v>24.0</v>
      </c>
      <c r="F2" s="43">
        <v>25.0</v>
      </c>
      <c r="G2" s="43" t="s">
        <v>55</v>
      </c>
      <c r="H2" s="43" t="s">
        <v>56</v>
      </c>
    </row>
    <row r="3">
      <c r="A3" s="43" t="s">
        <v>57</v>
      </c>
      <c r="B3" s="43">
        <v>0.0</v>
      </c>
      <c r="C3" s="43">
        <v>4.0</v>
      </c>
      <c r="D3" s="43">
        <v>8.0</v>
      </c>
      <c r="E3" s="43">
        <v>12.0</v>
      </c>
      <c r="F3" s="43">
        <v>16.0</v>
      </c>
      <c r="G3" s="43">
        <f t="shared" ref="G3:G12" si="1">SUM(B3:F3)</f>
        <v>40</v>
      </c>
      <c r="H3" s="43"/>
    </row>
    <row r="4">
      <c r="A4" s="43" t="s">
        <v>26</v>
      </c>
      <c r="B4" s="43">
        <v>146.0</v>
      </c>
      <c r="C4" s="43">
        <v>146.0</v>
      </c>
      <c r="D4" s="43">
        <v>146.0</v>
      </c>
      <c r="E4" s="43">
        <v>146.0</v>
      </c>
      <c r="F4" s="43">
        <v>146.0</v>
      </c>
      <c r="G4" s="43">
        <f t="shared" si="1"/>
        <v>730</v>
      </c>
      <c r="H4" s="43"/>
      <c r="J4" s="43" t="s">
        <v>58</v>
      </c>
      <c r="K4" s="43">
        <f>(G4-B3)/30</f>
        <v>24.33333333</v>
      </c>
    </row>
    <row r="5">
      <c r="A5" s="43" t="s">
        <v>59</v>
      </c>
      <c r="B5" s="43">
        <v>150.0</v>
      </c>
      <c r="C5" s="43">
        <v>150.0</v>
      </c>
      <c r="D5" s="43">
        <v>150.0</v>
      </c>
      <c r="E5" s="43">
        <v>150.0</v>
      </c>
      <c r="F5" s="43">
        <v>150.0</v>
      </c>
      <c r="G5" s="43">
        <f t="shared" si="1"/>
        <v>750</v>
      </c>
      <c r="H5" s="43">
        <f>G5*100</f>
        <v>75000</v>
      </c>
      <c r="J5" s="43" t="s">
        <v>60</v>
      </c>
      <c r="K5" s="43">
        <f>K4/5</f>
        <v>4.866666667</v>
      </c>
      <c r="L5" s="41" t="s">
        <v>61</v>
      </c>
    </row>
    <row r="6">
      <c r="A6" s="43" t="s">
        <v>62</v>
      </c>
      <c r="B6" s="43">
        <f>B5/30</f>
        <v>5</v>
      </c>
      <c r="C6" s="43">
        <v>5.0</v>
      </c>
      <c r="D6" s="43">
        <v>5.0</v>
      </c>
      <c r="E6" s="43">
        <v>5.0</v>
      </c>
      <c r="F6" s="43">
        <v>5.0</v>
      </c>
      <c r="G6" s="43">
        <f t="shared" si="1"/>
        <v>25</v>
      </c>
      <c r="H6" s="43"/>
      <c r="J6" s="43" t="s">
        <v>63</v>
      </c>
      <c r="K6" s="43"/>
    </row>
    <row r="7">
      <c r="A7" s="43" t="s">
        <v>64</v>
      </c>
      <c r="B7" s="43">
        <v>2.0</v>
      </c>
      <c r="C7" s="43">
        <v>5.0</v>
      </c>
      <c r="D7" s="43">
        <v>5.0</v>
      </c>
      <c r="E7" s="43">
        <v>5.0</v>
      </c>
      <c r="F7" s="43">
        <v>5.0</v>
      </c>
      <c r="G7" s="43">
        <f t="shared" si="1"/>
        <v>22</v>
      </c>
      <c r="H7" s="43"/>
    </row>
    <row r="8">
      <c r="A8" s="43" t="s">
        <v>65</v>
      </c>
      <c r="B8" s="43">
        <v>3.0</v>
      </c>
      <c r="C8" s="43">
        <v>0.0</v>
      </c>
      <c r="D8" s="43">
        <v>0.0</v>
      </c>
      <c r="E8" s="43">
        <v>0.0</v>
      </c>
      <c r="F8" s="43">
        <v>0.0</v>
      </c>
      <c r="G8" s="43">
        <f t="shared" si="1"/>
        <v>3</v>
      </c>
      <c r="H8" s="43">
        <f>G8*12000</f>
        <v>36000</v>
      </c>
    </row>
    <row r="9">
      <c r="A9" s="43" t="s">
        <v>66</v>
      </c>
      <c r="B9" s="43">
        <f t="shared" ref="B9:F9" si="2">B5-B4</f>
        <v>4</v>
      </c>
      <c r="C9" s="43">
        <f t="shared" si="2"/>
        <v>4</v>
      </c>
      <c r="D9" s="43">
        <f t="shared" si="2"/>
        <v>4</v>
      </c>
      <c r="E9" s="43">
        <f t="shared" si="2"/>
        <v>4</v>
      </c>
      <c r="F9" s="43">
        <f t="shared" si="2"/>
        <v>4</v>
      </c>
      <c r="G9" s="43">
        <f t="shared" si="1"/>
        <v>20</v>
      </c>
      <c r="H9" s="43"/>
    </row>
    <row r="10">
      <c r="A10" s="43" t="s">
        <v>67</v>
      </c>
      <c r="B10" s="43">
        <v>0.0</v>
      </c>
      <c r="C10" s="43">
        <v>0.0</v>
      </c>
      <c r="D10" s="43">
        <v>0.0</v>
      </c>
      <c r="E10" s="43">
        <v>0.0</v>
      </c>
      <c r="F10" s="43">
        <v>0.0</v>
      </c>
      <c r="G10" s="43">
        <f t="shared" si="1"/>
        <v>0</v>
      </c>
      <c r="H10" s="43">
        <f>G10*15</f>
        <v>0</v>
      </c>
    </row>
    <row r="11">
      <c r="A11" s="43" t="s">
        <v>68</v>
      </c>
      <c r="B11" s="43">
        <f t="shared" ref="B11:F11" si="3">(B3+B10)/2</f>
        <v>0</v>
      </c>
      <c r="C11" s="43">
        <f t="shared" si="3"/>
        <v>2</v>
      </c>
      <c r="D11" s="43">
        <f t="shared" si="3"/>
        <v>4</v>
      </c>
      <c r="E11" s="43">
        <f t="shared" si="3"/>
        <v>6</v>
      </c>
      <c r="F11" s="43">
        <f t="shared" si="3"/>
        <v>8</v>
      </c>
      <c r="G11" s="43">
        <f t="shared" si="1"/>
        <v>20</v>
      </c>
      <c r="H11" s="43"/>
    </row>
    <row r="12">
      <c r="A12" s="43" t="s">
        <v>69</v>
      </c>
      <c r="B12" s="43">
        <f t="shared" ref="B12:F12" si="4">B9*80</f>
        <v>320</v>
      </c>
      <c r="C12" s="43">
        <f t="shared" si="4"/>
        <v>320</v>
      </c>
      <c r="D12" s="43">
        <f t="shared" si="4"/>
        <v>320</v>
      </c>
      <c r="E12" s="43">
        <f t="shared" si="4"/>
        <v>320</v>
      </c>
      <c r="F12" s="43">
        <f t="shared" si="4"/>
        <v>320</v>
      </c>
      <c r="G12" s="43">
        <f t="shared" si="1"/>
        <v>1600</v>
      </c>
      <c r="H12" s="43">
        <f>G12*2</f>
        <v>3200</v>
      </c>
    </row>
    <row r="13">
      <c r="A13" s="43"/>
      <c r="B13" s="43"/>
      <c r="C13" s="43"/>
      <c r="D13" s="43"/>
      <c r="E13" s="43"/>
      <c r="F13" s="43"/>
      <c r="G13" s="43"/>
      <c r="H13" s="64">
        <f>SUM(H5:H12)</f>
        <v>114200</v>
      </c>
    </row>
    <row r="15">
      <c r="A15" s="65" t="s">
        <v>70</v>
      </c>
      <c r="B15" s="62"/>
      <c r="C15" s="62"/>
      <c r="D15" s="62"/>
      <c r="E15" s="62"/>
      <c r="F15" s="62"/>
      <c r="G15" s="62"/>
      <c r="H15" s="63"/>
    </row>
    <row r="16">
      <c r="A16" s="43" t="s">
        <v>25</v>
      </c>
      <c r="B16" s="43">
        <v>21.0</v>
      </c>
      <c r="C16" s="43">
        <v>22.0</v>
      </c>
      <c r="D16" s="43">
        <v>23.0</v>
      </c>
      <c r="E16" s="43">
        <v>24.0</v>
      </c>
      <c r="F16" s="43">
        <v>25.0</v>
      </c>
      <c r="G16" s="43" t="s">
        <v>55</v>
      </c>
      <c r="H16" s="43" t="s">
        <v>56</v>
      </c>
    </row>
    <row r="17">
      <c r="A17" s="43" t="s">
        <v>57</v>
      </c>
      <c r="B17" s="43">
        <v>0.0</v>
      </c>
      <c r="C17" s="43">
        <v>4.0</v>
      </c>
      <c r="D17" s="43">
        <v>8.0</v>
      </c>
      <c r="E17" s="43">
        <v>12.0</v>
      </c>
      <c r="F17" s="43">
        <v>16.0</v>
      </c>
      <c r="G17" s="43">
        <f t="shared" ref="G17:G26" si="5">SUM(B17:F17)</f>
        <v>40</v>
      </c>
      <c r="H17" s="43"/>
    </row>
    <row r="18">
      <c r="A18" s="43" t="s">
        <v>26</v>
      </c>
      <c r="B18" s="43">
        <v>146.0</v>
      </c>
      <c r="C18" s="43">
        <v>146.0</v>
      </c>
      <c r="D18" s="43">
        <v>146.0</v>
      </c>
      <c r="E18" s="43">
        <v>146.0</v>
      </c>
      <c r="F18" s="43">
        <v>146.0</v>
      </c>
      <c r="G18" s="43">
        <f t="shared" si="5"/>
        <v>730</v>
      </c>
      <c r="H18" s="43"/>
    </row>
    <row r="19">
      <c r="A19" s="43" t="s">
        <v>59</v>
      </c>
      <c r="B19" s="43">
        <v>150.0</v>
      </c>
      <c r="C19" s="43">
        <v>150.0</v>
      </c>
      <c r="D19" s="43">
        <v>150.0</v>
      </c>
      <c r="E19" s="43">
        <v>150.0</v>
      </c>
      <c r="F19" s="43">
        <v>150.0</v>
      </c>
      <c r="G19" s="43">
        <f t="shared" si="5"/>
        <v>750</v>
      </c>
      <c r="H19" s="43">
        <f>G19*100</f>
        <v>75000</v>
      </c>
    </row>
    <row r="20" ht="15.75" customHeight="1">
      <c r="A20" s="43" t="s">
        <v>62</v>
      </c>
      <c r="B20" s="43">
        <f>B19/30</f>
        <v>5</v>
      </c>
      <c r="C20" s="43">
        <v>5.0</v>
      </c>
      <c r="D20" s="43">
        <v>5.0</v>
      </c>
      <c r="E20" s="43">
        <v>5.0</v>
      </c>
      <c r="F20" s="43">
        <v>5.0</v>
      </c>
      <c r="G20" s="43">
        <f t="shared" si="5"/>
        <v>25</v>
      </c>
      <c r="H20" s="43"/>
    </row>
    <row r="21" ht="15.75" customHeight="1">
      <c r="A21" s="43" t="s">
        <v>64</v>
      </c>
      <c r="B21" s="43">
        <v>2.0</v>
      </c>
      <c r="C21" s="43">
        <v>5.0</v>
      </c>
      <c r="D21" s="43">
        <v>5.0</v>
      </c>
      <c r="E21" s="43">
        <v>5.0</v>
      </c>
      <c r="F21" s="43">
        <v>5.0</v>
      </c>
      <c r="G21" s="43">
        <f t="shared" si="5"/>
        <v>22</v>
      </c>
      <c r="H21" s="43"/>
    </row>
    <row r="22" ht="15.75" customHeight="1">
      <c r="A22" s="43" t="s">
        <v>65</v>
      </c>
      <c r="B22" s="43">
        <v>3.0</v>
      </c>
      <c r="C22" s="43">
        <v>0.0</v>
      </c>
      <c r="D22" s="43">
        <v>0.0</v>
      </c>
      <c r="E22" s="43">
        <v>0.0</v>
      </c>
      <c r="F22" s="43">
        <v>0.0</v>
      </c>
      <c r="G22" s="43">
        <f t="shared" si="5"/>
        <v>3</v>
      </c>
      <c r="H22" s="43">
        <f>G22*12000</f>
        <v>36000</v>
      </c>
    </row>
    <row r="23" ht="15.75" customHeight="1">
      <c r="A23" s="43" t="s">
        <v>66</v>
      </c>
      <c r="B23" s="43">
        <f t="shared" ref="B23:F23" si="6">B19-B18</f>
        <v>4</v>
      </c>
      <c r="C23" s="43">
        <f t="shared" si="6"/>
        <v>4</v>
      </c>
      <c r="D23" s="43">
        <f t="shared" si="6"/>
        <v>4</v>
      </c>
      <c r="E23" s="43">
        <f t="shared" si="6"/>
        <v>4</v>
      </c>
      <c r="F23" s="43">
        <f t="shared" si="6"/>
        <v>4</v>
      </c>
      <c r="G23" s="43">
        <f t="shared" si="5"/>
        <v>20</v>
      </c>
      <c r="H23" s="43"/>
    </row>
    <row r="24" ht="15.75" customHeight="1">
      <c r="A24" s="43" t="s">
        <v>67</v>
      </c>
      <c r="B24" s="43">
        <v>0.0</v>
      </c>
      <c r="C24" s="43">
        <v>0.0</v>
      </c>
      <c r="D24" s="43">
        <v>0.0</v>
      </c>
      <c r="E24" s="43">
        <v>0.0</v>
      </c>
      <c r="F24" s="43">
        <v>0.0</v>
      </c>
      <c r="G24" s="43">
        <f t="shared" si="5"/>
        <v>0</v>
      </c>
      <c r="H24" s="43">
        <f>G24*15</f>
        <v>0</v>
      </c>
    </row>
    <row r="25" ht="15.75" customHeight="1">
      <c r="A25" s="43" t="s">
        <v>68</v>
      </c>
      <c r="B25" s="43">
        <f t="shared" ref="B25:F25" si="7">(B17+B24)/2</f>
        <v>0</v>
      </c>
      <c r="C25" s="43">
        <f t="shared" si="7"/>
        <v>2</v>
      </c>
      <c r="D25" s="43">
        <f t="shared" si="7"/>
        <v>4</v>
      </c>
      <c r="E25" s="43">
        <f t="shared" si="7"/>
        <v>6</v>
      </c>
      <c r="F25" s="43">
        <f t="shared" si="7"/>
        <v>8</v>
      </c>
      <c r="G25" s="43">
        <f t="shared" si="5"/>
        <v>20</v>
      </c>
      <c r="H25" s="43"/>
    </row>
    <row r="26" ht="15.75" customHeight="1">
      <c r="A26" s="43" t="s">
        <v>69</v>
      </c>
      <c r="B26" s="43">
        <f t="shared" ref="B26:F26" si="8">B23*80</f>
        <v>320</v>
      </c>
      <c r="C26" s="43">
        <f t="shared" si="8"/>
        <v>320</v>
      </c>
      <c r="D26" s="43">
        <f t="shared" si="8"/>
        <v>320</v>
      </c>
      <c r="E26" s="43">
        <f t="shared" si="8"/>
        <v>320</v>
      </c>
      <c r="F26" s="43">
        <f t="shared" si="8"/>
        <v>320</v>
      </c>
      <c r="G26" s="43">
        <f t="shared" si="5"/>
        <v>1600</v>
      </c>
      <c r="H26" s="43">
        <f>G26*2</f>
        <v>3200</v>
      </c>
    </row>
    <row r="27" ht="15.75" customHeight="1">
      <c r="A27" s="43"/>
      <c r="B27" s="43"/>
      <c r="C27" s="43"/>
      <c r="D27" s="43"/>
      <c r="E27" s="43"/>
      <c r="F27" s="43"/>
      <c r="G27" s="43"/>
      <c r="H27" s="64">
        <f>SUM(H19:H26)</f>
        <v>114200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15:H15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8.75"/>
    <col customWidth="1" min="3" max="3" width="8.38"/>
    <col customWidth="1" min="4" max="8" width="7.63"/>
  </cols>
  <sheetData>
    <row r="1">
      <c r="A1" s="66" t="s">
        <v>54</v>
      </c>
      <c r="B1" s="62"/>
      <c r="C1" s="62"/>
      <c r="D1" s="62"/>
      <c r="E1" s="62"/>
      <c r="F1" s="62"/>
      <c r="G1" s="62"/>
      <c r="H1" s="63"/>
    </row>
    <row r="2">
      <c r="A2" s="67" t="s">
        <v>25</v>
      </c>
      <c r="B2" s="67">
        <v>21.0</v>
      </c>
      <c r="C2" s="67">
        <v>22.0</v>
      </c>
      <c r="D2" s="67">
        <v>23.0</v>
      </c>
      <c r="E2" s="67">
        <v>24.0</v>
      </c>
      <c r="F2" s="67">
        <v>25.0</v>
      </c>
      <c r="G2" s="67" t="s">
        <v>55</v>
      </c>
      <c r="H2" s="67" t="s">
        <v>56</v>
      </c>
    </row>
    <row r="3">
      <c r="A3" s="68" t="s">
        <v>71</v>
      </c>
      <c r="B3" s="68">
        <v>0.0</v>
      </c>
      <c r="C3" s="68">
        <v>13.0</v>
      </c>
      <c r="D3" s="68">
        <v>7.0</v>
      </c>
      <c r="E3" s="68">
        <v>0.0</v>
      </c>
      <c r="F3" s="68">
        <v>0.0</v>
      </c>
      <c r="G3" s="68"/>
      <c r="H3" s="68"/>
    </row>
    <row r="4">
      <c r="A4" s="69" t="s">
        <v>26</v>
      </c>
      <c r="B4" s="69">
        <v>182.0</v>
      </c>
      <c r="C4" s="69">
        <v>201.0</v>
      </c>
      <c r="D4" s="69">
        <v>217.0</v>
      </c>
      <c r="E4" s="69">
        <v>204.0</v>
      </c>
      <c r="F4" s="69">
        <v>169.0</v>
      </c>
      <c r="G4" s="68">
        <v>194.6</v>
      </c>
      <c r="H4" s="68"/>
    </row>
    <row r="5">
      <c r="A5" s="68" t="s">
        <v>72</v>
      </c>
      <c r="B5" s="68">
        <v>195.0</v>
      </c>
      <c r="C5" s="68">
        <v>195.0</v>
      </c>
      <c r="D5" s="68">
        <v>195.0</v>
      </c>
      <c r="E5" s="68">
        <v>195.0</v>
      </c>
      <c r="F5" s="68">
        <v>195.0</v>
      </c>
      <c r="G5" s="68">
        <v>975.0</v>
      </c>
      <c r="H5" s="68">
        <v>78000.0</v>
      </c>
    </row>
    <row r="6">
      <c r="A6" s="68" t="s">
        <v>62</v>
      </c>
      <c r="B6" s="68">
        <v>7.0</v>
      </c>
      <c r="C6" s="68">
        <v>7.0</v>
      </c>
      <c r="D6" s="68">
        <v>7.0</v>
      </c>
      <c r="E6" s="68">
        <v>7.0</v>
      </c>
      <c r="F6" s="68">
        <v>7.0</v>
      </c>
      <c r="G6" s="68"/>
      <c r="H6" s="68"/>
    </row>
    <row r="7">
      <c r="A7" s="68" t="s">
        <v>64</v>
      </c>
      <c r="B7" s="68">
        <v>10.0</v>
      </c>
      <c r="C7" s="68">
        <v>7.0</v>
      </c>
      <c r="D7" s="68">
        <v>7.0</v>
      </c>
      <c r="E7" s="68">
        <v>7.0</v>
      </c>
      <c r="F7" s="68">
        <v>7.0</v>
      </c>
      <c r="G7" s="68"/>
      <c r="H7" s="68"/>
    </row>
    <row r="8">
      <c r="A8" s="68" t="s">
        <v>73</v>
      </c>
      <c r="B8" s="68">
        <v>3.0</v>
      </c>
      <c r="C8" s="68"/>
      <c r="D8" s="68"/>
      <c r="E8" s="68"/>
      <c r="F8" s="68"/>
      <c r="G8" s="68">
        <v>3.0</v>
      </c>
      <c r="H8" s="68">
        <v>75000.0</v>
      </c>
    </row>
    <row r="9">
      <c r="A9" s="68" t="s">
        <v>66</v>
      </c>
      <c r="B9" s="68">
        <v>13.0</v>
      </c>
      <c r="C9" s="68">
        <v>0.0</v>
      </c>
      <c r="D9" s="68">
        <v>0.0</v>
      </c>
      <c r="E9" s="68">
        <v>0.0</v>
      </c>
      <c r="F9" s="68">
        <v>26.0</v>
      </c>
      <c r="G9" s="68"/>
      <c r="H9" s="68"/>
    </row>
    <row r="10">
      <c r="A10" s="68" t="s">
        <v>67</v>
      </c>
      <c r="B10" s="68">
        <v>13.0</v>
      </c>
      <c r="C10" s="68">
        <v>7.0</v>
      </c>
      <c r="D10" s="68">
        <v>-15.0</v>
      </c>
      <c r="E10" s="68">
        <v>-9.0</v>
      </c>
      <c r="F10" s="68">
        <v>26.0</v>
      </c>
      <c r="G10" s="68"/>
      <c r="H10" s="68"/>
    </row>
    <row r="11">
      <c r="A11" s="68" t="s">
        <v>74</v>
      </c>
      <c r="B11" s="68"/>
      <c r="C11" s="68"/>
      <c r="D11" s="68">
        <v>15.0</v>
      </c>
      <c r="E11" s="68">
        <v>9.0</v>
      </c>
      <c r="F11" s="68"/>
      <c r="G11" s="68">
        <v>24.0</v>
      </c>
      <c r="H11" s="68">
        <v>432.0</v>
      </c>
    </row>
    <row r="12">
      <c r="A12" s="68" t="s">
        <v>75</v>
      </c>
      <c r="B12" s="68">
        <v>7.0</v>
      </c>
      <c r="C12" s="68">
        <v>10.0</v>
      </c>
      <c r="D12" s="68">
        <v>0.0</v>
      </c>
      <c r="E12" s="68">
        <v>0.0</v>
      </c>
      <c r="F12" s="68">
        <v>13.0</v>
      </c>
      <c r="G12" s="68">
        <v>30.0</v>
      </c>
      <c r="H12" s="68"/>
    </row>
    <row r="13">
      <c r="A13" s="68" t="s">
        <v>76</v>
      </c>
      <c r="B13" s="68">
        <v>1040.0</v>
      </c>
      <c r="C13" s="68">
        <v>0.0</v>
      </c>
      <c r="D13" s="68">
        <v>0.0</v>
      </c>
      <c r="E13" s="68">
        <v>0.0</v>
      </c>
      <c r="F13" s="68">
        <v>2080.0</v>
      </c>
      <c r="G13" s="68">
        <v>3120.0</v>
      </c>
      <c r="H13" s="68">
        <v>6240.0</v>
      </c>
    </row>
    <row r="14">
      <c r="A14" s="68"/>
      <c r="B14" s="68"/>
      <c r="C14" s="68"/>
      <c r="D14" s="68"/>
      <c r="E14" s="68"/>
      <c r="F14" s="67"/>
      <c r="G14" s="67"/>
      <c r="H14" s="70">
        <v>159672.0</v>
      </c>
    </row>
    <row r="16">
      <c r="A16" s="66" t="s">
        <v>70</v>
      </c>
      <c r="B16" s="62"/>
      <c r="C16" s="62"/>
      <c r="D16" s="62"/>
      <c r="E16" s="62"/>
      <c r="F16" s="62"/>
      <c r="G16" s="62"/>
      <c r="H16" s="63"/>
    </row>
    <row r="17">
      <c r="A17" s="67" t="s">
        <v>25</v>
      </c>
      <c r="B17" s="67">
        <v>21.0</v>
      </c>
      <c r="C17" s="67">
        <v>22.0</v>
      </c>
      <c r="D17" s="67">
        <v>23.0</v>
      </c>
      <c r="E17" s="67">
        <v>24.0</v>
      </c>
      <c r="F17" s="67">
        <v>25.0</v>
      </c>
      <c r="G17" s="67" t="s">
        <v>55</v>
      </c>
      <c r="H17" s="67" t="s">
        <v>56</v>
      </c>
    </row>
    <row r="18">
      <c r="A18" s="68" t="s">
        <v>71</v>
      </c>
      <c r="B18" s="68">
        <v>0.0</v>
      </c>
      <c r="C18" s="68">
        <v>0.0</v>
      </c>
      <c r="D18" s="68">
        <v>0.0</v>
      </c>
      <c r="E18" s="68">
        <v>0.0</v>
      </c>
      <c r="F18" s="68">
        <v>0.0</v>
      </c>
      <c r="G18" s="68"/>
      <c r="H18" s="68"/>
    </row>
    <row r="19" ht="15.75" customHeight="1">
      <c r="A19" s="69" t="s">
        <v>26</v>
      </c>
      <c r="B19" s="69">
        <v>182.0</v>
      </c>
      <c r="C19" s="69">
        <v>201.0</v>
      </c>
      <c r="D19" s="69">
        <v>217.0</v>
      </c>
      <c r="E19" s="69">
        <v>204.0</v>
      </c>
      <c r="F19" s="69">
        <v>169.0</v>
      </c>
      <c r="G19" s="68"/>
      <c r="H19" s="68"/>
    </row>
    <row r="20" ht="15.75" customHeight="1">
      <c r="A20" s="68" t="s">
        <v>72</v>
      </c>
      <c r="B20" s="68">
        <v>182.0</v>
      </c>
      <c r="C20" s="68">
        <v>210.0</v>
      </c>
      <c r="D20" s="68">
        <v>217.0</v>
      </c>
      <c r="E20" s="68">
        <v>204.0</v>
      </c>
      <c r="F20" s="68">
        <v>169.0</v>
      </c>
      <c r="G20" s="68">
        <v>982.0</v>
      </c>
      <c r="H20" s="68">
        <v>78560.0</v>
      </c>
    </row>
    <row r="21" ht="15.75" customHeight="1">
      <c r="A21" s="68" t="s">
        <v>62</v>
      </c>
      <c r="B21" s="68">
        <v>7.0</v>
      </c>
      <c r="C21" s="68">
        <v>7.0</v>
      </c>
      <c r="D21" s="68">
        <v>8.0</v>
      </c>
      <c r="E21" s="68">
        <v>7.0</v>
      </c>
      <c r="F21" s="68">
        <v>6.0</v>
      </c>
      <c r="G21" s="68"/>
      <c r="H21" s="68"/>
    </row>
    <row r="22" ht="15.75" customHeight="1">
      <c r="A22" s="68" t="s">
        <v>64</v>
      </c>
      <c r="B22" s="68">
        <v>10.0</v>
      </c>
      <c r="C22" s="68">
        <v>7.0</v>
      </c>
      <c r="D22" s="68">
        <v>7.0</v>
      </c>
      <c r="E22" s="68">
        <v>8.0</v>
      </c>
      <c r="F22" s="68">
        <v>7.0</v>
      </c>
      <c r="G22" s="68"/>
      <c r="H22" s="68"/>
    </row>
    <row r="23" ht="15.75" customHeight="1">
      <c r="A23" s="68" t="s">
        <v>73</v>
      </c>
      <c r="B23" s="68">
        <v>3.0</v>
      </c>
      <c r="C23" s="68">
        <v>0.0</v>
      </c>
      <c r="D23" s="68">
        <v>0.0</v>
      </c>
      <c r="E23" s="68">
        <v>1.0</v>
      </c>
      <c r="F23" s="68">
        <v>1.0</v>
      </c>
      <c r="G23" s="68">
        <v>5.0</v>
      </c>
      <c r="H23" s="68">
        <v>125000.0</v>
      </c>
    </row>
    <row r="24" ht="15.75" customHeight="1">
      <c r="A24" s="68" t="s">
        <v>77</v>
      </c>
      <c r="B24" s="68">
        <v>0.0</v>
      </c>
      <c r="C24" s="68">
        <v>0.0</v>
      </c>
      <c r="D24" s="68">
        <v>1.0</v>
      </c>
      <c r="E24" s="68">
        <v>0.0</v>
      </c>
      <c r="F24" s="68">
        <v>0.0</v>
      </c>
      <c r="G24" s="68">
        <v>1.0</v>
      </c>
      <c r="H24" s="68">
        <v>12000.0</v>
      </c>
    </row>
    <row r="25" ht="15.75" customHeight="1">
      <c r="A25" s="68" t="s">
        <v>66</v>
      </c>
      <c r="B25" s="68">
        <v>0.0</v>
      </c>
      <c r="C25" s="68">
        <v>0.0</v>
      </c>
      <c r="D25" s="68">
        <v>0.0</v>
      </c>
      <c r="E25" s="68">
        <v>0.0</v>
      </c>
      <c r="F25" s="68">
        <v>0.0</v>
      </c>
      <c r="G25" s="68"/>
      <c r="H25" s="68"/>
    </row>
    <row r="26" ht="15.75" customHeight="1">
      <c r="A26" s="68" t="s">
        <v>67</v>
      </c>
      <c r="B26" s="68">
        <v>0.0</v>
      </c>
      <c r="C26" s="68">
        <v>0.0</v>
      </c>
      <c r="D26" s="68">
        <v>0.0</v>
      </c>
      <c r="E26" s="68">
        <v>0.0</v>
      </c>
      <c r="F26" s="68">
        <v>0.0</v>
      </c>
      <c r="G26" s="68"/>
      <c r="H26" s="68"/>
    </row>
    <row r="27" ht="15.75" customHeight="1">
      <c r="A27" s="68" t="s">
        <v>75</v>
      </c>
      <c r="B27" s="68">
        <v>0.0</v>
      </c>
      <c r="C27" s="68">
        <v>0.0</v>
      </c>
      <c r="D27" s="68">
        <v>0.0</v>
      </c>
      <c r="E27" s="68">
        <v>0.0</v>
      </c>
      <c r="F27" s="68">
        <v>0.0</v>
      </c>
      <c r="G27" s="68"/>
      <c r="H27" s="68"/>
    </row>
    <row r="28" ht="15.75" customHeight="1">
      <c r="A28" s="68" t="s">
        <v>76</v>
      </c>
      <c r="B28" s="68">
        <v>0.0</v>
      </c>
      <c r="C28" s="68">
        <v>0.0</v>
      </c>
      <c r="D28" s="68">
        <v>0.0</v>
      </c>
      <c r="E28" s="68">
        <v>0.0</v>
      </c>
      <c r="F28" s="68">
        <v>0.0</v>
      </c>
      <c r="G28" s="68"/>
      <c r="H28" s="68"/>
    </row>
    <row r="29" ht="15.75" customHeight="1">
      <c r="A29" s="68"/>
      <c r="B29" s="68"/>
      <c r="C29" s="68"/>
      <c r="D29" s="68"/>
      <c r="E29" s="68"/>
      <c r="F29" s="67"/>
      <c r="G29" s="71"/>
      <c r="H29" s="70">
        <v>215560.0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16:H16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26" width="7.63"/>
  </cols>
  <sheetData>
    <row r="1">
      <c r="A1" s="61" t="s">
        <v>78</v>
      </c>
      <c r="B1" s="62"/>
      <c r="C1" s="62"/>
      <c r="D1" s="62"/>
      <c r="E1" s="62"/>
      <c r="F1" s="62"/>
      <c r="G1" s="62"/>
      <c r="H1" s="63"/>
    </row>
    <row r="2">
      <c r="A2" s="35" t="s">
        <v>79</v>
      </c>
      <c r="B2" s="72">
        <v>21.0</v>
      </c>
      <c r="C2" s="72">
        <v>22.0</v>
      </c>
      <c r="D2" s="72">
        <v>23.0</v>
      </c>
      <c r="E2" s="72">
        <v>24.0</v>
      </c>
      <c r="F2" s="72">
        <v>25.0</v>
      </c>
      <c r="G2" s="73" t="s">
        <v>55</v>
      </c>
      <c r="H2" s="73" t="s">
        <v>56</v>
      </c>
    </row>
    <row r="3">
      <c r="A3" s="36" t="s">
        <v>80</v>
      </c>
      <c r="B3" s="74">
        <v>0.0</v>
      </c>
      <c r="C3" s="74">
        <f t="shared" ref="C3:F3" si="1">B11</f>
        <v>0</v>
      </c>
      <c r="D3" s="74">
        <f t="shared" si="1"/>
        <v>0</v>
      </c>
      <c r="E3" s="74">
        <f t="shared" si="1"/>
        <v>35.5</v>
      </c>
      <c r="F3" s="74">
        <f t="shared" si="1"/>
        <v>75.5</v>
      </c>
      <c r="G3" s="75"/>
      <c r="H3" s="75"/>
    </row>
    <row r="4">
      <c r="A4" s="36" t="s">
        <v>81</v>
      </c>
      <c r="B4" s="74">
        <v>124.0</v>
      </c>
      <c r="C4" s="74">
        <v>97.0</v>
      </c>
      <c r="D4" s="74">
        <v>87.0</v>
      </c>
      <c r="E4" s="74">
        <v>73.0</v>
      </c>
      <c r="F4" s="74">
        <v>128.0</v>
      </c>
      <c r="G4" s="75">
        <f t="shared" ref="G4:G5" si="2">SUM(B4:F4)</f>
        <v>509</v>
      </c>
      <c r="H4" s="75"/>
    </row>
    <row r="5">
      <c r="A5" s="36" t="s">
        <v>82</v>
      </c>
      <c r="B5" s="74">
        <v>98.0</v>
      </c>
      <c r="C5" s="74">
        <v>98.0</v>
      </c>
      <c r="D5" s="74">
        <v>98.0</v>
      </c>
      <c r="E5" s="74">
        <v>98.0</v>
      </c>
      <c r="F5" s="74">
        <v>98.0</v>
      </c>
      <c r="G5" s="75">
        <f t="shared" si="2"/>
        <v>490</v>
      </c>
      <c r="H5" s="75">
        <f>G5*25</f>
        <v>12250</v>
      </c>
    </row>
    <row r="6">
      <c r="A6" s="36" t="s">
        <v>83</v>
      </c>
      <c r="B6" s="74">
        <f t="shared" ref="B6:F6" si="3">B3+B5</f>
        <v>98</v>
      </c>
      <c r="C6" s="74">
        <f t="shared" si="3"/>
        <v>98</v>
      </c>
      <c r="D6" s="74">
        <f t="shared" si="3"/>
        <v>98</v>
      </c>
      <c r="E6" s="74">
        <f t="shared" si="3"/>
        <v>133.5</v>
      </c>
      <c r="F6" s="74">
        <f t="shared" si="3"/>
        <v>173.5</v>
      </c>
      <c r="G6" s="75"/>
      <c r="H6" s="75"/>
    </row>
    <row r="7">
      <c r="A7" s="36" t="s">
        <v>84</v>
      </c>
      <c r="B7" s="74">
        <f t="shared" ref="B7:F7" si="4">ROUNDUP(B5/30,0)</f>
        <v>4</v>
      </c>
      <c r="C7" s="74">
        <f t="shared" si="4"/>
        <v>4</v>
      </c>
      <c r="D7" s="74">
        <f t="shared" si="4"/>
        <v>4</v>
      </c>
      <c r="E7" s="74">
        <f t="shared" si="4"/>
        <v>4</v>
      </c>
      <c r="F7" s="74">
        <f t="shared" si="4"/>
        <v>4</v>
      </c>
      <c r="G7" s="75"/>
      <c r="H7" s="75"/>
    </row>
    <row r="8">
      <c r="A8" s="36" t="s">
        <v>85</v>
      </c>
      <c r="B8" s="74">
        <v>8.0</v>
      </c>
      <c r="C8" s="74">
        <v>4.0</v>
      </c>
      <c r="D8" s="74">
        <v>4.0</v>
      </c>
      <c r="E8" s="74">
        <v>4.0</v>
      </c>
      <c r="F8" s="74">
        <v>4.0</v>
      </c>
      <c r="G8" s="75"/>
      <c r="H8" s="75"/>
    </row>
    <row r="9">
      <c r="A9" s="36" t="s">
        <v>86</v>
      </c>
      <c r="B9" s="74">
        <f t="shared" ref="B9:F9" si="5">B8-B7</f>
        <v>4</v>
      </c>
      <c r="C9" s="74">
        <f t="shared" si="5"/>
        <v>0</v>
      </c>
      <c r="D9" s="74">
        <f t="shared" si="5"/>
        <v>0</v>
      </c>
      <c r="E9" s="74">
        <f t="shared" si="5"/>
        <v>0</v>
      </c>
      <c r="F9" s="74">
        <f t="shared" si="5"/>
        <v>0</v>
      </c>
      <c r="G9" s="75">
        <f t="shared" ref="G9:G10" si="7">SUM(B9:F9)</f>
        <v>4</v>
      </c>
      <c r="H9" s="75">
        <f>G9*25000</f>
        <v>100000</v>
      </c>
    </row>
    <row r="10">
      <c r="A10" s="36" t="s">
        <v>87</v>
      </c>
      <c r="B10" s="74">
        <f>IF(B6-B4-0&gt;=0,B6-B4,0)</f>
        <v>0</v>
      </c>
      <c r="C10" s="74">
        <f t="shared" ref="C10:F10" si="6">IF(C6-C4-B13&gt;=0,C6-C4,0)</f>
        <v>0</v>
      </c>
      <c r="D10" s="74">
        <f t="shared" si="6"/>
        <v>0</v>
      </c>
      <c r="E10" s="74">
        <f t="shared" si="6"/>
        <v>60.5</v>
      </c>
      <c r="F10" s="74">
        <f t="shared" si="6"/>
        <v>45.5</v>
      </c>
      <c r="G10" s="75">
        <f t="shared" si="7"/>
        <v>106</v>
      </c>
      <c r="H10" s="75">
        <f>G10*11.5</f>
        <v>1219</v>
      </c>
    </row>
    <row r="11">
      <c r="A11" s="36" t="s">
        <v>68</v>
      </c>
      <c r="B11" s="74">
        <f t="shared" ref="B11:C11" si="8">(B3+B10)/2</f>
        <v>0</v>
      </c>
      <c r="C11" s="74">
        <f t="shared" si="8"/>
        <v>0</v>
      </c>
      <c r="D11" s="74">
        <v>35.5</v>
      </c>
      <c r="E11" s="74">
        <v>75.5</v>
      </c>
      <c r="F11" s="74">
        <v>95.0</v>
      </c>
      <c r="G11" s="75"/>
      <c r="H11" s="75"/>
    </row>
    <row r="12">
      <c r="A12" s="36" t="s">
        <v>88</v>
      </c>
      <c r="B12" s="74">
        <v>1760.0</v>
      </c>
      <c r="C12" s="74">
        <v>1760.0</v>
      </c>
      <c r="D12" s="74">
        <v>1760.0</v>
      </c>
      <c r="E12" s="74">
        <v>1760.0</v>
      </c>
      <c r="F12" s="74">
        <v>1760.0</v>
      </c>
      <c r="G12" s="75">
        <f t="shared" ref="G12:G13" si="10">SUM(B12:F12)</f>
        <v>8800</v>
      </c>
      <c r="H12" s="75">
        <f>G12*2</f>
        <v>17600</v>
      </c>
    </row>
    <row r="13">
      <c r="A13" s="36" t="s">
        <v>89</v>
      </c>
      <c r="B13" s="74">
        <f>IF(B6-(B4+0)&lt;0,ABS(B6-B4-0),0)</f>
        <v>26</v>
      </c>
      <c r="C13" s="74">
        <f t="shared" ref="C13:F13" si="9">IF(C6-(C4+B13)&lt;0,ABS(C6-C4-B13),0)</f>
        <v>25</v>
      </c>
      <c r="D13" s="74">
        <f t="shared" si="9"/>
        <v>14</v>
      </c>
      <c r="E13" s="74">
        <f t="shared" si="9"/>
        <v>0</v>
      </c>
      <c r="F13" s="74">
        <f t="shared" si="9"/>
        <v>0</v>
      </c>
      <c r="G13" s="73">
        <f t="shared" si="10"/>
        <v>65</v>
      </c>
      <c r="H13" s="75">
        <f>G13*10</f>
        <v>650</v>
      </c>
    </row>
    <row r="14">
      <c r="A14" s="43"/>
      <c r="B14" s="43"/>
      <c r="C14" s="43"/>
      <c r="D14" s="43"/>
      <c r="E14" s="43"/>
      <c r="F14" s="43"/>
      <c r="G14" s="42"/>
      <c r="H14" s="64">
        <f>SUM(H3:H13)</f>
        <v>131719</v>
      </c>
    </row>
    <row r="16">
      <c r="A16" s="76" t="s">
        <v>90</v>
      </c>
    </row>
    <row r="18">
      <c r="A18" s="65" t="s">
        <v>91</v>
      </c>
      <c r="B18" s="62"/>
      <c r="C18" s="62"/>
      <c r="D18" s="62"/>
      <c r="E18" s="62"/>
      <c r="F18" s="62"/>
      <c r="G18" s="62"/>
      <c r="H18" s="63"/>
    </row>
    <row r="19">
      <c r="A19" s="58" t="s">
        <v>25</v>
      </c>
      <c r="B19" s="58">
        <v>21.0</v>
      </c>
      <c r="C19" s="58">
        <v>22.0</v>
      </c>
      <c r="D19" s="58">
        <v>23.0</v>
      </c>
      <c r="E19" s="58">
        <v>24.0</v>
      </c>
      <c r="F19" s="58">
        <v>25.0</v>
      </c>
      <c r="G19" s="58" t="s">
        <v>92</v>
      </c>
      <c r="H19" s="58" t="s">
        <v>93</v>
      </c>
    </row>
    <row r="20">
      <c r="A20" s="43" t="s">
        <v>94</v>
      </c>
      <c r="B20" s="43">
        <v>0.0</v>
      </c>
      <c r="C20" s="43">
        <v>0.0</v>
      </c>
      <c r="D20" s="43">
        <v>0.0</v>
      </c>
      <c r="E20" s="43">
        <v>0.0</v>
      </c>
      <c r="F20" s="43">
        <v>0.0</v>
      </c>
      <c r="G20" s="42"/>
      <c r="H20" s="42"/>
    </row>
    <row r="21" ht="15.75" customHeight="1">
      <c r="A21" s="43" t="s">
        <v>12</v>
      </c>
      <c r="B21" s="43">
        <v>124.0</v>
      </c>
      <c r="C21" s="43">
        <v>97.0</v>
      </c>
      <c r="D21" s="43">
        <v>87.0</v>
      </c>
      <c r="E21" s="43">
        <v>73.0</v>
      </c>
      <c r="F21" s="43">
        <v>128.0</v>
      </c>
      <c r="G21" s="42"/>
      <c r="H21" s="42"/>
    </row>
    <row r="22" ht="15.75" customHeight="1">
      <c r="A22" s="43" t="s">
        <v>95</v>
      </c>
      <c r="B22" s="43">
        <v>124.0</v>
      </c>
      <c r="C22" s="43">
        <v>97.0</v>
      </c>
      <c r="D22" s="43">
        <v>87.0</v>
      </c>
      <c r="E22" s="43">
        <v>73.0</v>
      </c>
      <c r="F22" s="43">
        <v>128.0</v>
      </c>
      <c r="G22" s="54">
        <f t="shared" ref="G22:G23" si="12">SUM(B22:F22)</f>
        <v>509</v>
      </c>
      <c r="H22" s="42"/>
    </row>
    <row r="23" ht="15.75" customHeight="1">
      <c r="A23" s="43" t="s">
        <v>62</v>
      </c>
      <c r="B23" s="43">
        <f t="shared" ref="B23:F23" si="11">ROUNDUP(B22/10,0)</f>
        <v>13</v>
      </c>
      <c r="C23" s="43">
        <f t="shared" si="11"/>
        <v>10</v>
      </c>
      <c r="D23" s="43">
        <f t="shared" si="11"/>
        <v>9</v>
      </c>
      <c r="E23" s="43">
        <f t="shared" si="11"/>
        <v>8</v>
      </c>
      <c r="F23" s="43">
        <f t="shared" si="11"/>
        <v>13</v>
      </c>
      <c r="G23" s="54">
        <f t="shared" si="12"/>
        <v>53</v>
      </c>
      <c r="H23" s="42">
        <f>G23*25</f>
        <v>1325</v>
      </c>
    </row>
    <row r="24" ht="15.75" customHeight="1">
      <c r="A24" s="43" t="s">
        <v>96</v>
      </c>
      <c r="B24" s="43">
        <v>8.0</v>
      </c>
      <c r="C24" s="43">
        <v>13.0</v>
      </c>
      <c r="D24" s="43">
        <v>10.0</v>
      </c>
      <c r="E24" s="43">
        <v>9.0</v>
      </c>
      <c r="F24" s="43">
        <v>8.0</v>
      </c>
      <c r="G24" s="54"/>
      <c r="H24" s="42"/>
    </row>
    <row r="25" ht="15.75" customHeight="1">
      <c r="A25" s="43" t="s">
        <v>97</v>
      </c>
      <c r="B25" s="43">
        <f>B23-B24</f>
        <v>5</v>
      </c>
      <c r="C25" s="43">
        <v>0.0</v>
      </c>
      <c r="D25" s="43">
        <v>0.0</v>
      </c>
      <c r="E25" s="43">
        <v>0.0</v>
      </c>
      <c r="F25" s="43">
        <v>0.0</v>
      </c>
      <c r="G25" s="54">
        <f t="shared" ref="G25:G26" si="13">SUM(B25:F25)</f>
        <v>5</v>
      </c>
      <c r="H25" s="42">
        <f>G25*12000</f>
        <v>60000</v>
      </c>
    </row>
    <row r="26" ht="15.75" customHeight="1">
      <c r="A26" s="43" t="s">
        <v>98</v>
      </c>
      <c r="B26" s="43">
        <v>0.0</v>
      </c>
      <c r="C26" s="43">
        <v>3.0</v>
      </c>
      <c r="D26" s="43">
        <v>1.0</v>
      </c>
      <c r="E26" s="43">
        <v>1.0</v>
      </c>
      <c r="F26" s="43">
        <v>5.0</v>
      </c>
      <c r="G26" s="54">
        <f t="shared" si="13"/>
        <v>10</v>
      </c>
      <c r="H26" s="42">
        <f>G26*25000</f>
        <v>250000</v>
      </c>
    </row>
    <row r="27" ht="15.75" customHeight="1">
      <c r="A27" s="43" t="s">
        <v>99</v>
      </c>
      <c r="B27" s="43">
        <v>0.0</v>
      </c>
      <c r="C27" s="43">
        <v>0.0</v>
      </c>
      <c r="D27" s="43">
        <v>0.0</v>
      </c>
      <c r="E27" s="43">
        <v>0.0</v>
      </c>
      <c r="F27" s="43">
        <v>0.0</v>
      </c>
      <c r="G27" s="54"/>
      <c r="H27" s="42"/>
    </row>
    <row r="28" ht="15.75" customHeight="1">
      <c r="A28" s="43"/>
      <c r="B28" s="43"/>
      <c r="C28" s="43"/>
      <c r="D28" s="43"/>
      <c r="E28" s="43"/>
      <c r="F28" s="43"/>
      <c r="G28" s="42"/>
      <c r="H28" s="64">
        <f>SUM(H20:H27)</f>
        <v>311325</v>
      </c>
    </row>
    <row r="29" ht="15.75" customHeight="1"/>
    <row r="30" ht="15.75" customHeight="1">
      <c r="A30" s="76" t="s">
        <v>90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H1"/>
    <mergeCell ref="A16:H16"/>
    <mergeCell ref="A18:H18"/>
    <mergeCell ref="A30:H30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9" width="7.63"/>
    <col customWidth="1" min="10" max="10" width="18.25"/>
    <col customWidth="1" min="11" max="11" width="7.63"/>
  </cols>
  <sheetData>
    <row r="1">
      <c r="A1" s="77" t="s">
        <v>54</v>
      </c>
      <c r="B1" s="62"/>
      <c r="C1" s="62"/>
      <c r="D1" s="62"/>
      <c r="E1" s="62"/>
      <c r="F1" s="62"/>
      <c r="G1" s="62"/>
      <c r="H1" s="63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>
      <c r="A2" s="79" t="s">
        <v>37</v>
      </c>
      <c r="B2" s="79">
        <v>21.0</v>
      </c>
      <c r="C2" s="79">
        <v>22.0</v>
      </c>
      <c r="D2" s="79">
        <v>23.0</v>
      </c>
      <c r="E2" s="79">
        <v>24.0</v>
      </c>
      <c r="F2" s="79">
        <v>25.0</v>
      </c>
      <c r="G2" s="35" t="s">
        <v>55</v>
      </c>
      <c r="H2" s="35" t="s">
        <v>56</v>
      </c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>
      <c r="A3" s="45" t="s">
        <v>100</v>
      </c>
      <c r="B3" s="36">
        <v>0.0</v>
      </c>
      <c r="C3" s="36">
        <f t="shared" ref="C3:F3" si="1">B12</f>
        <v>7</v>
      </c>
      <c r="D3" s="36">
        <f t="shared" si="1"/>
        <v>11</v>
      </c>
      <c r="E3" s="36">
        <f t="shared" si="1"/>
        <v>11</v>
      </c>
      <c r="F3" s="36">
        <f t="shared" si="1"/>
        <v>8</v>
      </c>
      <c r="G3" s="36"/>
      <c r="H3" s="36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>
      <c r="A4" s="45" t="s">
        <v>95</v>
      </c>
      <c r="B4" s="36">
        <v>89.0</v>
      </c>
      <c r="C4" s="36">
        <v>89.0</v>
      </c>
      <c r="D4" s="36">
        <v>89.0</v>
      </c>
      <c r="E4" s="36">
        <v>89.0</v>
      </c>
      <c r="F4" s="36">
        <v>89.0</v>
      </c>
      <c r="G4" s="36">
        <f t="shared" ref="G4:G14" si="2">SUM(B4:F4)</f>
        <v>445</v>
      </c>
      <c r="H4" s="36">
        <f>G4*K4</f>
        <v>66750</v>
      </c>
      <c r="I4" s="78"/>
      <c r="J4" s="36" t="s">
        <v>101</v>
      </c>
      <c r="K4" s="36">
        <v>150.0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>
      <c r="A5" s="45" t="s">
        <v>12</v>
      </c>
      <c r="B5" s="36">
        <v>82.0</v>
      </c>
      <c r="C5" s="36">
        <v>85.0</v>
      </c>
      <c r="D5" s="36">
        <v>89.0</v>
      </c>
      <c r="E5" s="36">
        <v>92.0</v>
      </c>
      <c r="F5" s="36">
        <v>95.0</v>
      </c>
      <c r="G5" s="36">
        <f t="shared" si="2"/>
        <v>443</v>
      </c>
      <c r="H5" s="36"/>
      <c r="I5" s="78"/>
      <c r="J5" s="36" t="s">
        <v>102</v>
      </c>
      <c r="K5" s="36">
        <v>20.0</v>
      </c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>
      <c r="A6" s="45" t="s">
        <v>103</v>
      </c>
      <c r="B6" s="36">
        <v>3.0</v>
      </c>
      <c r="C6" s="36">
        <v>3.0</v>
      </c>
      <c r="D6" s="36">
        <v>3.0</v>
      </c>
      <c r="E6" s="36">
        <v>4.0</v>
      </c>
      <c r="F6" s="36">
        <v>4.0</v>
      </c>
      <c r="G6" s="36">
        <f t="shared" si="2"/>
        <v>17</v>
      </c>
      <c r="H6" s="36"/>
      <c r="I6" s="78"/>
      <c r="J6" s="36" t="s">
        <v>104</v>
      </c>
      <c r="K6" s="36">
        <v>50.0</v>
      </c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>
      <c r="A7" s="45" t="s">
        <v>105</v>
      </c>
      <c r="B7" s="36">
        <v>2.0</v>
      </c>
      <c r="C7" s="36">
        <v>3.0</v>
      </c>
      <c r="D7" s="36">
        <v>3.0</v>
      </c>
      <c r="E7" s="36">
        <v>3.0</v>
      </c>
      <c r="F7" s="36">
        <v>4.0</v>
      </c>
      <c r="G7" s="36">
        <f t="shared" si="2"/>
        <v>15</v>
      </c>
      <c r="H7" s="36"/>
      <c r="I7" s="78"/>
      <c r="J7" s="36" t="s">
        <v>106</v>
      </c>
      <c r="K7" s="36">
        <v>12000.0</v>
      </c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>
      <c r="A8" s="45" t="s">
        <v>107</v>
      </c>
      <c r="B8" s="36">
        <v>1.0</v>
      </c>
      <c r="C8" s="36">
        <v>0.0</v>
      </c>
      <c r="D8" s="36">
        <v>0.0</v>
      </c>
      <c r="E8" s="36">
        <v>1.0</v>
      </c>
      <c r="F8" s="36">
        <v>0.0</v>
      </c>
      <c r="G8" s="36">
        <f t="shared" si="2"/>
        <v>2</v>
      </c>
      <c r="H8" s="36">
        <f>G8*K$7</f>
        <v>24000</v>
      </c>
      <c r="I8" s="78"/>
      <c r="J8" s="36" t="s">
        <v>108</v>
      </c>
      <c r="K8" s="36">
        <v>25000.0</v>
      </c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>
      <c r="A9" s="45" t="s">
        <v>109</v>
      </c>
      <c r="B9" s="36">
        <v>0.0</v>
      </c>
      <c r="C9" s="36">
        <v>0.0</v>
      </c>
      <c r="D9" s="36">
        <v>0.0</v>
      </c>
      <c r="E9" s="36">
        <v>0.0</v>
      </c>
      <c r="F9" s="36">
        <v>0.0</v>
      </c>
      <c r="G9" s="36">
        <f t="shared" si="2"/>
        <v>0</v>
      </c>
      <c r="H9" s="36">
        <f>G9*K$8</f>
        <v>0</v>
      </c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hidden="1">
      <c r="A10" s="45" t="s">
        <v>66</v>
      </c>
      <c r="B10" s="36"/>
      <c r="C10" s="36"/>
      <c r="D10" s="36"/>
      <c r="E10" s="36"/>
      <c r="F10" s="36"/>
      <c r="G10" s="36">
        <f t="shared" si="2"/>
        <v>0</v>
      </c>
      <c r="H10" s="36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hidden="1">
      <c r="A11" s="45" t="s">
        <v>110</v>
      </c>
      <c r="B11" s="36"/>
      <c r="C11" s="36"/>
      <c r="D11" s="36"/>
      <c r="E11" s="36"/>
      <c r="F11" s="36"/>
      <c r="G11" s="36">
        <f t="shared" si="2"/>
        <v>0</v>
      </c>
      <c r="H11" s="36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>
      <c r="A12" s="45" t="s">
        <v>111</v>
      </c>
      <c r="B12" s="36">
        <f t="shared" ref="B12:F12" si="3">(B3+B4)-B5</f>
        <v>7</v>
      </c>
      <c r="C12" s="36">
        <f t="shared" si="3"/>
        <v>11</v>
      </c>
      <c r="D12" s="36">
        <f t="shared" si="3"/>
        <v>11</v>
      </c>
      <c r="E12" s="36">
        <f t="shared" si="3"/>
        <v>8</v>
      </c>
      <c r="F12" s="45">
        <f t="shared" si="3"/>
        <v>2</v>
      </c>
      <c r="G12" s="36">
        <f t="shared" si="2"/>
        <v>39</v>
      </c>
      <c r="H12" s="36">
        <f>G12*K$5</f>
        <v>780</v>
      </c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>
      <c r="A13" s="45" t="s">
        <v>112</v>
      </c>
      <c r="B13" s="36">
        <v>0.0</v>
      </c>
      <c r="C13" s="36">
        <v>0.0</v>
      </c>
      <c r="D13" s="36">
        <v>0.0</v>
      </c>
      <c r="E13" s="36">
        <v>0.0</v>
      </c>
      <c r="F13" s="36">
        <v>0.0</v>
      </c>
      <c r="G13" s="36">
        <f t="shared" si="2"/>
        <v>0</v>
      </c>
      <c r="H13" s="36">
        <f>G13*K$6</f>
        <v>0</v>
      </c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>
      <c r="A14" s="45" t="s">
        <v>113</v>
      </c>
      <c r="B14" s="36">
        <f>B12/2</f>
        <v>3.5</v>
      </c>
      <c r="C14" s="36">
        <f>AVERAGE(B12:C12)</f>
        <v>9</v>
      </c>
      <c r="D14" s="36">
        <f>AVERAGE(B12:D12)</f>
        <v>9.666666667</v>
      </c>
      <c r="E14" s="36">
        <f>AVERAGE(B12:E12)</f>
        <v>9.25</v>
      </c>
      <c r="F14" s="36">
        <f>AVERAGE(B12:F12)</f>
        <v>7.8</v>
      </c>
      <c r="G14" s="36">
        <f t="shared" si="2"/>
        <v>39.21666667</v>
      </c>
      <c r="H14" s="36">
        <v>0.0</v>
      </c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>
      <c r="A15" s="45"/>
      <c r="B15" s="36"/>
      <c r="C15" s="36"/>
      <c r="D15" s="36"/>
      <c r="E15" s="36"/>
      <c r="F15" s="36"/>
      <c r="G15" s="36"/>
      <c r="H15" s="70">
        <f>SUM(H3:H14)</f>
        <v>91530</v>
      </c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>
      <c r="A16" s="80"/>
      <c r="B16" s="62"/>
      <c r="C16" s="62"/>
      <c r="D16" s="62"/>
      <c r="E16" s="62"/>
      <c r="F16" s="62"/>
      <c r="G16" s="62"/>
      <c r="H16" s="81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>
      <c r="A17" s="77" t="s">
        <v>70</v>
      </c>
      <c r="B17" s="62"/>
      <c r="C17" s="62"/>
      <c r="D17" s="62"/>
      <c r="E17" s="62"/>
      <c r="F17" s="62"/>
      <c r="G17" s="62"/>
      <c r="H17" s="63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>
      <c r="A18" s="79"/>
      <c r="B18" s="36"/>
      <c r="C18" s="36"/>
      <c r="D18" s="36"/>
      <c r="E18" s="36"/>
      <c r="F18" s="36"/>
      <c r="G18" s="35"/>
      <c r="H18" s="35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>
      <c r="A19" s="45" t="s">
        <v>37</v>
      </c>
      <c r="B19" s="79">
        <v>21.0</v>
      </c>
      <c r="C19" s="79">
        <v>22.0</v>
      </c>
      <c r="D19" s="79">
        <v>23.0</v>
      </c>
      <c r="E19" s="79">
        <v>24.0</v>
      </c>
      <c r="F19" s="79">
        <v>25.0</v>
      </c>
      <c r="G19" s="36" t="s">
        <v>55</v>
      </c>
      <c r="H19" s="36" t="s">
        <v>56</v>
      </c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>
      <c r="A20" s="45" t="s">
        <v>100</v>
      </c>
      <c r="B20" s="36">
        <v>0.0</v>
      </c>
      <c r="C20" s="36">
        <f t="shared" ref="C20:F20" si="4">B29</f>
        <v>0</v>
      </c>
      <c r="D20" s="36">
        <f t="shared" si="4"/>
        <v>0</v>
      </c>
      <c r="E20" s="36">
        <f t="shared" si="4"/>
        <v>0</v>
      </c>
      <c r="F20" s="36">
        <f t="shared" si="4"/>
        <v>0</v>
      </c>
      <c r="G20" s="36"/>
      <c r="H20" s="36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ht="15.75" customHeight="1">
      <c r="A21" s="45" t="s">
        <v>95</v>
      </c>
      <c r="B21" s="36">
        <v>82.0</v>
      </c>
      <c r="C21" s="36">
        <v>85.0</v>
      </c>
      <c r="D21" s="36">
        <v>89.0</v>
      </c>
      <c r="E21" s="36">
        <v>92.0</v>
      </c>
      <c r="F21" s="36">
        <v>95.0</v>
      </c>
      <c r="G21" s="36">
        <f t="shared" ref="G21:G31" si="5">SUM(B21:F21)</f>
        <v>443</v>
      </c>
      <c r="H21" s="36">
        <f>G21*K4</f>
        <v>66450</v>
      </c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ht="15.75" customHeight="1">
      <c r="A22" s="45" t="s">
        <v>12</v>
      </c>
      <c r="B22" s="36">
        <v>82.0</v>
      </c>
      <c r="C22" s="36">
        <v>85.0</v>
      </c>
      <c r="D22" s="36">
        <v>89.0</v>
      </c>
      <c r="E22" s="36">
        <v>92.0</v>
      </c>
      <c r="F22" s="36">
        <v>95.0</v>
      </c>
      <c r="G22" s="36">
        <f t="shared" si="5"/>
        <v>443</v>
      </c>
      <c r="H22" s="36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ht="15.75" customHeight="1">
      <c r="A23" s="45" t="s">
        <v>103</v>
      </c>
      <c r="B23" s="36">
        <v>3.0</v>
      </c>
      <c r="C23" s="36">
        <v>3.0</v>
      </c>
      <c r="D23" s="36">
        <v>3.0</v>
      </c>
      <c r="E23" s="36">
        <v>4.0</v>
      </c>
      <c r="F23" s="36">
        <v>4.0</v>
      </c>
      <c r="G23" s="36">
        <f t="shared" si="5"/>
        <v>17</v>
      </c>
      <c r="H23" s="36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ht="15.75" customHeight="1">
      <c r="A24" s="45" t="s">
        <v>105</v>
      </c>
      <c r="B24" s="36">
        <v>2.0</v>
      </c>
      <c r="C24" s="36">
        <v>3.0</v>
      </c>
      <c r="D24" s="36">
        <v>3.0</v>
      </c>
      <c r="E24" s="36">
        <v>3.0</v>
      </c>
      <c r="F24" s="36">
        <v>4.0</v>
      </c>
      <c r="G24" s="36">
        <f t="shared" si="5"/>
        <v>15</v>
      </c>
      <c r="H24" s="36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ht="15.75" customHeight="1">
      <c r="A25" s="45" t="s">
        <v>107</v>
      </c>
      <c r="B25" s="36">
        <v>1.0</v>
      </c>
      <c r="C25" s="36">
        <v>0.0</v>
      </c>
      <c r="D25" s="36">
        <v>0.0</v>
      </c>
      <c r="E25" s="36">
        <v>1.0</v>
      </c>
      <c r="F25" s="36">
        <v>0.0</v>
      </c>
      <c r="G25" s="36">
        <f t="shared" si="5"/>
        <v>2</v>
      </c>
      <c r="H25" s="36">
        <f t="shared" ref="H25:H26" si="6">G25*K7</f>
        <v>24000</v>
      </c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ht="15.75" customHeight="1">
      <c r="A26" s="45" t="s">
        <v>109</v>
      </c>
      <c r="B26" s="36">
        <v>0.0</v>
      </c>
      <c r="C26" s="36">
        <v>0.0</v>
      </c>
      <c r="D26" s="36">
        <v>0.0</v>
      </c>
      <c r="E26" s="36">
        <v>0.0</v>
      </c>
      <c r="F26" s="36">
        <v>0.0</v>
      </c>
      <c r="G26" s="36">
        <f t="shared" si="5"/>
        <v>0</v>
      </c>
      <c r="H26" s="36">
        <f t="shared" si="6"/>
        <v>0</v>
      </c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ht="15.75" customHeight="1">
      <c r="A27" s="45" t="s">
        <v>66</v>
      </c>
      <c r="B27" s="36"/>
      <c r="C27" s="36"/>
      <c r="D27" s="36"/>
      <c r="E27" s="36"/>
      <c r="F27" s="36"/>
      <c r="G27" s="36">
        <f t="shared" si="5"/>
        <v>0</v>
      </c>
      <c r="H27" s="36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ht="15.75" customHeight="1">
      <c r="A28" s="45" t="s">
        <v>110</v>
      </c>
      <c r="B28" s="36"/>
      <c r="C28" s="36"/>
      <c r="D28" s="36"/>
      <c r="E28" s="36"/>
      <c r="F28" s="36"/>
      <c r="G28" s="36">
        <f t="shared" si="5"/>
        <v>0</v>
      </c>
      <c r="H28" s="36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ht="15.75" customHeight="1">
      <c r="A29" s="45" t="s">
        <v>111</v>
      </c>
      <c r="B29" s="36">
        <f t="shared" ref="B29:F29" si="7">(B20+B21)-B22</f>
        <v>0</v>
      </c>
      <c r="C29" s="36">
        <f t="shared" si="7"/>
        <v>0</v>
      </c>
      <c r="D29" s="36">
        <f t="shared" si="7"/>
        <v>0</v>
      </c>
      <c r="E29" s="36">
        <f t="shared" si="7"/>
        <v>0</v>
      </c>
      <c r="F29" s="45">
        <f t="shared" si="7"/>
        <v>0</v>
      </c>
      <c r="G29" s="36">
        <f t="shared" si="5"/>
        <v>0</v>
      </c>
      <c r="H29" s="36">
        <f>G29*K22</f>
        <v>0</v>
      </c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ht="15.75" customHeight="1">
      <c r="A30" s="45" t="s">
        <v>112</v>
      </c>
      <c r="B30" s="36">
        <v>0.0</v>
      </c>
      <c r="C30" s="36">
        <v>0.0</v>
      </c>
      <c r="D30" s="36">
        <v>1.0</v>
      </c>
      <c r="E30" s="36">
        <v>0.0</v>
      </c>
      <c r="F30" s="36">
        <v>0.0</v>
      </c>
      <c r="G30" s="36">
        <f t="shared" si="5"/>
        <v>1</v>
      </c>
      <c r="H30" s="36">
        <f>G30*K6</f>
        <v>50</v>
      </c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ht="15.75" customHeight="1">
      <c r="A31" s="45" t="s">
        <v>113</v>
      </c>
      <c r="B31" s="36">
        <f>B29/2</f>
        <v>0</v>
      </c>
      <c r="C31" s="36">
        <f>AVERAGE(B29:C29)</f>
        <v>0</v>
      </c>
      <c r="D31" s="36">
        <f>AVERAGE(B29:D29)</f>
        <v>0</v>
      </c>
      <c r="E31" s="36">
        <f>AVERAGE(B29:E29)</f>
        <v>0</v>
      </c>
      <c r="F31" s="36">
        <f>AVERAGE(B29:F29)</f>
        <v>0</v>
      </c>
      <c r="G31" s="36">
        <f t="shared" si="5"/>
        <v>0</v>
      </c>
      <c r="H31" s="36">
        <v>0.0</v>
      </c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ht="15.75" customHeight="1">
      <c r="A32" s="36"/>
      <c r="B32" s="36"/>
      <c r="C32" s="36"/>
      <c r="D32" s="36"/>
      <c r="E32" s="36"/>
      <c r="F32" s="36"/>
      <c r="G32" s="36"/>
      <c r="H32" s="70">
        <f>SUM(H20:H31)</f>
        <v>90500</v>
      </c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ht="15.75" customHeight="1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ht="15.7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ht="15.75" customHeight="1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ht="15.75" customHeight="1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ht="15.75" customHeight="1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ht="15.75" customHeight="1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ht="15.75" customHeight="1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ht="15.75" customHeight="1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ht="15.75" customHeight="1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ht="15.75" customHeight="1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ht="15.75" customHeight="1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ht="15.75" customHeight="1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ht="15.75" customHeight="1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ht="15.75" customHeight="1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ht="15.75" customHeight="1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ht="15.75" customHeight="1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ht="15.75" customHeight="1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ht="15.75" customHeight="1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ht="15.75" customHeight="1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ht="15.75" customHeight="1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ht="15.75" customHeight="1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ht="15.75" customHeight="1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ht="15.75" customHeight="1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ht="15.75" customHeight="1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ht="15.75" customHeight="1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ht="15.75" customHeight="1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ht="15.75" customHeight="1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ht="15.75" customHeight="1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ht="15.75" customHeight="1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ht="15.75" customHeight="1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ht="15.75" customHeight="1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ht="15.75" customHeight="1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ht="15.75" customHeight="1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ht="15.75" customHeight="1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ht="15.75" customHeight="1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ht="15.75" customHeight="1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ht="15.75" customHeight="1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ht="15.75" customHeight="1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ht="15.75" customHeight="1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ht="15.75" customHeight="1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ht="15.75" customHeight="1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ht="15.75" customHeight="1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ht="15.75" customHeight="1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ht="15.75" customHeight="1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ht="15.75" customHeight="1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ht="15.75" customHeight="1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ht="15.75" customHeight="1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ht="15.75" customHeight="1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ht="15.75" customHeight="1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ht="15.75" customHeight="1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ht="15.75" customHeight="1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ht="15.75" customHeight="1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ht="15.75" customHeight="1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ht="15.75" customHeight="1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ht="15.75" customHeight="1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ht="15.75" customHeight="1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ht="15.75" customHeight="1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ht="15.75" customHeight="1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ht="15.75" customHeight="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ht="15.75" customHeight="1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ht="15.75" customHeight="1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ht="15.75" customHeight="1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ht="15.75" customHeight="1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ht="15.75" customHeight="1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ht="15.75" customHeight="1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ht="15.75" customHeight="1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ht="15.75" customHeight="1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ht="15.75" customHeight="1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ht="15.75" customHeight="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ht="15.75" customHeight="1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ht="15.75" customHeight="1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ht="15.75" customHeight="1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ht="15.75" customHeight="1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ht="15.75" customHeight="1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ht="15.75" customHeight="1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ht="15.75" customHeight="1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ht="15.75" customHeight="1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ht="15.75" customHeight="1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ht="15.75" customHeight="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ht="15.75" customHeight="1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ht="15.75" customHeight="1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ht="15.75" customHeight="1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ht="15.75" customHeight="1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ht="15.75" customHeight="1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ht="15.75" customHeight="1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ht="15.75" customHeight="1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ht="15.75" customHeight="1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ht="15.75" customHeight="1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ht="15.75" customHeight="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ht="15.75" customHeight="1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ht="15.75" customHeight="1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ht="15.75" customHeight="1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ht="15.75" customHeight="1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ht="15.75" customHeight="1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ht="15.75" customHeight="1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ht="15.75" customHeight="1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ht="15.75" customHeight="1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ht="15.75" customHeight="1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ht="15.75" customHeight="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ht="15.75" customHeight="1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ht="15.75" customHeight="1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ht="15.75" customHeight="1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ht="15.75" customHeight="1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ht="15.75" customHeight="1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ht="15.75" customHeight="1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ht="15.75" customHeight="1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ht="15.75" customHeight="1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ht="15.75" customHeight="1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ht="15.75" customHeight="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ht="15.75" customHeight="1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ht="15.75" customHeight="1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ht="15.75" customHeight="1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ht="15.75" customHeight="1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ht="15.75" customHeight="1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ht="15.75" customHeight="1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ht="15.75" customHeight="1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ht="15.75" customHeight="1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ht="15.75" customHeight="1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ht="15.75" customHeight="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ht="15.75" customHeight="1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ht="15.75" customHeight="1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ht="15.75" customHeight="1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ht="15.75" customHeight="1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ht="15.75" customHeight="1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ht="15.75" customHeight="1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ht="15.75" customHeight="1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ht="15.75" customHeight="1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ht="15.75" customHeight="1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ht="15.75" customHeight="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ht="15.75" customHeight="1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ht="15.75" customHeight="1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ht="15.75" customHeight="1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ht="15.75" customHeight="1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ht="15.75" customHeight="1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ht="15.75" customHeight="1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ht="15.75" customHeight="1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ht="15.75" customHeight="1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ht="15.75" customHeight="1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ht="15.75" customHeight="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ht="15.75" customHeight="1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ht="15.75" customHeight="1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ht="15.75" customHeight="1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ht="15.75" customHeight="1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ht="15.75" customHeight="1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ht="15.75" customHeight="1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ht="15.75" customHeight="1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ht="15.75" customHeight="1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ht="15.75" customHeight="1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ht="15.75" customHeight="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ht="15.75" customHeight="1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ht="15.75" customHeight="1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ht="15.75" customHeight="1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ht="15.75" customHeight="1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ht="15.75" customHeight="1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ht="15.75" customHeight="1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ht="15.75" customHeight="1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ht="15.75" customHeight="1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ht="15.75" customHeight="1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ht="15.75" customHeight="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ht="15.75" customHeight="1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ht="15.75" customHeight="1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ht="15.75" customHeight="1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ht="15.75" customHeight="1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ht="15.75" customHeight="1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ht="15.75" customHeight="1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ht="15.75" customHeight="1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ht="15.75" customHeight="1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ht="15.75" customHeight="1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ht="15.75" customHeight="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ht="15.75" customHeight="1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ht="15.75" customHeight="1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ht="15.75" customHeight="1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ht="15.75" customHeight="1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ht="15.75" customHeight="1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ht="15.75" customHeight="1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ht="15.75" customHeight="1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ht="15.75" customHeight="1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ht="15.75" customHeight="1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ht="15.75" customHeight="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ht="15.75" customHeight="1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ht="15.75" customHeight="1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ht="15.75" customHeight="1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ht="15.75" customHeight="1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ht="15.75" customHeight="1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ht="15.75" customHeight="1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ht="15.75" customHeight="1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ht="15.75" customHeight="1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ht="15.75" customHeight="1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ht="15.75" customHeight="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ht="15.75" customHeight="1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ht="15.75" customHeight="1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ht="15.75" customHeight="1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ht="15.75" customHeight="1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ht="15.75" customHeight="1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ht="15.75" customHeight="1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ht="15.75" customHeight="1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ht="15.75" customHeight="1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ht="15.75" customHeight="1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ht="15.75" customHeight="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ht="15.75" customHeight="1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ht="15.75" customHeight="1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ht="15.75" customHeight="1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ht="15.75" customHeight="1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ht="15.75" customHeight="1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ht="15.75" customHeight="1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ht="15.75" customHeight="1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ht="15.75" customHeight="1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ht="15.75" customHeight="1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ht="15.75" customHeight="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ht="15.75" customHeight="1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ht="15.75" customHeight="1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ht="15.75" customHeight="1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ht="15.75" customHeight="1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ht="15.75" customHeight="1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ht="15.75" customHeight="1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ht="15.75" customHeight="1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ht="15.75" customHeight="1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ht="15.75" customHeight="1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ht="15.75" customHeight="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ht="15.75" customHeight="1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ht="15.75" customHeight="1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ht="15.75" customHeight="1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ht="15.75" customHeight="1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ht="15.75" customHeight="1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ht="15.75" customHeight="1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ht="15.75" customHeight="1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ht="15.75" customHeight="1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ht="15.75" customHeight="1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ht="15.75" customHeight="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ht="15.75" customHeight="1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ht="15.75" customHeight="1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ht="15.75" customHeight="1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ht="15.75" customHeight="1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ht="15.75" customHeight="1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ht="15.75" customHeight="1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ht="15.75" customHeight="1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ht="15.75" customHeight="1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ht="15.75" customHeight="1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ht="15.75" customHeight="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ht="15.75" customHeight="1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ht="15.75" customHeight="1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ht="15.75" customHeight="1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ht="15.75" customHeight="1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ht="15.75" customHeight="1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ht="15.75" customHeight="1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ht="15.75" customHeight="1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ht="15.75" customHeight="1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ht="15.75" customHeight="1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ht="15.75" customHeight="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ht="15.75" customHeight="1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ht="15.75" customHeight="1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ht="15.75" customHeight="1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ht="15.75" customHeight="1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ht="15.75" customHeight="1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ht="15.75" customHeight="1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ht="15.75" customHeight="1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ht="15.75" customHeight="1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ht="15.75" customHeight="1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ht="15.75" customHeight="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ht="15.75" customHeight="1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ht="15.75" customHeight="1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ht="15.75" customHeight="1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ht="15.75" customHeight="1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ht="15.75" customHeight="1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ht="15.75" customHeight="1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ht="15.75" customHeight="1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ht="15.75" customHeight="1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ht="15.75" customHeight="1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ht="15.75" customHeight="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ht="15.75" customHeight="1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ht="15.75" customHeight="1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ht="15.75" customHeight="1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ht="15.75" customHeight="1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ht="15.75" customHeight="1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ht="15.75" customHeight="1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ht="15.75" customHeight="1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ht="15.75" customHeight="1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ht="15.75" customHeight="1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ht="15.75" customHeight="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ht="15.75" customHeight="1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ht="15.75" customHeight="1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ht="15.75" customHeight="1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ht="15.75" customHeight="1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ht="15.75" customHeight="1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ht="15.75" customHeight="1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ht="15.75" customHeight="1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ht="15.75" customHeight="1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ht="15.75" customHeight="1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ht="15.75" customHeight="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ht="15.75" customHeight="1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ht="15.75" customHeight="1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ht="15.75" customHeight="1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ht="15.75" customHeight="1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ht="15.75" customHeight="1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ht="15.75" customHeight="1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ht="15.75" customHeight="1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ht="15.75" customHeight="1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ht="15.75" customHeight="1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ht="15.75" customHeight="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ht="15.75" customHeight="1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ht="15.75" customHeight="1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ht="15.75" customHeight="1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ht="15.75" customHeight="1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ht="15.75" customHeight="1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ht="15.75" customHeight="1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ht="15.75" customHeight="1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ht="15.75" customHeight="1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ht="15.75" customHeight="1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ht="15.75" customHeight="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ht="15.75" customHeight="1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ht="15.75" customHeight="1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ht="15.75" customHeight="1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ht="15.75" customHeight="1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ht="15.75" customHeight="1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ht="15.75" customHeight="1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ht="15.75" customHeight="1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ht="15.75" customHeight="1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ht="15.75" customHeight="1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ht="15.75" customHeight="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ht="15.75" customHeight="1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ht="15.75" customHeight="1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ht="15.75" customHeight="1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ht="15.75" customHeight="1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ht="15.75" customHeight="1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ht="15.75" customHeight="1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ht="15.75" customHeight="1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ht="15.75" customHeight="1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ht="15.75" customHeight="1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ht="15.75" customHeight="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ht="15.75" customHeight="1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ht="15.75" customHeight="1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ht="15.75" customHeight="1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ht="15.75" customHeight="1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ht="15.75" customHeight="1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ht="15.75" customHeight="1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ht="15.75" customHeight="1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ht="15.75" customHeight="1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ht="15.75" customHeight="1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ht="15.75" customHeight="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ht="15.75" customHeight="1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ht="15.75" customHeight="1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ht="15.75" customHeight="1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ht="15.75" customHeight="1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ht="15.75" customHeight="1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ht="15.75" customHeight="1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ht="15.75" customHeight="1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ht="15.75" customHeight="1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ht="15.75" customHeight="1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ht="15.75" customHeight="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ht="15.75" customHeight="1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ht="15.75" customHeight="1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ht="15.75" customHeight="1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ht="15.75" customHeight="1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ht="15.75" customHeight="1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ht="15.75" customHeight="1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ht="15.75" customHeight="1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ht="15.75" customHeight="1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ht="15.75" customHeight="1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ht="15.75" customHeight="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ht="15.75" customHeight="1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ht="15.75" customHeight="1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ht="15.75" customHeight="1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ht="15.75" customHeight="1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ht="15.75" customHeight="1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ht="15.75" customHeight="1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ht="15.75" customHeight="1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ht="15.75" customHeight="1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ht="15.75" customHeight="1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ht="15.75" customHeight="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ht="15.75" customHeight="1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ht="15.75" customHeight="1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ht="15.75" customHeight="1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ht="15.75" customHeight="1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ht="15.75" customHeight="1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ht="15.75" customHeight="1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ht="15.75" customHeight="1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ht="15.75" customHeight="1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ht="15.75" customHeight="1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ht="15.75" customHeight="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ht="15.75" customHeight="1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ht="15.75" customHeight="1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ht="15.75" customHeight="1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ht="15.75" customHeight="1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ht="15.75" customHeight="1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ht="15.75" customHeight="1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ht="15.75" customHeight="1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ht="15.75" customHeight="1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ht="15.75" customHeight="1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ht="15.75" customHeight="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ht="15.75" customHeight="1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ht="15.75" customHeight="1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ht="15.75" customHeight="1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ht="15.75" customHeight="1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ht="15.75" customHeight="1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ht="15.75" customHeight="1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ht="15.75" customHeight="1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ht="15.75" customHeight="1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ht="15.75" customHeight="1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ht="15.75" customHeight="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ht="15.75" customHeight="1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ht="15.75" customHeight="1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ht="15.75" customHeight="1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ht="15.75" customHeight="1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ht="15.75" customHeight="1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ht="15.75" customHeight="1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ht="15.75" customHeight="1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ht="15.75" customHeight="1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ht="15.75" customHeight="1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ht="15.75" customHeight="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ht="15.75" customHeight="1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ht="15.75" customHeight="1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ht="15.75" customHeight="1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ht="15.75" customHeight="1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ht="15.75" customHeight="1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ht="15.75" customHeight="1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ht="15.75" customHeight="1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ht="15.75" customHeight="1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ht="15.75" customHeight="1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ht="15.75" customHeight="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ht="15.75" customHeight="1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ht="15.75" customHeight="1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ht="15.75" customHeight="1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ht="15.75" customHeight="1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ht="15.75" customHeight="1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ht="15.75" customHeight="1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ht="15.75" customHeight="1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ht="15.75" customHeight="1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ht="15.75" customHeight="1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ht="15.75" customHeight="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ht="15.75" customHeight="1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ht="15.75" customHeight="1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ht="15.75" customHeight="1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ht="15.75" customHeight="1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ht="15.75" customHeight="1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ht="15.75" customHeight="1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ht="15.75" customHeight="1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ht="15.75" customHeight="1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ht="15.75" customHeight="1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ht="15.75" customHeight="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ht="15.75" customHeight="1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ht="15.75" customHeight="1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ht="15.75" customHeight="1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ht="15.75" customHeight="1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ht="15.75" customHeight="1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ht="15.75" customHeight="1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ht="15.75" customHeight="1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ht="15.75" customHeight="1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ht="15.75" customHeight="1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ht="15.75" customHeight="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ht="15.75" customHeight="1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ht="15.75" customHeight="1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ht="15.75" customHeight="1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ht="15.75" customHeight="1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ht="15.75" customHeight="1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ht="15.75" customHeight="1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ht="15.75" customHeight="1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ht="15.75" customHeight="1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ht="15.75" customHeight="1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ht="15.75" customHeight="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ht="15.75" customHeight="1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ht="15.75" customHeight="1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ht="15.75" customHeight="1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ht="15.75" customHeight="1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ht="15.75" customHeight="1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ht="15.75" customHeight="1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ht="15.75" customHeight="1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ht="15.75" customHeight="1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ht="15.75" customHeight="1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ht="15.75" customHeight="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ht="15.75" customHeight="1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ht="15.75" customHeight="1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ht="15.75" customHeight="1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ht="15.75" customHeight="1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ht="15.75" customHeight="1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ht="15.75" customHeight="1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ht="15.75" customHeight="1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ht="15.75" customHeight="1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ht="15.75" customHeight="1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ht="15.75" customHeight="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ht="15.75" customHeight="1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ht="15.75" customHeight="1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ht="15.75" customHeight="1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ht="15.75" customHeight="1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ht="15.75" customHeight="1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ht="15.75" customHeight="1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ht="15.75" customHeight="1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ht="15.75" customHeight="1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ht="15.75" customHeight="1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ht="15.75" customHeight="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ht="15.75" customHeight="1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ht="15.75" customHeight="1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ht="15.75" customHeight="1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ht="15.75" customHeight="1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ht="15.75" customHeight="1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ht="15.75" customHeight="1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ht="15.75" customHeight="1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ht="15.75" customHeight="1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ht="15.75" customHeight="1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ht="15.75" customHeight="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ht="15.75" customHeight="1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ht="15.75" customHeight="1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ht="15.75" customHeight="1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ht="15.75" customHeight="1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ht="15.75" customHeight="1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ht="15.75" customHeight="1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ht="15.75" customHeight="1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ht="15.75" customHeight="1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ht="15.75" customHeight="1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ht="15.75" customHeight="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ht="15.75" customHeight="1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ht="15.75" customHeight="1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ht="15.75" customHeight="1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ht="15.75" customHeight="1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ht="15.75" customHeight="1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ht="15.75" customHeight="1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ht="15.75" customHeight="1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ht="15.75" customHeight="1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ht="15.75" customHeight="1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ht="15.75" customHeight="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ht="15.75" customHeight="1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ht="15.75" customHeight="1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ht="15.75" customHeight="1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ht="15.75" customHeight="1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ht="15.75" customHeight="1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ht="15.75" customHeight="1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ht="15.75" customHeight="1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ht="15.75" customHeight="1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ht="15.75" customHeight="1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ht="15.75" customHeight="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ht="15.75" customHeight="1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ht="15.75" customHeight="1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ht="15.75" customHeight="1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ht="15.75" customHeight="1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ht="15.75" customHeight="1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ht="15.75" customHeight="1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ht="15.75" customHeight="1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ht="15.75" customHeight="1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ht="15.75" customHeight="1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ht="15.75" customHeight="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ht="15.75" customHeight="1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ht="15.75" customHeight="1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ht="15.75" customHeight="1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ht="15.75" customHeight="1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ht="15.75" customHeight="1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ht="15.75" customHeight="1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ht="15.75" customHeight="1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ht="15.75" customHeight="1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ht="15.75" customHeight="1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ht="15.75" customHeight="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ht="15.75" customHeight="1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ht="15.75" customHeight="1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ht="15.75" customHeight="1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ht="15.75" customHeight="1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ht="15.75" customHeight="1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ht="15.75" customHeight="1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ht="15.75" customHeight="1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ht="15.75" customHeight="1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ht="15.75" customHeight="1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ht="15.75" customHeight="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ht="15.75" customHeight="1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ht="15.75" customHeight="1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ht="15.75" customHeight="1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ht="15.75" customHeight="1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ht="15.75" customHeight="1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ht="15.75" customHeight="1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ht="15.75" customHeight="1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ht="15.75" customHeight="1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ht="15.75" customHeight="1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ht="15.75" customHeight="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ht="15.75" customHeight="1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ht="15.75" customHeight="1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ht="15.75" customHeight="1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ht="15.75" customHeight="1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ht="15.75" customHeight="1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ht="15.75" customHeight="1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ht="15.75" customHeight="1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ht="15.75" customHeight="1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ht="15.75" customHeight="1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ht="15.75" customHeight="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ht="15.75" customHeight="1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ht="15.75" customHeight="1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ht="15.75" customHeight="1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ht="15.75" customHeight="1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ht="15.75" customHeight="1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ht="15.75" customHeight="1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ht="15.75" customHeight="1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ht="15.75" customHeight="1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ht="15.75" customHeight="1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ht="15.75" customHeight="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ht="15.75" customHeight="1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ht="15.75" customHeight="1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ht="15.75" customHeight="1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ht="15.75" customHeight="1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ht="15.75" customHeight="1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ht="15.75" customHeight="1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ht="15.75" customHeight="1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ht="15.75" customHeight="1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ht="15.75" customHeight="1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ht="15.75" customHeight="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ht="15.75" customHeight="1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ht="15.75" customHeight="1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ht="15.75" customHeight="1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ht="15.75" customHeight="1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ht="15.75" customHeight="1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ht="15.75" customHeight="1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ht="15.75" customHeight="1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ht="15.75" customHeight="1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ht="15.75" customHeight="1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ht="15.75" customHeight="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ht="15.75" customHeight="1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ht="15.75" customHeight="1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ht="15.75" customHeight="1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ht="15.75" customHeight="1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ht="15.75" customHeight="1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ht="15.75" customHeight="1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ht="15.75" customHeight="1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ht="15.75" customHeight="1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ht="15.75" customHeight="1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ht="15.75" customHeight="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ht="15.75" customHeight="1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ht="15.75" customHeight="1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ht="15.75" customHeight="1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ht="15.75" customHeight="1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ht="15.75" customHeight="1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ht="15.75" customHeight="1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ht="15.75" customHeight="1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ht="15.75" customHeight="1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ht="15.75" customHeight="1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ht="15.75" customHeight="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ht="15.75" customHeight="1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ht="15.75" customHeight="1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ht="15.75" customHeight="1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ht="15.75" customHeight="1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ht="15.75" customHeight="1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ht="15.75" customHeight="1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ht="15.75" customHeight="1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ht="15.75" customHeight="1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ht="15.75" customHeight="1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ht="15.75" customHeight="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ht="15.75" customHeight="1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ht="15.75" customHeight="1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ht="15.75" customHeight="1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ht="15.75" customHeight="1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ht="15.75" customHeight="1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ht="15.75" customHeight="1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ht="15.75" customHeight="1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ht="15.75" customHeight="1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ht="15.75" customHeight="1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ht="15.75" customHeight="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ht="15.75" customHeight="1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ht="15.75" customHeight="1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ht="15.75" customHeight="1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ht="15.75" customHeight="1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ht="15.75" customHeight="1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ht="15.75" customHeight="1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ht="15.75" customHeight="1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ht="15.75" customHeight="1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ht="15.75" customHeight="1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ht="15.75" customHeight="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ht="15.75" customHeight="1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ht="15.75" customHeight="1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ht="15.75" customHeight="1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ht="15.75" customHeight="1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ht="15.75" customHeight="1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ht="15.75" customHeight="1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ht="15.75" customHeight="1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ht="15.75" customHeight="1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ht="15.75" customHeight="1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ht="15.75" customHeight="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ht="15.75" customHeight="1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ht="15.75" customHeight="1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ht="15.75" customHeight="1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ht="15.75" customHeight="1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ht="15.75" customHeight="1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ht="15.75" customHeight="1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ht="15.75" customHeight="1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ht="15.75" customHeight="1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ht="15.75" customHeight="1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ht="15.75" customHeight="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ht="15.75" customHeight="1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ht="15.75" customHeight="1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ht="15.75" customHeight="1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ht="15.75" customHeight="1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ht="15.75" customHeight="1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ht="15.75" customHeight="1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ht="15.75" customHeight="1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ht="15.75" customHeight="1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ht="15.75" customHeight="1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ht="15.75" customHeight="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ht="15.75" customHeight="1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ht="15.75" customHeight="1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ht="15.75" customHeight="1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ht="15.75" customHeight="1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ht="15.75" customHeight="1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ht="15.75" customHeight="1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ht="15.75" customHeight="1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ht="15.75" customHeight="1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ht="15.75" customHeight="1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ht="15.75" customHeight="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ht="15.75" customHeight="1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ht="15.75" customHeight="1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ht="15.75" customHeight="1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ht="15.75" customHeight="1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ht="15.75" customHeight="1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ht="15.75" customHeight="1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ht="15.75" customHeight="1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ht="15.75" customHeight="1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ht="15.75" customHeight="1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ht="15.75" customHeight="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ht="15.75" customHeight="1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ht="15.75" customHeight="1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ht="15.75" customHeight="1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ht="15.75" customHeight="1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ht="15.75" customHeight="1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ht="15.75" customHeight="1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ht="15.75" customHeight="1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ht="15.75" customHeight="1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ht="15.75" customHeight="1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ht="15.75" customHeight="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ht="15.75" customHeight="1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ht="15.75" customHeight="1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ht="15.75" customHeight="1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ht="15.75" customHeight="1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ht="15.75" customHeight="1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ht="15.75" customHeight="1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ht="15.75" customHeight="1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ht="15.75" customHeight="1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ht="15.75" customHeight="1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ht="15.75" customHeight="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ht="15.75" customHeight="1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ht="15.75" customHeight="1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ht="15.75" customHeight="1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ht="15.75" customHeight="1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ht="15.75" customHeight="1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ht="15.75" customHeight="1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ht="15.75" customHeight="1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ht="15.75" customHeight="1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ht="15.75" customHeight="1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ht="15.75" customHeight="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ht="15.75" customHeight="1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ht="15.75" customHeight="1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ht="15.75" customHeight="1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ht="15.75" customHeight="1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ht="15.75" customHeight="1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ht="15.75" customHeight="1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ht="15.75" customHeight="1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ht="15.75" customHeight="1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ht="15.75" customHeight="1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ht="15.75" customHeight="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ht="15.75" customHeight="1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ht="15.75" customHeight="1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ht="15.75" customHeight="1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ht="15.75" customHeight="1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ht="15.75" customHeight="1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ht="15.75" customHeight="1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ht="15.75" customHeight="1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ht="15.75" customHeight="1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ht="15.75" customHeight="1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ht="15.75" customHeight="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ht="15.75" customHeight="1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ht="15.75" customHeight="1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ht="15.75" customHeight="1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ht="15.75" customHeight="1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ht="15.75" customHeight="1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ht="15.75" customHeight="1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ht="15.75" customHeight="1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ht="15.75" customHeight="1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ht="15.75" customHeight="1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ht="15.75" customHeight="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ht="15.75" customHeight="1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ht="15.75" customHeight="1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ht="15.75" customHeight="1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ht="15.75" customHeight="1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ht="15.75" customHeight="1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ht="15.75" customHeight="1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ht="15.75" customHeight="1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ht="15.75" customHeight="1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ht="15.75" customHeight="1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ht="15.75" customHeight="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ht="15.75" customHeight="1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ht="15.75" customHeight="1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ht="15.75" customHeight="1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ht="15.75" customHeight="1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ht="15.75" customHeight="1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ht="15.75" customHeight="1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ht="15.75" customHeight="1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ht="15.75" customHeight="1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ht="15.75" customHeight="1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ht="15.75" customHeight="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ht="15.75" customHeight="1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ht="15.75" customHeight="1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ht="15.75" customHeight="1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ht="15.75" customHeight="1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ht="15.75" customHeight="1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ht="15.75" customHeight="1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ht="15.75" customHeight="1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ht="15.75" customHeight="1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ht="15.75" customHeight="1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ht="15.75" customHeight="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ht="15.75" customHeight="1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ht="15.75" customHeight="1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ht="15.75" customHeight="1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ht="15.75" customHeight="1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ht="15.75" customHeight="1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ht="15.75" customHeight="1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ht="15.75" customHeight="1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ht="15.75" customHeight="1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ht="15.75" customHeight="1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ht="15.75" customHeight="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ht="15.75" customHeight="1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ht="15.75" customHeight="1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ht="15.75" customHeight="1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ht="15.75" customHeight="1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ht="15.75" customHeight="1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ht="15.75" customHeight="1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ht="15.75" customHeight="1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ht="15.75" customHeight="1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ht="15.75" customHeight="1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ht="15.75" customHeight="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ht="15.75" customHeight="1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ht="15.75" customHeight="1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ht="15.75" customHeight="1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ht="15.75" customHeight="1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ht="15.75" customHeight="1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ht="15.75" customHeight="1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ht="15.75" customHeight="1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ht="15.75" customHeight="1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ht="15.75" customHeight="1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ht="15.75" customHeight="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ht="15.75" customHeight="1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ht="15.75" customHeight="1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ht="15.75" customHeight="1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ht="15.75" customHeight="1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ht="15.75" customHeight="1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ht="15.75" customHeight="1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ht="15.75" customHeight="1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ht="15.75" customHeight="1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ht="15.75" customHeight="1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ht="15.75" customHeight="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ht="15.75" customHeight="1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ht="15.75" customHeight="1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ht="15.75" customHeight="1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ht="15.75" customHeight="1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ht="15.75" customHeight="1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ht="15.75" customHeight="1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ht="15.75" customHeight="1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ht="15.75" customHeight="1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ht="15.75" customHeight="1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ht="15.75" customHeight="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ht="15.75" customHeight="1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ht="15.75" customHeight="1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ht="15.75" customHeight="1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ht="15.75" customHeight="1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ht="15.75" customHeight="1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ht="15.75" customHeight="1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ht="15.75" customHeight="1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ht="15.75" customHeight="1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ht="15.75" customHeight="1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ht="15.75" customHeight="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ht="15.75" customHeight="1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ht="15.75" customHeight="1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ht="15.75" customHeight="1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ht="15.75" customHeight="1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ht="15.75" customHeight="1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ht="15.75" customHeight="1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ht="15.75" customHeight="1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ht="15.75" customHeight="1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ht="15.75" customHeight="1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ht="15.75" customHeight="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ht="15.75" customHeight="1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ht="15.75" customHeight="1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ht="15.75" customHeight="1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ht="15.75" customHeight="1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ht="15.75" customHeight="1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ht="15.75" customHeight="1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ht="15.75" customHeight="1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ht="15.75" customHeight="1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ht="15.75" customHeight="1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ht="15.75" customHeight="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ht="15.75" customHeight="1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ht="15.75" customHeight="1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ht="15.75" customHeight="1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ht="15.75" customHeight="1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ht="15.75" customHeight="1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ht="15.75" customHeight="1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ht="15.75" customHeight="1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ht="15.75" customHeight="1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ht="15.75" customHeight="1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ht="15.75" customHeight="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ht="15.75" customHeight="1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ht="15.75" customHeight="1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ht="15.75" customHeight="1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ht="15.75" customHeight="1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ht="15.75" customHeight="1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ht="15.75" customHeight="1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ht="15.75" customHeight="1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ht="15.75" customHeight="1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ht="15.75" customHeight="1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ht="15.75" customHeight="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ht="15.75" customHeight="1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ht="15.75" customHeight="1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ht="15.75" customHeight="1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ht="15.75" customHeight="1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ht="15.75" customHeight="1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ht="15.75" customHeight="1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ht="15.75" customHeight="1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ht="15.75" customHeight="1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ht="15.75" customHeight="1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ht="15.75" customHeight="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ht="15.75" customHeight="1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ht="15.75" customHeight="1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ht="15.75" customHeight="1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ht="15.75" customHeight="1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ht="15.75" customHeight="1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ht="15.75" customHeight="1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ht="15.75" customHeight="1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ht="15.75" customHeight="1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ht="15.75" customHeight="1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ht="15.75" customHeight="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ht="15.75" customHeight="1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ht="15.75" customHeight="1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ht="15.75" customHeight="1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ht="15.75" customHeight="1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ht="15.75" customHeight="1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ht="15.75" customHeight="1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ht="15.75" customHeight="1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ht="15.75" customHeight="1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ht="15.75" customHeight="1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ht="15.75" customHeight="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ht="15.75" customHeight="1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ht="15.75" customHeight="1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ht="15.75" customHeight="1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ht="15.75" customHeight="1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ht="15.75" customHeight="1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ht="15.75" customHeight="1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ht="15.75" customHeight="1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ht="15.75" customHeight="1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ht="15.75" customHeight="1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ht="15.75" customHeight="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ht="15.75" customHeight="1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ht="15.75" customHeight="1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ht="15.75" customHeight="1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ht="15.75" customHeight="1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ht="15.75" customHeight="1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ht="15.75" customHeight="1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ht="15.75" customHeight="1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ht="15.75" customHeight="1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ht="15.75" customHeight="1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ht="15.75" customHeight="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ht="15.75" customHeight="1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ht="15.75" customHeight="1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ht="15.75" customHeight="1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ht="15.75" customHeight="1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ht="15.75" customHeight="1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ht="15.75" customHeight="1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ht="15.75" customHeight="1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ht="15.75" customHeight="1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ht="15.75" customHeight="1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ht="15.75" customHeight="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ht="15.75" customHeight="1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ht="15.75" customHeight="1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ht="15.75" customHeight="1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ht="15.75" customHeight="1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ht="15.75" customHeight="1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ht="15.75" customHeight="1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ht="15.75" customHeight="1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ht="15.75" customHeight="1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ht="15.75" customHeight="1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mergeCells count="3">
    <mergeCell ref="A1:H1"/>
    <mergeCell ref="A16:H16"/>
    <mergeCell ref="A17:H17"/>
  </mergeCell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9.25"/>
    <col customWidth="1" min="3" max="8" width="7.63"/>
    <col customWidth="1" min="9" max="9" width="13.13"/>
    <col customWidth="1" min="10" max="10" width="12.75"/>
    <col customWidth="1" min="11" max="26" width="7.63"/>
  </cols>
  <sheetData>
    <row r="1" hidden="1"/>
    <row r="2" hidden="1">
      <c r="A2" s="82"/>
      <c r="B2" s="83" t="s">
        <v>37</v>
      </c>
      <c r="C2" s="83">
        <v>21.0</v>
      </c>
      <c r="D2" s="83">
        <v>22.0</v>
      </c>
      <c r="E2" s="83">
        <v>23.0</v>
      </c>
      <c r="F2" s="83">
        <v>24.0</v>
      </c>
      <c r="G2" s="83">
        <v>25.0</v>
      </c>
      <c r="H2" s="82"/>
      <c r="I2" s="82"/>
      <c r="J2" s="82"/>
      <c r="K2" s="82"/>
      <c r="L2" s="82"/>
      <c r="O2" s="38">
        <v>45.0</v>
      </c>
    </row>
    <row r="3" hidden="1">
      <c r="A3" s="82"/>
      <c r="B3" s="83" t="s">
        <v>12</v>
      </c>
      <c r="C3" s="82">
        <v>47.0</v>
      </c>
      <c r="D3" s="82">
        <v>49.0</v>
      </c>
      <c r="E3" s="82">
        <v>47.0</v>
      </c>
      <c r="F3" s="82">
        <v>47.0</v>
      </c>
      <c r="G3" s="82">
        <v>47.0</v>
      </c>
      <c r="H3" s="82"/>
      <c r="I3" s="82"/>
      <c r="J3" s="82"/>
      <c r="K3" s="82"/>
      <c r="L3" s="82"/>
      <c r="O3" s="84">
        <v>47.333</v>
      </c>
    </row>
    <row r="4" hidden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O4" s="84">
        <v>41.667</v>
      </c>
    </row>
    <row r="5" hidden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O5" s="84">
        <v>43.0</v>
      </c>
    </row>
    <row r="6" hidden="1">
      <c r="A6" s="82"/>
      <c r="B6" s="83" t="s">
        <v>114</v>
      </c>
      <c r="C6" s="82"/>
      <c r="D6" s="82"/>
      <c r="E6" s="82" t="s">
        <v>115</v>
      </c>
      <c r="F6" s="82"/>
      <c r="G6" s="82"/>
      <c r="H6" s="82" t="s">
        <v>116</v>
      </c>
      <c r="I6" s="82"/>
      <c r="J6" s="82"/>
      <c r="K6" s="82"/>
      <c r="L6" s="82"/>
      <c r="O6" s="84">
        <v>43.0</v>
      </c>
    </row>
    <row r="7" hidden="1">
      <c r="A7" s="82"/>
      <c r="B7" s="83" t="s">
        <v>57</v>
      </c>
      <c r="C7" s="82"/>
      <c r="D7" s="82"/>
      <c r="E7" s="82">
        <v>0.0</v>
      </c>
      <c r="F7" s="82" t="s">
        <v>117</v>
      </c>
      <c r="G7" s="82"/>
      <c r="H7" s="82"/>
      <c r="I7" s="82"/>
      <c r="J7" s="82"/>
      <c r="K7" s="82"/>
      <c r="L7" s="82"/>
    </row>
    <row r="8" hidden="1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</row>
    <row r="9" hidden="1">
      <c r="A9" s="82"/>
      <c r="B9" s="83" t="s">
        <v>118</v>
      </c>
      <c r="C9" s="82"/>
      <c r="D9" s="82"/>
      <c r="E9" s="82">
        <v>200.0</v>
      </c>
      <c r="F9" s="82" t="s">
        <v>119</v>
      </c>
      <c r="G9" s="82"/>
      <c r="H9" s="82"/>
      <c r="I9" s="82"/>
      <c r="J9" s="82"/>
      <c r="K9" s="82"/>
      <c r="L9" s="82"/>
    </row>
    <row r="10" hidden="1">
      <c r="A10" s="82"/>
      <c r="B10" s="83" t="s">
        <v>120</v>
      </c>
      <c r="C10" s="82"/>
      <c r="D10" s="82"/>
      <c r="E10" s="82">
        <v>18.5</v>
      </c>
      <c r="F10" s="82" t="s">
        <v>121</v>
      </c>
      <c r="G10" s="82"/>
      <c r="H10" s="82" t="s">
        <v>122</v>
      </c>
      <c r="I10" s="82"/>
      <c r="J10" s="82"/>
      <c r="K10" s="82"/>
      <c r="L10" s="82"/>
    </row>
    <row r="11" hidden="1">
      <c r="A11" s="82"/>
      <c r="B11" s="83" t="s">
        <v>123</v>
      </c>
      <c r="C11" s="82"/>
      <c r="D11" s="82"/>
      <c r="E11" s="82">
        <v>75.0</v>
      </c>
      <c r="F11" s="82" t="s">
        <v>121</v>
      </c>
      <c r="G11" s="82"/>
      <c r="H11" s="82"/>
      <c r="I11" s="82"/>
      <c r="J11" s="82"/>
      <c r="K11" s="82"/>
      <c r="L11" s="82"/>
    </row>
    <row r="12" hidden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hidden="1">
      <c r="A13" s="82"/>
      <c r="B13" s="83" t="s">
        <v>124</v>
      </c>
      <c r="C13" s="82"/>
      <c r="D13" s="82"/>
      <c r="E13" s="82">
        <v>2.0</v>
      </c>
      <c r="F13" s="82" t="s">
        <v>125</v>
      </c>
      <c r="G13" s="82"/>
      <c r="H13" s="82"/>
      <c r="I13" s="82"/>
      <c r="J13" s="82"/>
      <c r="K13" s="82"/>
      <c r="L13" s="82"/>
    </row>
    <row r="14" hidden="1">
      <c r="A14" s="82"/>
      <c r="B14" s="83" t="s">
        <v>126</v>
      </c>
      <c r="C14" s="82"/>
      <c r="D14" s="82"/>
      <c r="E14" s="82">
        <v>12000.0</v>
      </c>
      <c r="F14" s="82" t="s">
        <v>127</v>
      </c>
      <c r="G14" s="82"/>
      <c r="H14" s="82"/>
      <c r="I14" s="82"/>
      <c r="J14" s="82"/>
      <c r="K14" s="82"/>
      <c r="L14" s="82"/>
    </row>
    <row r="15" hidden="1">
      <c r="A15" s="82"/>
      <c r="B15" s="83" t="s">
        <v>128</v>
      </c>
      <c r="C15" s="82"/>
      <c r="D15" s="82"/>
      <c r="E15" s="82">
        <v>25000.0</v>
      </c>
      <c r="F15" s="82" t="s">
        <v>127</v>
      </c>
      <c r="G15" s="82"/>
      <c r="H15" s="82"/>
      <c r="I15" s="82"/>
      <c r="J15" s="82"/>
      <c r="K15" s="82"/>
      <c r="L15" s="82"/>
    </row>
    <row r="16" hidden="1">
      <c r="A16" s="82"/>
      <c r="B16" s="83" t="s">
        <v>129</v>
      </c>
      <c r="C16" s="82"/>
      <c r="D16" s="82"/>
      <c r="E16" s="82">
        <v>10.0</v>
      </c>
      <c r="F16" s="82" t="s">
        <v>130</v>
      </c>
      <c r="G16" s="82"/>
      <c r="H16" s="82"/>
      <c r="I16" s="82"/>
      <c r="J16" s="82"/>
      <c r="K16" s="82"/>
      <c r="L16" s="82"/>
    </row>
    <row r="17" hidden="1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hidden="1">
      <c r="A18" s="82" t="s">
        <v>131</v>
      </c>
      <c r="B18" s="82">
        <v>480.0</v>
      </c>
      <c r="C18" s="82" t="s">
        <v>132</v>
      </c>
      <c r="D18" s="82"/>
      <c r="E18" s="82"/>
      <c r="F18" s="82"/>
      <c r="G18" s="82"/>
      <c r="H18" s="82" t="s">
        <v>133</v>
      </c>
      <c r="I18" s="82"/>
      <c r="J18" s="82"/>
      <c r="K18" s="82">
        <f>B18*B19</f>
        <v>2400</v>
      </c>
      <c r="L18" s="82"/>
    </row>
    <row r="19" hidden="1">
      <c r="A19" s="82"/>
      <c r="B19" s="82">
        <v>5.0</v>
      </c>
      <c r="C19" s="82" t="s">
        <v>134</v>
      </c>
      <c r="D19" s="82"/>
      <c r="E19" s="82"/>
      <c r="F19" s="82"/>
      <c r="G19" s="82"/>
      <c r="H19" s="82"/>
      <c r="I19" s="82"/>
      <c r="J19" s="82"/>
      <c r="K19" s="82"/>
      <c r="L19" s="82"/>
    </row>
    <row r="20" hidden="1">
      <c r="A20" s="82"/>
      <c r="B20" s="82">
        <v>52.0</v>
      </c>
      <c r="C20" s="82" t="s">
        <v>135</v>
      </c>
      <c r="D20" s="82"/>
      <c r="E20" s="82"/>
      <c r="F20" s="82"/>
      <c r="G20" s="82"/>
      <c r="H20" s="82"/>
      <c r="I20" s="82"/>
      <c r="J20" s="82"/>
      <c r="K20" s="82"/>
      <c r="L20" s="82"/>
    </row>
    <row r="21" ht="15.75" hidden="1" customHeight="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ht="15.75" hidden="1" customHeight="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ht="15.75" hidden="1" customHeight="1">
      <c r="A23" s="82"/>
      <c r="B23" s="82" t="s">
        <v>136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ht="15.75" hidden="1" customHeight="1">
      <c r="A24" s="82"/>
      <c r="B24" s="82" t="s">
        <v>137</v>
      </c>
      <c r="C24" s="82"/>
      <c r="D24" s="82"/>
      <c r="E24" s="82"/>
      <c r="F24" s="82"/>
      <c r="G24" s="82"/>
      <c r="H24" s="82">
        <f>2400/30</f>
        <v>80</v>
      </c>
      <c r="I24" s="82" t="s">
        <v>138</v>
      </c>
      <c r="J24" s="82"/>
      <c r="K24" s="82"/>
      <c r="L24" s="82"/>
    </row>
    <row r="25" ht="15.75" hidden="1" customHeight="1">
      <c r="A25" s="82"/>
      <c r="B25" s="82" t="s">
        <v>139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ht="15.75" hidden="1" customHeight="1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ht="15.75" hidden="1" customHeight="1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ht="15.75" hidden="1" customHeight="1">
      <c r="A28" s="83" t="s">
        <v>54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ht="15.75" hidden="1" customHeight="1">
      <c r="A29" s="82"/>
      <c r="B29" s="82"/>
      <c r="C29" s="82" t="s">
        <v>140</v>
      </c>
      <c r="D29" s="82"/>
      <c r="E29" s="82"/>
      <c r="F29" s="82"/>
      <c r="G29" s="82"/>
      <c r="H29" s="82"/>
      <c r="I29" s="82"/>
      <c r="J29" s="82"/>
      <c r="K29" s="82"/>
      <c r="L29" s="82"/>
    </row>
    <row r="30" ht="15.75" hidden="1" customHeight="1">
      <c r="A30" s="82"/>
      <c r="B30" s="82"/>
      <c r="C30" s="82" t="s">
        <v>141</v>
      </c>
      <c r="D30" s="82"/>
      <c r="E30" s="82"/>
      <c r="F30" s="82"/>
      <c r="G30" s="82"/>
      <c r="H30" s="82"/>
      <c r="I30" s="82"/>
      <c r="J30" s="82"/>
      <c r="K30" s="82"/>
      <c r="L30" s="82"/>
    </row>
    <row r="31" ht="15.75" hidden="1" customHeight="1">
      <c r="A31" s="82"/>
      <c r="B31" s="82"/>
      <c r="C31" s="82" t="s">
        <v>142</v>
      </c>
      <c r="D31" s="82"/>
      <c r="E31" s="82"/>
      <c r="F31" s="82"/>
      <c r="G31" s="82"/>
      <c r="H31" s="82"/>
      <c r="I31" s="82"/>
      <c r="J31" s="82"/>
      <c r="K31" s="82"/>
      <c r="L31" s="82"/>
    </row>
    <row r="32" ht="15.75" hidden="1" customHeight="1">
      <c r="A32" s="82"/>
      <c r="B32" s="83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ht="15.75" hidden="1" customHeight="1">
      <c r="A33" s="82"/>
      <c r="B33" s="83"/>
      <c r="C33" s="82" t="s">
        <v>143</v>
      </c>
      <c r="D33" s="82"/>
      <c r="E33" s="82"/>
      <c r="F33" s="82"/>
      <c r="G33" s="82">
        <f>SUM(C3:G3)</f>
        <v>237</v>
      </c>
      <c r="H33" s="82" t="s">
        <v>117</v>
      </c>
      <c r="I33" s="82"/>
      <c r="J33" s="82"/>
      <c r="K33" s="82"/>
      <c r="L33" s="82"/>
    </row>
    <row r="34" ht="15.75" hidden="1" customHeight="1">
      <c r="A34" s="82"/>
      <c r="B34" s="82"/>
      <c r="C34" s="82" t="s">
        <v>144</v>
      </c>
      <c r="D34" s="82"/>
      <c r="E34" s="82"/>
      <c r="F34" s="82"/>
      <c r="G34" s="82">
        <f>E7</f>
        <v>0</v>
      </c>
      <c r="H34" s="82" t="s">
        <v>117</v>
      </c>
      <c r="I34" s="82"/>
      <c r="J34" s="82"/>
      <c r="K34" s="82"/>
      <c r="L34" s="82"/>
    </row>
    <row r="35" ht="15.75" hidden="1" customHeight="1">
      <c r="A35" s="82"/>
      <c r="B35" s="82"/>
      <c r="C35" s="82" t="s">
        <v>145</v>
      </c>
      <c r="D35" s="82"/>
      <c r="E35" s="82"/>
      <c r="F35" s="82"/>
      <c r="G35" s="82">
        <f>G33-G34</f>
        <v>237</v>
      </c>
      <c r="H35" s="82" t="s">
        <v>117</v>
      </c>
      <c r="I35" s="82"/>
      <c r="J35" s="82"/>
      <c r="K35" s="82"/>
      <c r="L35" s="82"/>
    </row>
    <row r="36" ht="15.75" hidden="1" customHeight="1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ht="15.75" hidden="1" customHeight="1">
      <c r="A37" s="82"/>
      <c r="B37" s="82"/>
      <c r="C37" s="82" t="s">
        <v>146</v>
      </c>
      <c r="D37" s="82"/>
      <c r="E37" s="82"/>
      <c r="F37" s="82"/>
      <c r="G37" s="82">
        <f>G35/5</f>
        <v>47.4</v>
      </c>
      <c r="H37" s="82" t="s">
        <v>147</v>
      </c>
      <c r="I37" s="82"/>
      <c r="J37" s="82"/>
      <c r="K37" s="82"/>
      <c r="L37" s="82"/>
    </row>
    <row r="38" ht="15.75" hidden="1" customHeight="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ht="15.75" hidden="1" customHeight="1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ht="15.75" hidden="1" customHeight="1">
      <c r="A40" s="82"/>
      <c r="B40" s="82"/>
      <c r="C40" s="82" t="s">
        <v>148</v>
      </c>
      <c r="D40" s="82"/>
      <c r="E40" s="82"/>
      <c r="F40" s="82"/>
      <c r="G40" s="82">
        <f>G37/30</f>
        <v>1.58</v>
      </c>
      <c r="H40" s="82"/>
      <c r="I40" s="82"/>
      <c r="J40" s="82"/>
      <c r="K40" s="82"/>
      <c r="L40" s="82"/>
    </row>
    <row r="41" ht="15.75" hidden="1" customHeight="1">
      <c r="A41" s="82"/>
      <c r="B41" s="82"/>
      <c r="C41" s="82" t="s">
        <v>149</v>
      </c>
      <c r="D41" s="82"/>
      <c r="E41" s="82"/>
      <c r="F41" s="82"/>
      <c r="G41" s="82">
        <f>ROUNDUP(G40,0)</f>
        <v>2</v>
      </c>
      <c r="H41" s="82"/>
      <c r="I41" s="82"/>
      <c r="J41" s="82"/>
      <c r="K41" s="82"/>
      <c r="L41" s="82"/>
    </row>
    <row r="42" ht="15.75" hidden="1" customHeight="1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ht="15.75" hidden="1" customHeight="1">
      <c r="A43" s="82"/>
      <c r="B43" s="82"/>
      <c r="C43" s="82" t="s">
        <v>150</v>
      </c>
      <c r="D43" s="82"/>
      <c r="E43" s="82"/>
      <c r="F43" s="82"/>
      <c r="G43" s="82">
        <f>G41*30</f>
        <v>60</v>
      </c>
      <c r="H43" s="82" t="s">
        <v>151</v>
      </c>
      <c r="I43" s="82"/>
      <c r="J43" s="82"/>
      <c r="K43" s="82"/>
      <c r="L43" s="82"/>
    </row>
    <row r="44" ht="15.75" hidden="1" customHeight="1">
      <c r="A44" s="82"/>
      <c r="B44" s="82"/>
      <c r="C44" s="82" t="s">
        <v>152</v>
      </c>
      <c r="D44" s="82"/>
      <c r="E44" s="82"/>
      <c r="F44" s="82"/>
      <c r="G44" s="82">
        <f>G37</f>
        <v>47.4</v>
      </c>
      <c r="H44" s="82" t="s">
        <v>151</v>
      </c>
      <c r="I44" s="82"/>
      <c r="J44" s="82"/>
      <c r="K44" s="82"/>
      <c r="L44" s="82"/>
    </row>
    <row r="45" ht="15.75" hidden="1" customHeight="1">
      <c r="A45" s="82"/>
      <c r="B45" s="82"/>
      <c r="C45" s="82" t="s">
        <v>153</v>
      </c>
      <c r="D45" s="82"/>
      <c r="E45" s="82"/>
      <c r="F45" s="82"/>
      <c r="G45" s="82">
        <f>(G43-G44)*H24</f>
        <v>1008</v>
      </c>
      <c r="H45" s="82" t="s">
        <v>138</v>
      </c>
      <c r="I45" s="82" t="s">
        <v>154</v>
      </c>
      <c r="J45" s="82"/>
      <c r="K45" s="82"/>
      <c r="L45" s="82"/>
    </row>
    <row r="46" ht="15.7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ht="15.75" customHeight="1">
      <c r="A47" s="85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ht="15.75" customHeight="1">
      <c r="A48" s="82"/>
      <c r="B48" s="61" t="s">
        <v>54</v>
      </c>
      <c r="C48" s="62"/>
      <c r="D48" s="62"/>
      <c r="E48" s="62"/>
      <c r="F48" s="62"/>
      <c r="G48" s="62"/>
      <c r="H48" s="62"/>
      <c r="I48" s="62"/>
      <c r="J48" s="63"/>
      <c r="K48" s="86"/>
      <c r="L48" s="86"/>
    </row>
    <row r="49" ht="15.75" customHeight="1">
      <c r="A49" s="82"/>
      <c r="B49" s="35" t="s">
        <v>37</v>
      </c>
      <c r="C49" s="35">
        <v>21.0</v>
      </c>
      <c r="D49" s="35">
        <v>22.0</v>
      </c>
      <c r="E49" s="35">
        <v>23.0</v>
      </c>
      <c r="F49" s="35">
        <v>24.0</v>
      </c>
      <c r="G49" s="35">
        <v>25.0</v>
      </c>
      <c r="H49" s="35" t="s">
        <v>55</v>
      </c>
      <c r="I49" s="35" t="s">
        <v>155</v>
      </c>
      <c r="J49" s="35" t="s">
        <v>156</v>
      </c>
      <c r="K49" s="86"/>
      <c r="L49" s="86"/>
    </row>
    <row r="50" ht="15.75" customHeight="1">
      <c r="A50" s="82"/>
      <c r="B50" s="36" t="s">
        <v>57</v>
      </c>
      <c r="C50" s="36">
        <v>0.0</v>
      </c>
      <c r="D50" s="36">
        <f t="shared" ref="D50:G50" si="1">C59</f>
        <v>0</v>
      </c>
      <c r="E50" s="36">
        <f t="shared" si="1"/>
        <v>0</v>
      </c>
      <c r="F50" s="36">
        <f t="shared" si="1"/>
        <v>0</v>
      </c>
      <c r="G50" s="36">
        <f t="shared" si="1"/>
        <v>0</v>
      </c>
      <c r="H50" s="36">
        <f t="shared" ref="H50:H51" si="3">SUM(C50:G50)</f>
        <v>0</v>
      </c>
      <c r="I50" s="36"/>
      <c r="J50" s="36"/>
      <c r="K50" s="86"/>
      <c r="L50" s="86"/>
    </row>
    <row r="51" ht="15.75" customHeight="1">
      <c r="A51" s="82"/>
      <c r="B51" s="36" t="s">
        <v>157</v>
      </c>
      <c r="C51" s="36">
        <f t="shared" ref="C51:G51" si="2">C3</f>
        <v>47</v>
      </c>
      <c r="D51" s="36">
        <f t="shared" si="2"/>
        <v>49</v>
      </c>
      <c r="E51" s="36">
        <f t="shared" si="2"/>
        <v>47</v>
      </c>
      <c r="F51" s="36">
        <f t="shared" si="2"/>
        <v>47</v>
      </c>
      <c r="G51" s="36">
        <f t="shared" si="2"/>
        <v>47</v>
      </c>
      <c r="H51" s="36">
        <f t="shared" si="3"/>
        <v>237</v>
      </c>
      <c r="I51" s="36"/>
      <c r="J51" s="36"/>
      <c r="K51" s="86"/>
      <c r="L51" s="86"/>
    </row>
    <row r="52" ht="15.75" customHeight="1">
      <c r="A52" s="82"/>
      <c r="B52" s="36" t="s">
        <v>158</v>
      </c>
      <c r="C52" s="36">
        <v>60.0</v>
      </c>
      <c r="D52" s="36">
        <v>60.0</v>
      </c>
      <c r="E52" s="36">
        <v>60.0</v>
      </c>
      <c r="F52" s="36">
        <v>60.0</v>
      </c>
      <c r="G52" s="36">
        <v>60.0</v>
      </c>
      <c r="H52" s="36"/>
      <c r="I52" s="36"/>
      <c r="J52" s="36"/>
      <c r="K52" s="86"/>
      <c r="L52" s="86"/>
    </row>
    <row r="53" ht="15.75" customHeight="1">
      <c r="A53" s="82"/>
      <c r="B53" s="36" t="s">
        <v>159</v>
      </c>
      <c r="C53" s="36">
        <v>45.0</v>
      </c>
      <c r="D53" s="36">
        <v>45.0</v>
      </c>
      <c r="E53" s="36">
        <v>45.0</v>
      </c>
      <c r="F53" s="36">
        <v>45.0</v>
      </c>
      <c r="G53" s="36">
        <v>45.0</v>
      </c>
      <c r="H53" s="36">
        <f t="shared" ref="H53:H61" si="5">SUM(C53:G53)</f>
        <v>225</v>
      </c>
      <c r="I53" s="36">
        <f>$E$9</f>
        <v>200</v>
      </c>
      <c r="J53" s="36">
        <f>H53*I53</f>
        <v>45000</v>
      </c>
      <c r="K53" s="86"/>
      <c r="L53" s="86"/>
    </row>
    <row r="54" ht="15.75" customHeight="1">
      <c r="A54" s="82"/>
      <c r="B54" s="36" t="s">
        <v>160</v>
      </c>
      <c r="C54" s="36">
        <f t="shared" ref="C54:G54" si="4">$G$41</f>
        <v>2</v>
      </c>
      <c r="D54" s="36">
        <f t="shared" si="4"/>
        <v>2</v>
      </c>
      <c r="E54" s="36">
        <f t="shared" si="4"/>
        <v>2</v>
      </c>
      <c r="F54" s="36">
        <f t="shared" si="4"/>
        <v>2</v>
      </c>
      <c r="G54" s="36">
        <f t="shared" si="4"/>
        <v>2</v>
      </c>
      <c r="H54" s="36">
        <f t="shared" si="5"/>
        <v>10</v>
      </c>
      <c r="I54" s="36"/>
      <c r="J54" s="36"/>
      <c r="K54" s="86"/>
      <c r="L54" s="86"/>
    </row>
    <row r="55" ht="15.75" customHeight="1">
      <c r="A55" s="82"/>
      <c r="B55" s="36" t="s">
        <v>161</v>
      </c>
      <c r="C55" s="36">
        <v>10.0</v>
      </c>
      <c r="D55" s="36">
        <v>2.0</v>
      </c>
      <c r="E55" s="36">
        <v>2.0</v>
      </c>
      <c r="F55" s="36">
        <v>2.0</v>
      </c>
      <c r="G55" s="36">
        <v>2.0</v>
      </c>
      <c r="H55" s="36">
        <f t="shared" si="5"/>
        <v>18</v>
      </c>
      <c r="I55" s="36"/>
      <c r="J55" s="36"/>
      <c r="K55" s="86"/>
      <c r="L55" s="86"/>
    </row>
    <row r="56" ht="15.75" customHeight="1">
      <c r="A56" s="82"/>
      <c r="B56" s="36" t="s">
        <v>162</v>
      </c>
      <c r="C56" s="36">
        <f t="shared" ref="C56:G56" si="6">C55-C54</f>
        <v>8</v>
      </c>
      <c r="D56" s="36">
        <f t="shared" si="6"/>
        <v>0</v>
      </c>
      <c r="E56" s="36">
        <f t="shared" si="6"/>
        <v>0</v>
      </c>
      <c r="F56" s="36">
        <f t="shared" si="6"/>
        <v>0</v>
      </c>
      <c r="G56" s="36">
        <f t="shared" si="6"/>
        <v>0</v>
      </c>
      <c r="H56" s="36">
        <f t="shared" si="5"/>
        <v>8</v>
      </c>
      <c r="I56" s="36">
        <f>$E$15</f>
        <v>25000</v>
      </c>
      <c r="J56" s="36">
        <f>H56*I56</f>
        <v>200000</v>
      </c>
      <c r="K56" s="86"/>
      <c r="L56" s="86"/>
    </row>
    <row r="57" ht="15.75" customHeight="1">
      <c r="A57" s="82"/>
      <c r="B57" s="36" t="s">
        <v>66</v>
      </c>
      <c r="C57" s="36">
        <f t="shared" ref="C57:G57" si="7">C52-C53</f>
        <v>15</v>
      </c>
      <c r="D57" s="36">
        <f t="shared" si="7"/>
        <v>15</v>
      </c>
      <c r="E57" s="36">
        <f t="shared" si="7"/>
        <v>15</v>
      </c>
      <c r="F57" s="36">
        <f t="shared" si="7"/>
        <v>15</v>
      </c>
      <c r="G57" s="36">
        <f t="shared" si="7"/>
        <v>15</v>
      </c>
      <c r="H57" s="36">
        <f t="shared" si="5"/>
        <v>75</v>
      </c>
      <c r="I57" s="36"/>
      <c r="J57" s="36"/>
      <c r="K57" s="86"/>
      <c r="L57" s="86"/>
    </row>
    <row r="58" ht="15.75" customHeight="1">
      <c r="A58" s="82"/>
      <c r="B58" s="36" t="s">
        <v>163</v>
      </c>
      <c r="C58" s="36">
        <f>C51-C53</f>
        <v>2</v>
      </c>
      <c r="D58" s="36">
        <f t="shared" ref="D58:F58" si="8">(D51-D53)+C58</f>
        <v>6</v>
      </c>
      <c r="E58" s="36">
        <f t="shared" si="8"/>
        <v>8</v>
      </c>
      <c r="F58" s="36">
        <f t="shared" si="8"/>
        <v>10</v>
      </c>
      <c r="G58" s="36">
        <v>1.0</v>
      </c>
      <c r="H58" s="36">
        <f t="shared" si="5"/>
        <v>27</v>
      </c>
      <c r="I58" s="36">
        <v>75.0</v>
      </c>
      <c r="J58" s="36">
        <f>H58*I58</f>
        <v>2025</v>
      </c>
      <c r="K58" s="86"/>
      <c r="L58" s="86"/>
    </row>
    <row r="59" ht="15.75" customHeight="1">
      <c r="A59" s="82"/>
      <c r="B59" s="36" t="s">
        <v>67</v>
      </c>
      <c r="C59" s="36">
        <v>0.0</v>
      </c>
      <c r="D59" s="36">
        <v>0.0</v>
      </c>
      <c r="E59" s="36">
        <v>0.0</v>
      </c>
      <c r="F59" s="36">
        <v>0.0</v>
      </c>
      <c r="G59" s="36">
        <v>0.0</v>
      </c>
      <c r="H59" s="36">
        <f t="shared" si="5"/>
        <v>0</v>
      </c>
      <c r="I59" s="36"/>
      <c r="J59" s="36"/>
      <c r="K59" s="86"/>
      <c r="L59" s="86"/>
    </row>
    <row r="60" ht="15.75" customHeight="1">
      <c r="A60" s="82"/>
      <c r="B60" s="36" t="s">
        <v>68</v>
      </c>
      <c r="C60" s="36">
        <v>0.0</v>
      </c>
      <c r="D60" s="36">
        <f t="shared" ref="D60:G60" si="9">D50/2</f>
        <v>0</v>
      </c>
      <c r="E60" s="36">
        <f t="shared" si="9"/>
        <v>0</v>
      </c>
      <c r="F60" s="36">
        <f t="shared" si="9"/>
        <v>0</v>
      </c>
      <c r="G60" s="36">
        <f t="shared" si="9"/>
        <v>0</v>
      </c>
      <c r="H60" s="36">
        <f t="shared" si="5"/>
        <v>0</v>
      </c>
      <c r="I60" s="36"/>
      <c r="J60" s="36"/>
      <c r="K60" s="86"/>
      <c r="L60" s="86"/>
    </row>
    <row r="61" ht="15.75" customHeight="1">
      <c r="A61" s="82"/>
      <c r="B61" s="36" t="s">
        <v>164</v>
      </c>
      <c r="C61" s="36">
        <f t="shared" ref="C61:G61" si="10">C57*80</f>
        <v>1200</v>
      </c>
      <c r="D61" s="36">
        <f t="shared" si="10"/>
        <v>1200</v>
      </c>
      <c r="E61" s="36">
        <f t="shared" si="10"/>
        <v>1200</v>
      </c>
      <c r="F61" s="36">
        <f t="shared" si="10"/>
        <v>1200</v>
      </c>
      <c r="G61" s="36">
        <f t="shared" si="10"/>
        <v>1200</v>
      </c>
      <c r="H61" s="36">
        <f t="shared" si="5"/>
        <v>6000</v>
      </c>
      <c r="I61" s="36">
        <f>$E$13</f>
        <v>2</v>
      </c>
      <c r="J61" s="36">
        <f>H61*I61</f>
        <v>12000</v>
      </c>
      <c r="K61" s="86"/>
      <c r="L61" s="86"/>
    </row>
    <row r="62" ht="15.75" customHeight="1">
      <c r="A62" s="82"/>
      <c r="B62" s="35"/>
      <c r="C62" s="36"/>
      <c r="D62" s="36"/>
      <c r="E62" s="36"/>
      <c r="F62" s="36"/>
      <c r="G62" s="36"/>
      <c r="H62" s="36"/>
      <c r="I62" s="36"/>
      <c r="J62" s="70">
        <f>SUM(J50:J61)</f>
        <v>259025</v>
      </c>
      <c r="K62" s="86"/>
      <c r="L62" s="86"/>
    </row>
    <row r="63" ht="15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6"/>
      <c r="L63" s="86"/>
    </row>
    <row r="64" ht="15.75" customHeight="1">
      <c r="A64" s="85"/>
      <c r="B64" s="82"/>
      <c r="C64" s="82"/>
      <c r="D64" s="82"/>
      <c r="E64" s="82"/>
      <c r="F64" s="82"/>
      <c r="G64" s="82"/>
      <c r="H64" s="82"/>
      <c r="I64" s="82"/>
      <c r="J64" s="82"/>
      <c r="K64" s="86"/>
      <c r="L64" s="86"/>
    </row>
    <row r="65" ht="15.75" customHeight="1">
      <c r="A65" s="82"/>
      <c r="B65" s="61" t="s">
        <v>70</v>
      </c>
      <c r="C65" s="62"/>
      <c r="D65" s="62"/>
      <c r="E65" s="62"/>
      <c r="F65" s="62"/>
      <c r="G65" s="62"/>
      <c r="H65" s="62"/>
      <c r="I65" s="62"/>
      <c r="J65" s="63"/>
      <c r="K65" s="86"/>
      <c r="L65" s="86"/>
    </row>
    <row r="66" ht="15.75" customHeight="1">
      <c r="A66" s="82"/>
      <c r="B66" s="35" t="s">
        <v>37</v>
      </c>
      <c r="C66" s="35">
        <v>21.0</v>
      </c>
      <c r="D66" s="35">
        <v>22.0</v>
      </c>
      <c r="E66" s="35">
        <v>23.0</v>
      </c>
      <c r="F66" s="35">
        <v>24.0</v>
      </c>
      <c r="G66" s="35">
        <v>25.0</v>
      </c>
      <c r="H66" s="36" t="s">
        <v>55</v>
      </c>
      <c r="I66" s="35" t="s">
        <v>155</v>
      </c>
      <c r="J66" s="35" t="s">
        <v>156</v>
      </c>
      <c r="K66" s="86"/>
      <c r="L66" s="86"/>
    </row>
    <row r="67" ht="15.75" customHeight="1">
      <c r="A67" s="82"/>
      <c r="B67" s="36" t="s">
        <v>57</v>
      </c>
      <c r="C67" s="36">
        <v>0.0</v>
      </c>
      <c r="D67" s="36">
        <f t="shared" ref="D67:G67" si="11">C75</f>
        <v>0</v>
      </c>
      <c r="E67" s="36">
        <f t="shared" si="11"/>
        <v>0</v>
      </c>
      <c r="F67" s="36">
        <f t="shared" si="11"/>
        <v>0</v>
      </c>
      <c r="G67" s="36">
        <f t="shared" si="11"/>
        <v>0</v>
      </c>
      <c r="H67" s="36">
        <f t="shared" ref="H67:H68" si="13">SUM(C67:G67)</f>
        <v>0</v>
      </c>
      <c r="I67" s="36"/>
      <c r="J67" s="36"/>
      <c r="K67" s="86"/>
      <c r="L67" s="86"/>
    </row>
    <row r="68" ht="15.75" customHeight="1">
      <c r="A68" s="82"/>
      <c r="B68" s="36" t="s">
        <v>157</v>
      </c>
      <c r="C68" s="36">
        <f t="shared" ref="C68:G68" si="12">C3</f>
        <v>47</v>
      </c>
      <c r="D68" s="36">
        <f t="shared" si="12"/>
        <v>49</v>
      </c>
      <c r="E68" s="36">
        <f t="shared" si="12"/>
        <v>47</v>
      </c>
      <c r="F68" s="36">
        <f t="shared" si="12"/>
        <v>47</v>
      </c>
      <c r="G68" s="36">
        <f t="shared" si="12"/>
        <v>47</v>
      </c>
      <c r="H68" s="36">
        <f t="shared" si="13"/>
        <v>237</v>
      </c>
      <c r="I68" s="36"/>
      <c r="J68" s="36"/>
      <c r="K68" s="86"/>
      <c r="L68" s="86"/>
    </row>
    <row r="69" ht="15.75" customHeight="1">
      <c r="A69" s="82"/>
      <c r="B69" s="36" t="s">
        <v>158</v>
      </c>
      <c r="C69" s="36">
        <v>60.0</v>
      </c>
      <c r="D69" s="36">
        <v>60.0</v>
      </c>
      <c r="E69" s="36">
        <v>60.0</v>
      </c>
      <c r="F69" s="36">
        <v>60.0</v>
      </c>
      <c r="G69" s="36">
        <v>60.0</v>
      </c>
      <c r="H69" s="36"/>
      <c r="I69" s="36"/>
      <c r="J69" s="36"/>
      <c r="K69" s="86"/>
      <c r="L69" s="86"/>
    </row>
    <row r="70" ht="15.75" customHeight="1">
      <c r="A70" s="82"/>
      <c r="B70" s="36" t="s">
        <v>159</v>
      </c>
      <c r="C70" s="36">
        <v>45.0</v>
      </c>
      <c r="D70" s="36">
        <v>45.0</v>
      </c>
      <c r="E70" s="36">
        <v>45.0</v>
      </c>
      <c r="F70" s="36">
        <v>45.0</v>
      </c>
      <c r="G70" s="36">
        <v>45.0</v>
      </c>
      <c r="H70" s="36">
        <f t="shared" ref="H70:H77" si="14">SUM(C70:G70)</f>
        <v>225</v>
      </c>
      <c r="I70" s="36">
        <f>$E$9</f>
        <v>200</v>
      </c>
      <c r="J70" s="36">
        <f>H70*I70</f>
        <v>45000</v>
      </c>
      <c r="K70" s="86"/>
      <c r="L70" s="86"/>
    </row>
    <row r="71" ht="15.75" customHeight="1">
      <c r="A71" s="82"/>
      <c r="B71" s="36" t="s">
        <v>160</v>
      </c>
      <c r="C71" s="36">
        <f>G54</f>
        <v>2</v>
      </c>
      <c r="D71" s="36">
        <f>G54</f>
        <v>2</v>
      </c>
      <c r="E71" s="36">
        <f>G54</f>
        <v>2</v>
      </c>
      <c r="F71" s="36">
        <f>G54</f>
        <v>2</v>
      </c>
      <c r="G71" s="36">
        <f>G54</f>
        <v>2</v>
      </c>
      <c r="H71" s="36">
        <f t="shared" si="14"/>
        <v>10</v>
      </c>
      <c r="I71" s="36"/>
      <c r="J71" s="36"/>
    </row>
    <row r="72" ht="15.75" customHeight="1">
      <c r="A72" s="82"/>
      <c r="B72" s="36" t="s">
        <v>161</v>
      </c>
      <c r="C72" s="36">
        <v>10.0</v>
      </c>
      <c r="D72" s="36">
        <v>2.0</v>
      </c>
      <c r="E72" s="36">
        <v>2.0</v>
      </c>
      <c r="F72" s="36">
        <v>2.0</v>
      </c>
      <c r="G72" s="36">
        <v>2.0</v>
      </c>
      <c r="H72" s="36">
        <f t="shared" si="14"/>
        <v>18</v>
      </c>
      <c r="I72" s="36"/>
      <c r="J72" s="36"/>
    </row>
    <row r="73" ht="15.75" customHeight="1">
      <c r="A73" s="82"/>
      <c r="B73" s="36" t="s">
        <v>162</v>
      </c>
      <c r="C73" s="36">
        <f t="shared" ref="C73:G73" si="15">C72-C71</f>
        <v>8</v>
      </c>
      <c r="D73" s="36">
        <f t="shared" si="15"/>
        <v>0</v>
      </c>
      <c r="E73" s="36">
        <f t="shared" si="15"/>
        <v>0</v>
      </c>
      <c r="F73" s="36">
        <f t="shared" si="15"/>
        <v>0</v>
      </c>
      <c r="G73" s="36">
        <f t="shared" si="15"/>
        <v>0</v>
      </c>
      <c r="H73" s="36">
        <f t="shared" si="14"/>
        <v>8</v>
      </c>
      <c r="I73" s="36">
        <f>$E$15</f>
        <v>25000</v>
      </c>
      <c r="J73" s="36">
        <f>H73*I73</f>
        <v>200000</v>
      </c>
      <c r="L73" s="87"/>
    </row>
    <row r="74" ht="15.75" customHeight="1">
      <c r="A74" s="82"/>
      <c r="B74" s="36" t="s">
        <v>66</v>
      </c>
      <c r="C74" s="36">
        <f t="shared" ref="C74:G74" si="16">C69-C70</f>
        <v>15</v>
      </c>
      <c r="D74" s="36">
        <f t="shared" si="16"/>
        <v>15</v>
      </c>
      <c r="E74" s="36">
        <f t="shared" si="16"/>
        <v>15</v>
      </c>
      <c r="F74" s="36">
        <f t="shared" si="16"/>
        <v>15</v>
      </c>
      <c r="G74" s="36">
        <f t="shared" si="16"/>
        <v>15</v>
      </c>
      <c r="H74" s="36">
        <f t="shared" si="14"/>
        <v>75</v>
      </c>
      <c r="I74" s="36"/>
      <c r="J74" s="36"/>
      <c r="K74" s="86"/>
      <c r="L74" s="86"/>
    </row>
    <row r="75" ht="15.75" customHeight="1">
      <c r="A75" s="82"/>
      <c r="B75" s="36" t="s">
        <v>67</v>
      </c>
      <c r="C75" s="36">
        <v>0.0</v>
      </c>
      <c r="D75" s="36">
        <v>0.0</v>
      </c>
      <c r="E75" s="36">
        <v>0.0</v>
      </c>
      <c r="F75" s="36">
        <v>0.0</v>
      </c>
      <c r="G75" s="36">
        <v>0.0</v>
      </c>
      <c r="H75" s="36">
        <f t="shared" si="14"/>
        <v>0</v>
      </c>
      <c r="I75" s="36"/>
      <c r="J75" s="36"/>
      <c r="K75" s="86"/>
      <c r="L75" s="86"/>
    </row>
    <row r="76" ht="15.75" customHeight="1">
      <c r="A76" s="82"/>
      <c r="B76" s="36" t="s">
        <v>68</v>
      </c>
      <c r="C76" s="36">
        <v>0.0</v>
      </c>
      <c r="D76" s="36">
        <f t="shared" ref="D76:G76" si="17">D67/2</f>
        <v>0</v>
      </c>
      <c r="E76" s="36">
        <f t="shared" si="17"/>
        <v>0</v>
      </c>
      <c r="F76" s="36">
        <f t="shared" si="17"/>
        <v>0</v>
      </c>
      <c r="G76" s="36">
        <f t="shared" si="17"/>
        <v>0</v>
      </c>
      <c r="H76" s="36">
        <f t="shared" si="14"/>
        <v>0</v>
      </c>
      <c r="I76" s="36"/>
      <c r="J76" s="36"/>
      <c r="K76" s="86"/>
      <c r="L76" s="86"/>
    </row>
    <row r="77" ht="15.75" customHeight="1">
      <c r="A77" s="82"/>
      <c r="B77" s="36" t="s">
        <v>164</v>
      </c>
      <c r="C77" s="36">
        <f t="shared" ref="C77:G77" si="18">C74*80</f>
        <v>1200</v>
      </c>
      <c r="D77" s="36">
        <f t="shared" si="18"/>
        <v>1200</v>
      </c>
      <c r="E77" s="36">
        <f t="shared" si="18"/>
        <v>1200</v>
      </c>
      <c r="F77" s="36">
        <f t="shared" si="18"/>
        <v>1200</v>
      </c>
      <c r="G77" s="36">
        <f t="shared" si="18"/>
        <v>1200</v>
      </c>
      <c r="H77" s="36">
        <f t="shared" si="14"/>
        <v>6000</v>
      </c>
      <c r="I77" s="36">
        <f>$E$13</f>
        <v>2</v>
      </c>
      <c r="J77" s="36">
        <f>H77*I77</f>
        <v>12000</v>
      </c>
      <c r="K77" s="86"/>
      <c r="L77" s="86"/>
    </row>
    <row r="78" ht="15.75" customHeight="1">
      <c r="A78" s="82"/>
      <c r="B78" s="36"/>
      <c r="C78" s="36"/>
      <c r="D78" s="36"/>
      <c r="E78" s="36"/>
      <c r="F78" s="36"/>
      <c r="G78" s="36"/>
      <c r="H78" s="36"/>
      <c r="I78" s="36"/>
      <c r="J78" s="70">
        <f>SUM(J67:J77)</f>
        <v>257000</v>
      </c>
      <c r="K78" s="86"/>
      <c r="L78" s="86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48:J48"/>
    <mergeCell ref="B65:J65"/>
  </mergeCells>
  <printOptions/>
  <pageMargins bottom="0.75" footer="0.0" header="0.0" left="0.7" right="0.7" top="0.75"/>
  <pageSetup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2.13"/>
    <col customWidth="1" min="3" max="3" width="12.75"/>
    <col customWidth="1" min="4" max="4" width="13.25"/>
    <col customWidth="1" min="5" max="5" width="11.0"/>
    <col customWidth="1" min="6" max="26" width="7.63"/>
  </cols>
  <sheetData>
    <row r="1">
      <c r="A1" s="35" t="s">
        <v>165</v>
      </c>
      <c r="B1" s="35" t="s">
        <v>166</v>
      </c>
      <c r="C1" s="35" t="s">
        <v>167</v>
      </c>
      <c r="D1" s="35" t="s">
        <v>168</v>
      </c>
    </row>
    <row r="2">
      <c r="A2" s="36">
        <v>1.0</v>
      </c>
      <c r="B2" s="88">
        <v>114200.0</v>
      </c>
      <c r="C2" s="88">
        <v>114200.0</v>
      </c>
      <c r="D2" s="89" t="s">
        <v>169</v>
      </c>
      <c r="E2" s="90">
        <f t="shared" ref="E2:E6" si="1">MIN(B2:C2)</f>
        <v>114200</v>
      </c>
    </row>
    <row r="3">
      <c r="A3" s="36">
        <v>2.0</v>
      </c>
      <c r="B3" s="88">
        <v>159672.0</v>
      </c>
      <c r="C3" s="88">
        <v>215560.0</v>
      </c>
      <c r="D3" s="91" t="s">
        <v>170</v>
      </c>
      <c r="E3" s="90">
        <f t="shared" si="1"/>
        <v>159672</v>
      </c>
    </row>
    <row r="4">
      <c r="A4" s="36">
        <v>3.0</v>
      </c>
      <c r="B4" s="88">
        <v>131719.0</v>
      </c>
      <c r="C4" s="88">
        <v>311325.0</v>
      </c>
      <c r="D4" s="91" t="s">
        <v>170</v>
      </c>
      <c r="E4" s="90">
        <f t="shared" si="1"/>
        <v>131719</v>
      </c>
    </row>
    <row r="5">
      <c r="A5" s="36">
        <v>4.0</v>
      </c>
      <c r="B5" s="88">
        <v>91530.0</v>
      </c>
      <c r="C5" s="88">
        <v>90500.0</v>
      </c>
      <c r="D5" s="91" t="s">
        <v>171</v>
      </c>
      <c r="E5" s="90">
        <f t="shared" si="1"/>
        <v>90500</v>
      </c>
    </row>
    <row r="6">
      <c r="A6" s="36">
        <v>5.0</v>
      </c>
      <c r="B6" s="88">
        <v>259025.0</v>
      </c>
      <c r="C6" s="88">
        <v>257000.0</v>
      </c>
      <c r="D6" s="91" t="s">
        <v>171</v>
      </c>
      <c r="E6" s="90">
        <f t="shared" si="1"/>
        <v>257000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92" t="s">
        <v>172</v>
      </c>
      <c r="B1" s="62"/>
      <c r="C1" s="62"/>
      <c r="D1" s="62"/>
      <c r="E1" s="62"/>
      <c r="F1" s="63"/>
    </row>
    <row r="2">
      <c r="A2" s="60"/>
      <c r="B2" s="51" t="s">
        <v>173</v>
      </c>
      <c r="C2" s="51" t="s">
        <v>174</v>
      </c>
      <c r="D2" s="51" t="s">
        <v>175</v>
      </c>
      <c r="E2" s="51" t="s">
        <v>176</v>
      </c>
      <c r="F2" s="51" t="s">
        <v>177</v>
      </c>
    </row>
    <row r="3">
      <c r="A3" s="51" t="s">
        <v>10</v>
      </c>
      <c r="B3" s="60">
        <v>146.0</v>
      </c>
      <c r="C3" s="60">
        <v>146.0</v>
      </c>
      <c r="D3" s="60">
        <v>146.0</v>
      </c>
      <c r="E3" s="60">
        <v>146.0</v>
      </c>
      <c r="F3" s="60">
        <v>146.0</v>
      </c>
    </row>
    <row r="4">
      <c r="A4" s="51" t="s">
        <v>18</v>
      </c>
      <c r="B4" s="60">
        <v>182.0</v>
      </c>
      <c r="C4" s="60">
        <v>201.0</v>
      </c>
      <c r="D4" s="60">
        <v>217.0</v>
      </c>
      <c r="E4" s="60">
        <v>204.0</v>
      </c>
      <c r="F4" s="60">
        <v>169.0</v>
      </c>
    </row>
    <row r="5">
      <c r="A5" s="51" t="s">
        <v>19</v>
      </c>
      <c r="B5" s="60">
        <v>124.0</v>
      </c>
      <c r="C5" s="60">
        <v>97.0</v>
      </c>
      <c r="D5" s="60">
        <v>87.0</v>
      </c>
      <c r="E5" s="60">
        <v>73.0</v>
      </c>
      <c r="F5" s="60">
        <v>128.0</v>
      </c>
    </row>
    <row r="6">
      <c r="A6" s="51" t="s">
        <v>23</v>
      </c>
      <c r="B6" s="60">
        <v>82.0</v>
      </c>
      <c r="C6" s="60">
        <v>85.0</v>
      </c>
      <c r="D6" s="60">
        <v>89.0</v>
      </c>
      <c r="E6" s="60">
        <v>92.0</v>
      </c>
      <c r="F6" s="60">
        <v>95.0</v>
      </c>
    </row>
    <row r="7">
      <c r="A7" s="51" t="s">
        <v>24</v>
      </c>
      <c r="B7" s="60">
        <v>47.0</v>
      </c>
      <c r="C7" s="60">
        <v>49.0</v>
      </c>
      <c r="D7" s="60">
        <v>47.0</v>
      </c>
      <c r="E7" s="60">
        <v>47.0</v>
      </c>
      <c r="F7" s="60">
        <v>47.0</v>
      </c>
    </row>
    <row r="16">
      <c r="A16" s="41" t="s">
        <v>178</v>
      </c>
      <c r="B16" s="51"/>
      <c r="C16" s="51"/>
      <c r="D16" s="51" t="s">
        <v>173</v>
      </c>
      <c r="E16" s="51" t="s">
        <v>174</v>
      </c>
      <c r="F16" s="51" t="s">
        <v>175</v>
      </c>
      <c r="G16" s="51" t="s">
        <v>176</v>
      </c>
      <c r="H16" s="51" t="s">
        <v>177</v>
      </c>
      <c r="I16" s="51" t="s">
        <v>179</v>
      </c>
    </row>
    <row r="17">
      <c r="B17" s="51" t="s">
        <v>10</v>
      </c>
      <c r="C17" s="51"/>
      <c r="D17" s="60">
        <v>146.0</v>
      </c>
      <c r="E17" s="60">
        <v>146.0</v>
      </c>
      <c r="F17" s="60">
        <v>146.0</v>
      </c>
      <c r="G17" s="60">
        <v>146.0</v>
      </c>
      <c r="H17" s="60">
        <v>146.0</v>
      </c>
      <c r="I17" s="60">
        <f t="shared" ref="I17:I19" si="2">SUM(D17:H17)</f>
        <v>730</v>
      </c>
    </row>
    <row r="18">
      <c r="B18" s="51" t="s">
        <v>180</v>
      </c>
      <c r="C18" s="51"/>
      <c r="D18" s="60">
        <f t="shared" ref="D18:H18" si="1">B3</f>
        <v>146</v>
      </c>
      <c r="E18" s="60">
        <f t="shared" si="1"/>
        <v>146</v>
      </c>
      <c r="F18" s="60">
        <f t="shared" si="1"/>
        <v>146</v>
      </c>
      <c r="G18" s="60">
        <f t="shared" si="1"/>
        <v>146</v>
      </c>
      <c r="H18" s="60">
        <f t="shared" si="1"/>
        <v>146</v>
      </c>
      <c r="I18" s="60">
        <f t="shared" si="2"/>
        <v>730</v>
      </c>
    </row>
    <row r="19">
      <c r="B19" s="93" t="s">
        <v>181</v>
      </c>
      <c r="C19" s="51"/>
      <c r="D19" s="60">
        <f t="shared" ref="D19:H19" si="3">3*B3</f>
        <v>438</v>
      </c>
      <c r="E19" s="60">
        <f t="shared" si="3"/>
        <v>438</v>
      </c>
      <c r="F19" s="60">
        <f t="shared" si="3"/>
        <v>438</v>
      </c>
      <c r="G19" s="60">
        <f t="shared" si="3"/>
        <v>438</v>
      </c>
      <c r="H19" s="60">
        <f t="shared" si="3"/>
        <v>438</v>
      </c>
      <c r="I19" s="60">
        <f t="shared" si="2"/>
        <v>2190</v>
      </c>
    </row>
    <row r="21" ht="15.75" customHeight="1">
      <c r="B21" s="51" t="s">
        <v>18</v>
      </c>
      <c r="C21" s="51"/>
      <c r="D21" s="60">
        <v>182.0</v>
      </c>
      <c r="E21" s="60">
        <v>201.0</v>
      </c>
      <c r="F21" s="60">
        <v>217.0</v>
      </c>
      <c r="G21" s="60">
        <v>204.0</v>
      </c>
      <c r="H21" s="60">
        <v>169.0</v>
      </c>
      <c r="I21" s="60">
        <f t="shared" ref="I21:I25" si="5">SUM(D21:H21)</f>
        <v>973</v>
      </c>
    </row>
    <row r="22" ht="15.75" customHeight="1">
      <c r="B22" s="51" t="s">
        <v>182</v>
      </c>
      <c r="C22" s="51"/>
      <c r="D22" s="60">
        <f t="shared" ref="D22:H22" si="4">B4</f>
        <v>182</v>
      </c>
      <c r="E22" s="60">
        <f t="shared" si="4"/>
        <v>201</v>
      </c>
      <c r="F22" s="60">
        <f t="shared" si="4"/>
        <v>217</v>
      </c>
      <c r="G22" s="60">
        <f t="shared" si="4"/>
        <v>204</v>
      </c>
      <c r="H22" s="60">
        <f t="shared" si="4"/>
        <v>169</v>
      </c>
      <c r="I22" s="60">
        <f t="shared" si="5"/>
        <v>973</v>
      </c>
    </row>
    <row r="23" ht="15.75" customHeight="1">
      <c r="B23" s="94" t="s">
        <v>183</v>
      </c>
      <c r="C23" s="51"/>
      <c r="D23" s="60">
        <f t="shared" ref="D23:H23" si="6">2*B4</f>
        <v>364</v>
      </c>
      <c r="E23" s="60">
        <f t="shared" si="6"/>
        <v>402</v>
      </c>
      <c r="F23" s="60">
        <f t="shared" si="6"/>
        <v>434</v>
      </c>
      <c r="G23" s="60">
        <f t="shared" si="6"/>
        <v>408</v>
      </c>
      <c r="H23" s="60">
        <f t="shared" si="6"/>
        <v>338</v>
      </c>
      <c r="I23" s="60">
        <f t="shared" si="5"/>
        <v>1946</v>
      </c>
    </row>
    <row r="24" ht="15.75" customHeight="1">
      <c r="B24" s="51"/>
      <c r="C24" s="94" t="s">
        <v>184</v>
      </c>
      <c r="D24" s="60">
        <f t="shared" ref="D24:H24" si="7">4*D23</f>
        <v>1456</v>
      </c>
      <c r="E24" s="60">
        <f t="shared" si="7"/>
        <v>1608</v>
      </c>
      <c r="F24" s="60">
        <f t="shared" si="7"/>
        <v>1736</v>
      </c>
      <c r="G24" s="60">
        <f t="shared" si="7"/>
        <v>1632</v>
      </c>
      <c r="H24" s="60">
        <f t="shared" si="7"/>
        <v>1352</v>
      </c>
      <c r="I24" s="60">
        <f t="shared" si="5"/>
        <v>7784</v>
      </c>
    </row>
    <row r="25" ht="15.75" customHeight="1">
      <c r="B25" s="93" t="s">
        <v>185</v>
      </c>
      <c r="C25" s="51"/>
      <c r="D25" s="60">
        <f t="shared" ref="D25:H25" si="8">D24+D22</f>
        <v>1638</v>
      </c>
      <c r="E25" s="60">
        <f t="shared" si="8"/>
        <v>1809</v>
      </c>
      <c r="F25" s="60">
        <f t="shared" si="8"/>
        <v>1953</v>
      </c>
      <c r="G25" s="60">
        <f t="shared" si="8"/>
        <v>1836</v>
      </c>
      <c r="H25" s="60">
        <f t="shared" si="8"/>
        <v>1521</v>
      </c>
      <c r="I25" s="60">
        <f t="shared" si="5"/>
        <v>8757</v>
      </c>
    </row>
    <row r="26" ht="15.75" customHeight="1">
      <c r="B26" s="41"/>
    </row>
    <row r="27" ht="15.75" customHeight="1">
      <c r="B27" s="51" t="s">
        <v>19</v>
      </c>
      <c r="C27" s="51"/>
      <c r="D27" s="60">
        <v>124.0</v>
      </c>
      <c r="E27" s="60">
        <v>97.0</v>
      </c>
      <c r="F27" s="60">
        <v>87.0</v>
      </c>
      <c r="G27" s="60">
        <v>73.0</v>
      </c>
      <c r="H27" s="60">
        <v>128.0</v>
      </c>
      <c r="I27" s="60">
        <f t="shared" ref="I27:I30" si="10">SUM(D27:H27)</f>
        <v>509</v>
      </c>
    </row>
    <row r="28" ht="15.75" customHeight="1">
      <c r="B28" s="51" t="s">
        <v>186</v>
      </c>
      <c r="C28" s="51"/>
      <c r="D28" s="60">
        <f t="shared" ref="D28:H28" si="9">D27</f>
        <v>124</v>
      </c>
      <c r="E28" s="60">
        <f t="shared" si="9"/>
        <v>97</v>
      </c>
      <c r="F28" s="60">
        <f t="shared" si="9"/>
        <v>87</v>
      </c>
      <c r="G28" s="60">
        <f t="shared" si="9"/>
        <v>73</v>
      </c>
      <c r="H28" s="60">
        <f t="shared" si="9"/>
        <v>128</v>
      </c>
      <c r="I28" s="60">
        <f t="shared" si="10"/>
        <v>509</v>
      </c>
    </row>
    <row r="29" ht="15.75" customHeight="1">
      <c r="B29" s="94" t="s">
        <v>187</v>
      </c>
      <c r="C29" s="51"/>
      <c r="D29" s="60">
        <f t="shared" ref="D29:H29" si="11">D27</f>
        <v>124</v>
      </c>
      <c r="E29" s="60">
        <f t="shared" si="11"/>
        <v>97</v>
      </c>
      <c r="F29" s="60">
        <f t="shared" si="11"/>
        <v>87</v>
      </c>
      <c r="G29" s="60">
        <f t="shared" si="11"/>
        <v>73</v>
      </c>
      <c r="H29" s="60">
        <f t="shared" si="11"/>
        <v>128</v>
      </c>
      <c r="I29" s="60">
        <f t="shared" si="10"/>
        <v>509</v>
      </c>
    </row>
    <row r="30" ht="15.75" customHeight="1">
      <c r="B30" s="51"/>
      <c r="C30" s="94" t="s">
        <v>184</v>
      </c>
      <c r="D30" s="60">
        <f t="shared" ref="D30:H30" si="12">4*D29</f>
        <v>496</v>
      </c>
      <c r="E30" s="60">
        <f t="shared" si="12"/>
        <v>388</v>
      </c>
      <c r="F30" s="60">
        <f t="shared" si="12"/>
        <v>348</v>
      </c>
      <c r="G30" s="60">
        <f t="shared" si="12"/>
        <v>292</v>
      </c>
      <c r="H30" s="60">
        <f t="shared" si="12"/>
        <v>512</v>
      </c>
      <c r="I30" s="60">
        <f t="shared" si="10"/>
        <v>2036</v>
      </c>
    </row>
    <row r="31" ht="15.75" customHeight="1">
      <c r="C31" s="41"/>
    </row>
    <row r="32" ht="15.75" customHeight="1">
      <c r="B32" s="51" t="s">
        <v>23</v>
      </c>
      <c r="C32" s="51"/>
      <c r="D32" s="60">
        <v>82.0</v>
      </c>
      <c r="E32" s="60">
        <v>85.0</v>
      </c>
      <c r="F32" s="60">
        <v>89.0</v>
      </c>
      <c r="G32" s="60">
        <v>92.0</v>
      </c>
      <c r="H32" s="60">
        <v>95.0</v>
      </c>
      <c r="I32" s="60">
        <f t="shared" ref="I32:I36" si="13">SUM(D32:H32)</f>
        <v>443</v>
      </c>
    </row>
    <row r="33" ht="15.75" customHeight="1">
      <c r="B33" s="51"/>
      <c r="C33" s="51"/>
      <c r="D33" s="60"/>
      <c r="E33" s="60"/>
      <c r="F33" s="60"/>
      <c r="G33" s="60"/>
      <c r="H33" s="60"/>
      <c r="I33" s="60">
        <f t="shared" si="13"/>
        <v>0</v>
      </c>
    </row>
    <row r="34" ht="15.75" customHeight="1">
      <c r="B34" s="51" t="s">
        <v>182</v>
      </c>
      <c r="C34" s="51"/>
      <c r="D34" s="60">
        <f t="shared" ref="D34:H34" si="14">D32</f>
        <v>82</v>
      </c>
      <c r="E34" s="60">
        <f t="shared" si="14"/>
        <v>85</v>
      </c>
      <c r="F34" s="60">
        <f t="shared" si="14"/>
        <v>89</v>
      </c>
      <c r="G34" s="60">
        <f t="shared" si="14"/>
        <v>92</v>
      </c>
      <c r="H34" s="60">
        <f t="shared" si="14"/>
        <v>95</v>
      </c>
      <c r="I34" s="60">
        <f t="shared" si="13"/>
        <v>443</v>
      </c>
    </row>
    <row r="35" ht="15.75" customHeight="1">
      <c r="B35" s="94" t="s">
        <v>188</v>
      </c>
      <c r="C35" s="51"/>
      <c r="D35" s="60">
        <f t="shared" ref="D35:H35" si="15">D32</f>
        <v>82</v>
      </c>
      <c r="E35" s="60">
        <f t="shared" si="15"/>
        <v>85</v>
      </c>
      <c r="F35" s="60">
        <f t="shared" si="15"/>
        <v>89</v>
      </c>
      <c r="G35" s="60">
        <f t="shared" si="15"/>
        <v>92</v>
      </c>
      <c r="H35" s="60">
        <f t="shared" si="15"/>
        <v>95</v>
      </c>
      <c r="I35" s="60">
        <f t="shared" si="13"/>
        <v>443</v>
      </c>
    </row>
    <row r="36" ht="15.75" customHeight="1">
      <c r="B36" s="51"/>
      <c r="C36" s="94" t="s">
        <v>189</v>
      </c>
      <c r="D36" s="60">
        <f t="shared" ref="D36:H36" si="16">D35*5</f>
        <v>410</v>
      </c>
      <c r="E36" s="60">
        <f t="shared" si="16"/>
        <v>425</v>
      </c>
      <c r="F36" s="60">
        <f t="shared" si="16"/>
        <v>445</v>
      </c>
      <c r="G36" s="60">
        <f t="shared" si="16"/>
        <v>460</v>
      </c>
      <c r="H36" s="60">
        <f t="shared" si="16"/>
        <v>475</v>
      </c>
      <c r="I36" s="60">
        <f t="shared" si="13"/>
        <v>2215</v>
      </c>
    </row>
    <row r="37" ht="15.75" customHeight="1">
      <c r="B37" s="41"/>
    </row>
    <row r="38" ht="15.75" customHeight="1">
      <c r="B38" s="51" t="s">
        <v>24</v>
      </c>
      <c r="C38" s="51"/>
      <c r="D38" s="60">
        <v>47.0</v>
      </c>
      <c r="E38" s="60">
        <v>49.0</v>
      </c>
      <c r="F38" s="60">
        <v>47.0</v>
      </c>
      <c r="G38" s="60">
        <v>47.0</v>
      </c>
      <c r="H38" s="60">
        <v>47.0</v>
      </c>
      <c r="I38" s="60">
        <f t="shared" ref="I38:I42" si="18">SUM(D38:H38)</f>
        <v>237</v>
      </c>
    </row>
    <row r="39" ht="15.75" customHeight="1">
      <c r="B39" s="51" t="s">
        <v>186</v>
      </c>
      <c r="C39" s="51"/>
      <c r="D39" s="60">
        <f t="shared" ref="D39:H39" si="17">D38</f>
        <v>47</v>
      </c>
      <c r="E39" s="60">
        <f t="shared" si="17"/>
        <v>49</v>
      </c>
      <c r="F39" s="60">
        <f t="shared" si="17"/>
        <v>47</v>
      </c>
      <c r="G39" s="60">
        <f t="shared" si="17"/>
        <v>47</v>
      </c>
      <c r="H39" s="60">
        <f t="shared" si="17"/>
        <v>47</v>
      </c>
      <c r="I39" s="60">
        <f t="shared" si="18"/>
        <v>237</v>
      </c>
    </row>
    <row r="40" ht="15.75" customHeight="1">
      <c r="B40" s="94" t="s">
        <v>188</v>
      </c>
      <c r="C40" s="51"/>
      <c r="D40" s="60">
        <f t="shared" ref="D40:H40" si="19">D39</f>
        <v>47</v>
      </c>
      <c r="E40" s="60">
        <f t="shared" si="19"/>
        <v>49</v>
      </c>
      <c r="F40" s="60">
        <f t="shared" si="19"/>
        <v>47</v>
      </c>
      <c r="G40" s="60">
        <f t="shared" si="19"/>
        <v>47</v>
      </c>
      <c r="H40" s="60">
        <f t="shared" si="19"/>
        <v>47</v>
      </c>
      <c r="I40" s="60">
        <f t="shared" si="18"/>
        <v>237</v>
      </c>
    </row>
    <row r="41" ht="15.75" customHeight="1">
      <c r="B41" s="51"/>
      <c r="C41" s="94" t="s">
        <v>189</v>
      </c>
      <c r="D41" s="60">
        <f t="shared" ref="D41:H41" si="20">5*D40</f>
        <v>235</v>
      </c>
      <c r="E41" s="60">
        <f t="shared" si="20"/>
        <v>245</v>
      </c>
      <c r="F41" s="60">
        <f t="shared" si="20"/>
        <v>235</v>
      </c>
      <c r="G41" s="60">
        <f t="shared" si="20"/>
        <v>235</v>
      </c>
      <c r="H41" s="60">
        <f t="shared" si="20"/>
        <v>235</v>
      </c>
      <c r="I41" s="60">
        <f t="shared" si="18"/>
        <v>1185</v>
      </c>
    </row>
    <row r="42" ht="15.75" customHeight="1">
      <c r="B42" s="51" t="s">
        <v>190</v>
      </c>
      <c r="C42" s="51"/>
      <c r="D42" s="60">
        <f t="shared" ref="D42:H42" si="21">D41+D39</f>
        <v>282</v>
      </c>
      <c r="E42" s="60">
        <f t="shared" si="21"/>
        <v>294</v>
      </c>
      <c r="F42" s="60">
        <f t="shared" si="21"/>
        <v>282</v>
      </c>
      <c r="G42" s="60">
        <f t="shared" si="21"/>
        <v>282</v>
      </c>
      <c r="H42" s="60">
        <f t="shared" si="21"/>
        <v>282</v>
      </c>
      <c r="I42" s="60">
        <f t="shared" si="18"/>
        <v>1422</v>
      </c>
    </row>
    <row r="43" ht="15.75" customHeight="1"/>
    <row r="44" ht="15.75" customHeight="1"/>
    <row r="45" ht="15.75" customHeight="1"/>
    <row r="46" ht="15.75" customHeight="1">
      <c r="B46" s="95"/>
      <c r="C46" s="96"/>
      <c r="D46" s="97" t="s">
        <v>191</v>
      </c>
      <c r="E46" s="97"/>
      <c r="F46" s="97"/>
      <c r="G46" s="97"/>
      <c r="H46" s="98"/>
    </row>
    <row r="47" ht="15.75" customHeight="1">
      <c r="B47" s="43"/>
      <c r="C47" s="51" t="s">
        <v>173</v>
      </c>
      <c r="D47" s="51" t="s">
        <v>174</v>
      </c>
      <c r="E47" s="51" t="s">
        <v>175</v>
      </c>
      <c r="F47" s="51" t="s">
        <v>176</v>
      </c>
      <c r="G47" s="51" t="s">
        <v>177</v>
      </c>
      <c r="H47" s="51" t="s">
        <v>55</v>
      </c>
    </row>
    <row r="48" ht="15.75" customHeight="1">
      <c r="B48" s="51" t="s">
        <v>186</v>
      </c>
      <c r="C48" s="60">
        <f t="shared" ref="C48:G48" si="22">D42+D36+D28+D19</f>
        <v>1254</v>
      </c>
      <c r="D48" s="60">
        <f t="shared" si="22"/>
        <v>1254</v>
      </c>
      <c r="E48" s="60">
        <f t="shared" si="22"/>
        <v>1252</v>
      </c>
      <c r="F48" s="60">
        <f t="shared" si="22"/>
        <v>1253</v>
      </c>
      <c r="G48" s="60">
        <f t="shared" si="22"/>
        <v>1323</v>
      </c>
      <c r="H48" s="60">
        <f>SUM(C48:G48)</f>
        <v>6336</v>
      </c>
    </row>
    <row r="49" ht="15.75" customHeight="1">
      <c r="B49" s="51" t="s">
        <v>188</v>
      </c>
      <c r="C49" s="60">
        <f t="shared" ref="C49:H49" si="23">D35+D40</f>
        <v>129</v>
      </c>
      <c r="D49" s="60">
        <f t="shared" si="23"/>
        <v>134</v>
      </c>
      <c r="E49" s="60">
        <f t="shared" si="23"/>
        <v>136</v>
      </c>
      <c r="F49" s="60">
        <f t="shared" si="23"/>
        <v>139</v>
      </c>
      <c r="G49" s="60">
        <f t="shared" si="23"/>
        <v>142</v>
      </c>
      <c r="H49" s="60">
        <f t="shared" si="23"/>
        <v>680</v>
      </c>
    </row>
    <row r="50" ht="15.75" customHeight="1">
      <c r="B50" s="51" t="s">
        <v>187</v>
      </c>
      <c r="C50" s="60">
        <f t="shared" ref="C50:H50" si="24">D23+D29</f>
        <v>488</v>
      </c>
      <c r="D50" s="60">
        <f t="shared" si="24"/>
        <v>499</v>
      </c>
      <c r="E50" s="60">
        <f t="shared" si="24"/>
        <v>521</v>
      </c>
      <c r="F50" s="60">
        <f t="shared" si="24"/>
        <v>481</v>
      </c>
      <c r="G50" s="60">
        <f t="shared" si="24"/>
        <v>466</v>
      </c>
      <c r="H50" s="60">
        <f t="shared" si="24"/>
        <v>2455</v>
      </c>
    </row>
    <row r="51" ht="15.75" customHeight="1">
      <c r="B51" s="51" t="s">
        <v>182</v>
      </c>
      <c r="C51" s="60">
        <f t="shared" ref="C51:H51" si="25">D18+D30+D25+D34</f>
        <v>2362</v>
      </c>
      <c r="D51" s="60">
        <f t="shared" si="25"/>
        <v>2428</v>
      </c>
      <c r="E51" s="60">
        <f t="shared" si="25"/>
        <v>2536</v>
      </c>
      <c r="F51" s="60">
        <f t="shared" si="25"/>
        <v>2366</v>
      </c>
      <c r="G51" s="60">
        <f t="shared" si="25"/>
        <v>2274</v>
      </c>
      <c r="H51" s="60">
        <f t="shared" si="25"/>
        <v>11966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6</v>
      </c>
      <c r="B1" s="7">
        <f>AVERAGE(B7:B26)</f>
        <v>145.25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7</v>
      </c>
      <c r="B2" s="7">
        <f>MEDIAN(B7:B26)</f>
        <v>145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8</v>
      </c>
      <c r="B3" s="7">
        <f>_xlfn.STDEV.P(B7:B26)</f>
        <v>8.88749121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0" t="s">
        <v>9</v>
      </c>
      <c r="B6" s="10" t="s">
        <v>10</v>
      </c>
      <c r="C6" s="11" t="s">
        <v>11</v>
      </c>
      <c r="D6" s="11" t="s">
        <v>12</v>
      </c>
      <c r="E6" s="11" t="s">
        <v>13</v>
      </c>
      <c r="F6" s="11" t="s">
        <v>14</v>
      </c>
      <c r="G6" s="11" t="s">
        <v>15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2">
        <v>1.0</v>
      </c>
      <c r="B7" s="12">
        <v>140.0</v>
      </c>
      <c r="C7" s="2" t="s">
        <v>16</v>
      </c>
      <c r="D7" s="7">
        <f t="shared" ref="D7:D26" si="1">B7+$B$1</f>
        <v>285.25</v>
      </c>
      <c r="E7" s="13">
        <f t="shared" ref="E7:E31" si="2">$B$3*SQRT(F7)</f>
        <v>8.88749121</v>
      </c>
      <c r="F7" s="12">
        <v>1.0</v>
      </c>
      <c r="G7" s="4">
        <f t="shared" ref="G7:G26" si="3">ABS(D7-B7)</f>
        <v>145.25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2">
        <v>2.0</v>
      </c>
      <c r="B8" s="12">
        <v>155.0</v>
      </c>
      <c r="C8" s="4">
        <f t="shared" ref="C8:C26" si="4">B8-B7</f>
        <v>15</v>
      </c>
      <c r="D8" s="7">
        <f t="shared" si="1"/>
        <v>300.25</v>
      </c>
      <c r="E8" s="13">
        <f t="shared" si="2"/>
        <v>12.5688106</v>
      </c>
      <c r="F8" s="12">
        <v>2.0</v>
      </c>
      <c r="G8" s="4">
        <f t="shared" si="3"/>
        <v>145.25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>
        <v>3.0</v>
      </c>
      <c r="B9" s="12">
        <v>145.0</v>
      </c>
      <c r="C9" s="4">
        <f t="shared" si="4"/>
        <v>-10</v>
      </c>
      <c r="D9" s="7">
        <f t="shared" si="1"/>
        <v>290.25</v>
      </c>
      <c r="E9" s="13">
        <f t="shared" si="2"/>
        <v>15.39358633</v>
      </c>
      <c r="F9" s="12">
        <v>3.0</v>
      </c>
      <c r="G9" s="4">
        <f t="shared" si="3"/>
        <v>145.25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2">
        <v>4.0</v>
      </c>
      <c r="B10" s="12">
        <v>152.0</v>
      </c>
      <c r="C10" s="4">
        <f t="shared" si="4"/>
        <v>7</v>
      </c>
      <c r="D10" s="7">
        <f t="shared" si="1"/>
        <v>297.25</v>
      </c>
      <c r="E10" s="13">
        <f t="shared" si="2"/>
        <v>17.77498242</v>
      </c>
      <c r="F10" s="12">
        <v>4.0</v>
      </c>
      <c r="G10" s="4">
        <f t="shared" si="3"/>
        <v>145.25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5.0</v>
      </c>
      <c r="B11" s="12">
        <v>155.0</v>
      </c>
      <c r="C11" s="4">
        <f t="shared" si="4"/>
        <v>3</v>
      </c>
      <c r="D11" s="7">
        <f t="shared" si="1"/>
        <v>300.25</v>
      </c>
      <c r="E11" s="13">
        <f t="shared" si="2"/>
        <v>19.87303449</v>
      </c>
      <c r="F11" s="12">
        <v>5.0</v>
      </c>
      <c r="G11" s="4">
        <f t="shared" si="3"/>
        <v>145.25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>
        <v>6.0</v>
      </c>
      <c r="B12" s="12">
        <v>145.0</v>
      </c>
      <c r="C12" s="4">
        <f t="shared" si="4"/>
        <v>-10</v>
      </c>
      <c r="D12" s="7">
        <f t="shared" si="1"/>
        <v>290.25</v>
      </c>
      <c r="E12" s="13">
        <f t="shared" si="2"/>
        <v>21.76981856</v>
      </c>
      <c r="F12" s="12">
        <v>6.0</v>
      </c>
      <c r="G12" s="4">
        <f t="shared" si="3"/>
        <v>145.25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2">
        <v>7.0</v>
      </c>
      <c r="B13" s="12">
        <v>147.0</v>
      </c>
      <c r="C13" s="4">
        <f t="shared" si="4"/>
        <v>2</v>
      </c>
      <c r="D13" s="7">
        <f t="shared" si="1"/>
        <v>292.25</v>
      </c>
      <c r="E13" s="13">
        <f t="shared" si="2"/>
        <v>23.51409152</v>
      </c>
      <c r="F13" s="12">
        <v>7.0</v>
      </c>
      <c r="G13" s="4">
        <f t="shared" si="3"/>
        <v>145.25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>
        <v>8.0</v>
      </c>
      <c r="B14" s="12">
        <v>135.0</v>
      </c>
      <c r="C14" s="4">
        <f t="shared" si="4"/>
        <v>-12</v>
      </c>
      <c r="D14" s="7">
        <f t="shared" si="1"/>
        <v>280.25</v>
      </c>
      <c r="E14" s="13">
        <f t="shared" si="2"/>
        <v>25.13762121</v>
      </c>
      <c r="F14" s="12">
        <v>8.0</v>
      </c>
      <c r="G14" s="4">
        <f t="shared" si="3"/>
        <v>145.25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>
        <v>9.0</v>
      </c>
      <c r="B15" s="12">
        <v>137.0</v>
      </c>
      <c r="C15" s="4">
        <f t="shared" si="4"/>
        <v>2</v>
      </c>
      <c r="D15" s="7">
        <f t="shared" si="1"/>
        <v>282.25</v>
      </c>
      <c r="E15" s="13">
        <f t="shared" si="2"/>
        <v>26.66247363</v>
      </c>
      <c r="F15" s="12">
        <v>9.0</v>
      </c>
      <c r="G15" s="4">
        <f t="shared" si="3"/>
        <v>145.25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2">
        <v>10.0</v>
      </c>
      <c r="B16" s="12">
        <v>140.0</v>
      </c>
      <c r="C16" s="4">
        <f t="shared" si="4"/>
        <v>3</v>
      </c>
      <c r="D16" s="7">
        <f t="shared" si="1"/>
        <v>285.25</v>
      </c>
      <c r="E16" s="13">
        <f t="shared" si="2"/>
        <v>28.10471491</v>
      </c>
      <c r="F16" s="12">
        <v>10.0</v>
      </c>
      <c r="G16" s="4">
        <f t="shared" si="3"/>
        <v>145.25</v>
      </c>
      <c r="H16" s="4">
        <f>AVERAGE(G7:G16)</f>
        <v>145.25</v>
      </c>
      <c r="I16" s="2" t="s">
        <v>15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2">
        <v>11.0</v>
      </c>
      <c r="B17" s="12">
        <v>120.0</v>
      </c>
      <c r="C17" s="4">
        <f t="shared" si="4"/>
        <v>-20</v>
      </c>
      <c r="D17" s="7">
        <f t="shared" si="1"/>
        <v>265.25</v>
      </c>
      <c r="E17" s="13">
        <f t="shared" si="2"/>
        <v>29.47647367</v>
      </c>
      <c r="F17" s="12">
        <v>11.0</v>
      </c>
      <c r="G17" s="4">
        <f t="shared" si="3"/>
        <v>145.25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2">
        <v>12.0</v>
      </c>
      <c r="B18" s="12">
        <v>150.0</v>
      </c>
      <c r="C18" s="4">
        <f t="shared" si="4"/>
        <v>30</v>
      </c>
      <c r="D18" s="7">
        <f t="shared" si="1"/>
        <v>295.25</v>
      </c>
      <c r="E18" s="13">
        <f t="shared" si="2"/>
        <v>30.78717265</v>
      </c>
      <c r="F18" s="12">
        <v>12.0</v>
      </c>
      <c r="G18" s="4">
        <f t="shared" si="3"/>
        <v>145.25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2">
        <v>13.0</v>
      </c>
      <c r="B19" s="12">
        <v>161.0</v>
      </c>
      <c r="C19" s="4">
        <f t="shared" si="4"/>
        <v>11</v>
      </c>
      <c r="D19" s="7">
        <f t="shared" si="1"/>
        <v>306.25</v>
      </c>
      <c r="E19" s="13">
        <f t="shared" si="2"/>
        <v>32.04430527</v>
      </c>
      <c r="F19" s="12">
        <v>13.0</v>
      </c>
      <c r="G19" s="4">
        <f t="shared" si="3"/>
        <v>145.25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>
        <v>14.0</v>
      </c>
      <c r="B20" s="12">
        <v>143.0</v>
      </c>
      <c r="C20" s="4">
        <f t="shared" si="4"/>
        <v>-18</v>
      </c>
      <c r="D20" s="7">
        <f t="shared" si="1"/>
        <v>288.25</v>
      </c>
      <c r="E20" s="13">
        <f t="shared" si="2"/>
        <v>33.25394713</v>
      </c>
      <c r="F20" s="12">
        <v>14.0</v>
      </c>
      <c r="G20" s="4">
        <f t="shared" si="3"/>
        <v>145.25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2">
        <v>15.0</v>
      </c>
      <c r="B21" s="12">
        <v>149.0</v>
      </c>
      <c r="C21" s="4">
        <f t="shared" si="4"/>
        <v>6</v>
      </c>
      <c r="D21" s="7">
        <f t="shared" si="1"/>
        <v>294.25</v>
      </c>
      <c r="E21" s="13">
        <f t="shared" si="2"/>
        <v>34.42110544</v>
      </c>
      <c r="F21" s="12">
        <v>15.0</v>
      </c>
      <c r="G21" s="4">
        <f t="shared" si="3"/>
        <v>145.25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2">
        <v>16.0</v>
      </c>
      <c r="B22" s="12">
        <v>140.0</v>
      </c>
      <c r="C22" s="4">
        <f t="shared" si="4"/>
        <v>-9</v>
      </c>
      <c r="D22" s="7">
        <f t="shared" si="1"/>
        <v>285.25</v>
      </c>
      <c r="E22" s="13">
        <f t="shared" si="2"/>
        <v>35.54996484</v>
      </c>
      <c r="F22" s="12">
        <v>16.0</v>
      </c>
      <c r="G22" s="4">
        <f t="shared" si="3"/>
        <v>145.25</v>
      </c>
      <c r="H22" s="2"/>
      <c r="I22" s="2"/>
      <c r="J22" s="2"/>
      <c r="K22" s="2"/>
      <c r="L22" s="2"/>
      <c r="M22" s="4">
        <v>289.25</v>
      </c>
      <c r="N22" s="4">
        <v>289.25</v>
      </c>
      <c r="O22" s="4">
        <v>434.5</v>
      </c>
      <c r="P22" s="4">
        <v>579.75</v>
      </c>
      <c r="Q22" s="4">
        <v>725.0</v>
      </c>
      <c r="R22" s="4">
        <v>870.25</v>
      </c>
      <c r="S22" s="2"/>
      <c r="T22" s="2"/>
      <c r="U22" s="2"/>
      <c r="V22" s="2"/>
      <c r="W22" s="2"/>
      <c r="X22" s="2"/>
      <c r="Y22" s="2"/>
      <c r="Z22" s="2"/>
    </row>
    <row r="23">
      <c r="A23" s="12">
        <v>17.0</v>
      </c>
      <c r="B23" s="12">
        <v>142.0</v>
      </c>
      <c r="C23" s="4">
        <f t="shared" si="4"/>
        <v>2</v>
      </c>
      <c r="D23" s="7">
        <f t="shared" si="1"/>
        <v>287.25</v>
      </c>
      <c r="E23" s="13">
        <f t="shared" si="2"/>
        <v>36.644065</v>
      </c>
      <c r="F23" s="12">
        <v>17.0</v>
      </c>
      <c r="G23" s="4">
        <f t="shared" si="3"/>
        <v>145.25</v>
      </c>
      <c r="H23" s="2"/>
      <c r="I23" s="2"/>
      <c r="J23" s="2"/>
      <c r="K23" s="2"/>
      <c r="L23" s="2"/>
      <c r="M23" s="4">
        <v>434.5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2">
        <v>18.0</v>
      </c>
      <c r="B24" s="12">
        <v>157.0</v>
      </c>
      <c r="C24" s="4">
        <f t="shared" si="4"/>
        <v>15</v>
      </c>
      <c r="D24" s="7">
        <f t="shared" si="1"/>
        <v>302.25</v>
      </c>
      <c r="E24" s="13">
        <f t="shared" si="2"/>
        <v>37.70643181</v>
      </c>
      <c r="F24" s="12">
        <v>18.0</v>
      </c>
      <c r="G24" s="4">
        <f t="shared" si="3"/>
        <v>145.25</v>
      </c>
      <c r="H24" s="2"/>
      <c r="I24" s="2"/>
      <c r="J24" s="2"/>
      <c r="K24" s="2"/>
      <c r="L24" s="2"/>
      <c r="M24" s="4">
        <v>579.75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2">
        <v>19.0</v>
      </c>
      <c r="B25" s="12">
        <v>148.0</v>
      </c>
      <c r="C25" s="4">
        <f t="shared" si="4"/>
        <v>-9</v>
      </c>
      <c r="D25" s="7">
        <f t="shared" si="1"/>
        <v>293.25</v>
      </c>
      <c r="E25" s="13">
        <f t="shared" si="2"/>
        <v>38.73967604</v>
      </c>
      <c r="F25" s="12">
        <v>19.0</v>
      </c>
      <c r="G25" s="4">
        <f t="shared" si="3"/>
        <v>145.25</v>
      </c>
      <c r="H25" s="2"/>
      <c r="I25" s="2"/>
      <c r="J25" s="2"/>
      <c r="K25" s="2"/>
      <c r="L25" s="2"/>
      <c r="M25" s="4">
        <v>725.0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4">
        <v>20.0</v>
      </c>
      <c r="B26" s="14">
        <v>144.0</v>
      </c>
      <c r="C26" s="3">
        <f t="shared" si="4"/>
        <v>-4</v>
      </c>
      <c r="D26" s="8">
        <f t="shared" si="1"/>
        <v>289.25</v>
      </c>
      <c r="E26" s="13">
        <f t="shared" si="2"/>
        <v>39.74606899</v>
      </c>
      <c r="F26" s="14">
        <v>20.0</v>
      </c>
      <c r="G26" s="3">
        <f t="shared" si="3"/>
        <v>145.25</v>
      </c>
      <c r="H26" s="3">
        <f>AVERAGE(G17:G26)</f>
        <v>145.25</v>
      </c>
      <c r="I26" s="1" t="s">
        <v>15</v>
      </c>
      <c r="J26" s="2"/>
      <c r="K26" s="2"/>
      <c r="L26" s="2"/>
      <c r="M26" s="4">
        <v>870.25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5">
        <v>21.0</v>
      </c>
      <c r="B27" s="2"/>
      <c r="C27" s="1"/>
      <c r="D27" s="16">
        <f>B26+$B$1</f>
        <v>289.25</v>
      </c>
      <c r="E27" s="13">
        <f t="shared" si="2"/>
        <v>8.88749121</v>
      </c>
      <c r="F27" s="12">
        <v>1.0</v>
      </c>
      <c r="G27" s="17">
        <f>AVERAGE(G7:G26)</f>
        <v>145.25</v>
      </c>
      <c r="H27" s="18" t="s">
        <v>15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5">
        <v>22.0</v>
      </c>
      <c r="B28" s="2"/>
      <c r="C28" s="1"/>
      <c r="D28" s="16">
        <f t="shared" ref="D28:D31" si="5">D27+$B$1</f>
        <v>434.5</v>
      </c>
      <c r="E28" s="13">
        <f t="shared" si="2"/>
        <v>12.5688106</v>
      </c>
      <c r="F28" s="12">
        <v>2.0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5">
        <v>23.0</v>
      </c>
      <c r="B29" s="2"/>
      <c r="C29" s="1"/>
      <c r="D29" s="16">
        <f t="shared" si="5"/>
        <v>579.75</v>
      </c>
      <c r="E29" s="13">
        <f t="shared" si="2"/>
        <v>15.39358633</v>
      </c>
      <c r="F29" s="12">
        <v>3.0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5">
        <v>24.0</v>
      </c>
      <c r="B30" s="2"/>
      <c r="C30" s="1"/>
      <c r="D30" s="16">
        <f t="shared" si="5"/>
        <v>725</v>
      </c>
      <c r="E30" s="13">
        <f t="shared" si="2"/>
        <v>17.77498242</v>
      </c>
      <c r="F30" s="12">
        <v>4.0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5">
        <v>25.0</v>
      </c>
      <c r="B31" s="2"/>
      <c r="C31" s="1"/>
      <c r="D31" s="16">
        <f t="shared" si="5"/>
        <v>870.25</v>
      </c>
      <c r="E31" s="13">
        <f t="shared" si="2"/>
        <v>19.87303449</v>
      </c>
      <c r="F31" s="12">
        <v>5.0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 t="s">
        <v>0</v>
      </c>
      <c r="B33" s="4">
        <f>AVERAGE(G6:G15)</f>
        <v>145.25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 t="s">
        <v>17</v>
      </c>
      <c r="B34" s="4">
        <f>AVERAGE(G16:G25)</f>
        <v>145.25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19"/>
      <c r="F35" s="19"/>
      <c r="G35" s="19"/>
      <c r="H35" s="19"/>
      <c r="I35" s="1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25"/>
    <col customWidth="1" min="2" max="5" width="7.63"/>
    <col customWidth="1" min="6" max="6" width="8.0"/>
    <col customWidth="1" min="7" max="26" width="7.63"/>
  </cols>
  <sheetData>
    <row r="1">
      <c r="A1" s="65" t="s">
        <v>192</v>
      </c>
      <c r="B1" s="62"/>
      <c r="C1" s="62"/>
      <c r="D1" s="62"/>
      <c r="E1" s="62"/>
      <c r="F1" s="62"/>
      <c r="G1" s="63"/>
    </row>
    <row r="2">
      <c r="A2" s="93" t="s">
        <v>37</v>
      </c>
      <c r="B2" s="51">
        <v>20.0</v>
      </c>
      <c r="C2" s="51">
        <v>21.0</v>
      </c>
      <c r="D2" s="51">
        <v>22.0</v>
      </c>
      <c r="E2" s="51">
        <v>23.0</v>
      </c>
      <c r="F2" s="51">
        <v>24.0</v>
      </c>
      <c r="G2" s="51">
        <v>25.0</v>
      </c>
    </row>
    <row r="3">
      <c r="A3" s="51" t="s">
        <v>193</v>
      </c>
      <c r="B3" s="99"/>
      <c r="C3" s="99">
        <v>1254.0</v>
      </c>
      <c r="D3" s="99">
        <v>1254.0</v>
      </c>
      <c r="E3" s="99">
        <v>1252.0</v>
      </c>
      <c r="F3" s="99">
        <v>1253.0</v>
      </c>
      <c r="G3" s="99">
        <v>1323.0</v>
      </c>
    </row>
    <row r="4">
      <c r="A4" s="51" t="s">
        <v>194</v>
      </c>
      <c r="B4" s="60"/>
      <c r="C4" s="60">
        <v>0.0</v>
      </c>
      <c r="D4" s="60">
        <v>0.0</v>
      </c>
      <c r="E4" s="60">
        <v>0.0</v>
      </c>
      <c r="F4" s="60">
        <v>0.0</v>
      </c>
      <c r="G4" s="60">
        <v>0.0</v>
      </c>
    </row>
    <row r="5">
      <c r="A5" s="51" t="s">
        <v>195</v>
      </c>
      <c r="B5" s="60"/>
      <c r="C5" s="60">
        <f>B8+450-C3</f>
        <v>196</v>
      </c>
      <c r="D5" s="60">
        <f t="shared" ref="D5:F5" si="1">D7-D6+C5</f>
        <v>942</v>
      </c>
      <c r="E5" s="60">
        <f t="shared" si="1"/>
        <v>690</v>
      </c>
      <c r="F5" s="60">
        <f t="shared" si="1"/>
        <v>437</v>
      </c>
      <c r="G5" s="60">
        <v>117.0</v>
      </c>
    </row>
    <row r="6">
      <c r="A6" s="51" t="s">
        <v>196</v>
      </c>
      <c r="B6" s="60"/>
      <c r="C6" s="60">
        <v>0.0</v>
      </c>
      <c r="D6" s="99">
        <v>1254.0</v>
      </c>
      <c r="E6" s="99">
        <v>1252.0</v>
      </c>
      <c r="F6" s="99">
        <v>1253.0</v>
      </c>
      <c r="G6" s="99">
        <v>1323.0</v>
      </c>
    </row>
    <row r="7">
      <c r="A7" s="51" t="s">
        <v>197</v>
      </c>
      <c r="B7" s="60"/>
      <c r="C7" s="99">
        <v>1000.0</v>
      </c>
      <c r="D7" s="99">
        <v>2000.0</v>
      </c>
      <c r="E7" s="99">
        <v>1000.0</v>
      </c>
      <c r="F7" s="99">
        <v>1000.0</v>
      </c>
      <c r="G7" s="99">
        <v>1000.0</v>
      </c>
    </row>
    <row r="8">
      <c r="A8" s="51" t="s">
        <v>198</v>
      </c>
      <c r="B8" s="99">
        <f t="shared" ref="B8:F8" si="2">C7</f>
        <v>1000</v>
      </c>
      <c r="C8" s="99">
        <f t="shared" si="2"/>
        <v>2000</v>
      </c>
      <c r="D8" s="99">
        <f t="shared" si="2"/>
        <v>1000</v>
      </c>
      <c r="E8" s="99">
        <f t="shared" si="2"/>
        <v>1000</v>
      </c>
      <c r="F8" s="99">
        <f t="shared" si="2"/>
        <v>1000</v>
      </c>
      <c r="G8" s="60"/>
    </row>
    <row r="9">
      <c r="A9" s="60" t="s">
        <v>199</v>
      </c>
      <c r="B9" s="100"/>
      <c r="C9" s="101"/>
      <c r="D9" s="101"/>
      <c r="E9" s="101"/>
      <c r="F9" s="101"/>
      <c r="G9" s="102"/>
    </row>
    <row r="10">
      <c r="A10" s="60" t="s">
        <v>200</v>
      </c>
      <c r="B10" s="103"/>
      <c r="G10" s="104"/>
    </row>
    <row r="11">
      <c r="A11" s="60" t="s">
        <v>201</v>
      </c>
      <c r="B11" s="105"/>
      <c r="C11" s="50"/>
      <c r="D11" s="50"/>
      <c r="E11" s="50"/>
      <c r="F11" s="50"/>
      <c r="G11" s="106"/>
    </row>
    <row r="12">
      <c r="A12" s="107"/>
      <c r="B12" s="62"/>
      <c r="C12" s="62"/>
      <c r="D12" s="62"/>
      <c r="E12" s="62"/>
      <c r="F12" s="62"/>
      <c r="G12" s="63"/>
    </row>
    <row r="13">
      <c r="A13" s="65" t="s">
        <v>202</v>
      </c>
      <c r="B13" s="62"/>
      <c r="C13" s="62"/>
      <c r="D13" s="62"/>
      <c r="E13" s="62"/>
      <c r="F13" s="62"/>
      <c r="G13" s="63"/>
    </row>
    <row r="14">
      <c r="A14" s="51" t="s">
        <v>203</v>
      </c>
      <c r="B14" s="93">
        <v>20.0</v>
      </c>
      <c r="C14" s="51">
        <v>21.0</v>
      </c>
      <c r="D14" s="51">
        <v>22.0</v>
      </c>
      <c r="E14" s="51">
        <v>23.0</v>
      </c>
      <c r="F14" s="51">
        <v>24.0</v>
      </c>
      <c r="G14" s="51">
        <v>25.0</v>
      </c>
    </row>
    <row r="15">
      <c r="A15" s="51" t="s">
        <v>193</v>
      </c>
      <c r="B15" s="60"/>
      <c r="C15" s="60">
        <v>129.0</v>
      </c>
      <c r="D15" s="60">
        <v>134.0</v>
      </c>
      <c r="E15" s="60">
        <v>136.0</v>
      </c>
      <c r="F15" s="60">
        <v>139.0</v>
      </c>
      <c r="G15" s="60">
        <v>142.0</v>
      </c>
    </row>
    <row r="16">
      <c r="A16" s="51" t="s">
        <v>194</v>
      </c>
      <c r="B16" s="60"/>
      <c r="C16" s="60">
        <v>0.0</v>
      </c>
      <c r="D16" s="60">
        <v>0.0</v>
      </c>
      <c r="E16" s="60">
        <v>0.0</v>
      </c>
      <c r="F16" s="60">
        <v>0.0</v>
      </c>
      <c r="G16" s="60">
        <v>0.0</v>
      </c>
    </row>
    <row r="17">
      <c r="A17" s="51" t="s">
        <v>204</v>
      </c>
      <c r="B17" s="60"/>
      <c r="C17" s="60">
        <f>B21-C15</f>
        <v>21</v>
      </c>
      <c r="D17" s="60">
        <f t="shared" ref="D17:E17" si="3">D19+C17-D15</f>
        <v>87</v>
      </c>
      <c r="E17" s="60">
        <f t="shared" si="3"/>
        <v>151</v>
      </c>
      <c r="F17" s="60">
        <f>E17-F15</f>
        <v>12</v>
      </c>
      <c r="G17" s="60">
        <f>G19+F17-G15</f>
        <v>70</v>
      </c>
    </row>
    <row r="18">
      <c r="A18" s="51" t="s">
        <v>196</v>
      </c>
      <c r="B18" s="60"/>
      <c r="C18" s="60">
        <v>0.0</v>
      </c>
      <c r="D18" s="60">
        <v>134.0</v>
      </c>
      <c r="E18" s="60">
        <v>136.0</v>
      </c>
      <c r="F18" s="60">
        <v>139.0</v>
      </c>
      <c r="G18" s="60">
        <v>142.0</v>
      </c>
    </row>
    <row r="19">
      <c r="A19" s="51" t="s">
        <v>197</v>
      </c>
      <c r="B19" s="60"/>
      <c r="C19" s="60">
        <v>0.0</v>
      </c>
      <c r="D19" s="60">
        <f>B22</f>
        <v>200</v>
      </c>
      <c r="E19" s="60">
        <v>200.0</v>
      </c>
      <c r="F19" s="60">
        <v>0.0</v>
      </c>
      <c r="G19" s="60">
        <v>200.0</v>
      </c>
    </row>
    <row r="20">
      <c r="A20" s="51" t="s">
        <v>198</v>
      </c>
      <c r="B20" s="60"/>
      <c r="C20" s="60">
        <v>0.0</v>
      </c>
      <c r="D20" s="99">
        <f>D19</f>
        <v>200</v>
      </c>
      <c r="E20" s="99">
        <v>200.0</v>
      </c>
      <c r="F20" s="60">
        <v>0.0</v>
      </c>
      <c r="G20" s="99">
        <v>200.0</v>
      </c>
    </row>
    <row r="21" ht="15.75" customHeight="1">
      <c r="A21" s="60" t="s">
        <v>205</v>
      </c>
      <c r="B21" s="60">
        <v>150.0</v>
      </c>
      <c r="C21" s="100"/>
      <c r="D21" s="101"/>
      <c r="E21" s="101"/>
      <c r="F21" s="101"/>
      <c r="G21" s="102"/>
    </row>
    <row r="22" ht="15.75" customHeight="1">
      <c r="A22" s="60" t="s">
        <v>206</v>
      </c>
      <c r="B22" s="108">
        <v>200.0</v>
      </c>
      <c r="C22" s="103"/>
      <c r="G22" s="104"/>
    </row>
    <row r="23" ht="15.75" customHeight="1">
      <c r="A23" s="60" t="s">
        <v>207</v>
      </c>
      <c r="B23" s="60"/>
      <c r="C23" s="103"/>
      <c r="G23" s="104"/>
    </row>
    <row r="24" ht="15.75" customHeight="1">
      <c r="A24" s="60" t="s">
        <v>208</v>
      </c>
      <c r="B24" s="60"/>
      <c r="C24" s="105"/>
      <c r="D24" s="50"/>
      <c r="E24" s="50"/>
      <c r="F24" s="50"/>
      <c r="G24" s="106"/>
    </row>
    <row r="25" ht="15.75" customHeight="1">
      <c r="A25" s="107"/>
      <c r="B25" s="62"/>
      <c r="C25" s="62"/>
      <c r="D25" s="62"/>
      <c r="E25" s="62"/>
      <c r="F25" s="62"/>
      <c r="G25" s="63"/>
    </row>
    <row r="26" ht="15.75" customHeight="1">
      <c r="A26" s="65" t="s">
        <v>209</v>
      </c>
      <c r="B26" s="62"/>
      <c r="C26" s="62"/>
      <c r="D26" s="62"/>
      <c r="E26" s="62"/>
      <c r="F26" s="62"/>
      <c r="G26" s="63"/>
    </row>
    <row r="27" ht="15.75" customHeight="1">
      <c r="A27" s="51" t="s">
        <v>37</v>
      </c>
      <c r="B27" s="93">
        <v>20.0</v>
      </c>
      <c r="C27" s="51">
        <v>21.0</v>
      </c>
      <c r="D27" s="51">
        <v>22.0</v>
      </c>
      <c r="E27" s="51">
        <v>23.0</v>
      </c>
      <c r="F27" s="51">
        <v>24.0</v>
      </c>
      <c r="G27" s="51">
        <v>25.0</v>
      </c>
    </row>
    <row r="28" ht="15.75" customHeight="1">
      <c r="A28" s="51" t="s">
        <v>193</v>
      </c>
      <c r="B28" s="99"/>
      <c r="C28" s="99">
        <v>488.0</v>
      </c>
      <c r="D28" s="99">
        <v>499.0</v>
      </c>
      <c r="E28" s="99">
        <v>521.0</v>
      </c>
      <c r="F28" s="99">
        <v>481.0</v>
      </c>
      <c r="G28" s="99">
        <v>466.0</v>
      </c>
    </row>
    <row r="29" ht="15.75" customHeight="1">
      <c r="A29" s="51" t="s">
        <v>194</v>
      </c>
      <c r="B29" s="60">
        <v>0.0</v>
      </c>
      <c r="C29" s="60">
        <v>0.0</v>
      </c>
      <c r="D29" s="60">
        <v>0.0</v>
      </c>
      <c r="E29" s="60">
        <v>0.0</v>
      </c>
      <c r="F29" s="60">
        <v>0.0</v>
      </c>
      <c r="G29" s="60">
        <v>0.0</v>
      </c>
    </row>
    <row r="30" ht="15.75" customHeight="1">
      <c r="A30" s="51" t="s">
        <v>210</v>
      </c>
      <c r="B30" s="60">
        <v>200.0</v>
      </c>
      <c r="C30" s="60">
        <f>B30+C32-C28</f>
        <v>524</v>
      </c>
      <c r="D30" s="99">
        <f>C30-D28</f>
        <v>25</v>
      </c>
      <c r="E30" s="60">
        <f>E32+D30-E28</f>
        <v>506</v>
      </c>
      <c r="F30" s="99">
        <f t="shared" ref="F30:G30" si="4">E30+F32-F28</f>
        <v>25</v>
      </c>
      <c r="G30" s="60">
        <f t="shared" si="4"/>
        <v>25</v>
      </c>
    </row>
    <row r="31" ht="15.75" customHeight="1">
      <c r="A31" s="51" t="s">
        <v>196</v>
      </c>
      <c r="B31" s="60"/>
      <c r="C31" s="60">
        <f>C28-B30+25</f>
        <v>313</v>
      </c>
      <c r="D31" s="99">
        <f t="shared" ref="D31:G31" si="5">D28</f>
        <v>499</v>
      </c>
      <c r="E31" s="99">
        <f t="shared" si="5"/>
        <v>521</v>
      </c>
      <c r="F31" s="99">
        <f t="shared" si="5"/>
        <v>481</v>
      </c>
      <c r="G31" s="99">
        <f t="shared" si="5"/>
        <v>466</v>
      </c>
    </row>
    <row r="32" ht="15.75" customHeight="1">
      <c r="A32" s="51" t="s">
        <v>197</v>
      </c>
      <c r="B32" s="60"/>
      <c r="C32" s="60">
        <f>C31+D31</f>
        <v>812</v>
      </c>
      <c r="D32" s="60"/>
      <c r="E32" s="60">
        <f>E31+F31</f>
        <v>1002</v>
      </c>
      <c r="F32" s="60"/>
      <c r="G32" s="99">
        <f>G31</f>
        <v>466</v>
      </c>
    </row>
    <row r="33" ht="15.75" customHeight="1">
      <c r="A33" s="51" t="s">
        <v>198</v>
      </c>
      <c r="B33" s="99">
        <f>C32</f>
        <v>812</v>
      </c>
      <c r="C33" s="99"/>
      <c r="D33" s="99">
        <f>E32</f>
        <v>1002</v>
      </c>
      <c r="E33" s="60"/>
      <c r="F33" s="99">
        <f>G32</f>
        <v>466</v>
      </c>
      <c r="G33" s="60"/>
    </row>
    <row r="34" ht="15.75" customHeight="1">
      <c r="A34" s="60" t="s">
        <v>211</v>
      </c>
      <c r="B34" s="100"/>
      <c r="C34" s="101"/>
      <c r="D34" s="101"/>
      <c r="E34" s="101"/>
      <c r="F34" s="101"/>
      <c r="G34" s="102"/>
    </row>
    <row r="35" ht="15.75" customHeight="1">
      <c r="A35" s="60" t="s">
        <v>212</v>
      </c>
      <c r="B35" s="103"/>
      <c r="G35" s="104"/>
    </row>
    <row r="36" ht="15.75" customHeight="1">
      <c r="A36" s="60" t="s">
        <v>213</v>
      </c>
      <c r="B36" s="105"/>
      <c r="C36" s="50"/>
      <c r="D36" s="50"/>
      <c r="E36" s="50"/>
      <c r="F36" s="50"/>
      <c r="G36" s="106"/>
    </row>
    <row r="37" ht="15.75" customHeight="1">
      <c r="A37" s="107"/>
      <c r="B37" s="62"/>
      <c r="C37" s="62"/>
      <c r="D37" s="62"/>
      <c r="E37" s="62"/>
      <c r="F37" s="62"/>
      <c r="G37" s="63"/>
    </row>
    <row r="38" ht="15.75" customHeight="1">
      <c r="A38" s="92" t="s">
        <v>214</v>
      </c>
      <c r="B38" s="62"/>
      <c r="C38" s="62"/>
      <c r="D38" s="62"/>
      <c r="E38" s="62"/>
      <c r="F38" s="62"/>
      <c r="G38" s="63"/>
    </row>
    <row r="39" ht="15.75" customHeight="1">
      <c r="A39" s="93" t="s">
        <v>37</v>
      </c>
      <c r="B39" s="93">
        <v>20.0</v>
      </c>
      <c r="C39" s="93">
        <v>21.0</v>
      </c>
      <c r="D39" s="93">
        <v>22.0</v>
      </c>
      <c r="E39" s="93">
        <v>23.0</v>
      </c>
      <c r="F39" s="93">
        <v>24.0</v>
      </c>
      <c r="G39" s="93">
        <v>25.0</v>
      </c>
    </row>
    <row r="40" ht="15.75" customHeight="1">
      <c r="A40" s="93" t="s">
        <v>193</v>
      </c>
      <c r="B40" s="99"/>
      <c r="C40" s="99">
        <v>2362.0</v>
      </c>
      <c r="D40" s="99">
        <v>2428.0</v>
      </c>
      <c r="E40" s="99">
        <v>2536.0</v>
      </c>
      <c r="F40" s="99">
        <v>2366.0</v>
      </c>
      <c r="G40" s="99">
        <v>2274.0</v>
      </c>
    </row>
    <row r="41" ht="15.75" customHeight="1">
      <c r="A41" s="93" t="s">
        <v>194</v>
      </c>
      <c r="B41" s="99"/>
      <c r="C41" s="99"/>
      <c r="D41" s="99"/>
      <c r="E41" s="99"/>
      <c r="F41" s="99"/>
      <c r="G41" s="99"/>
    </row>
    <row r="42" ht="15.75" customHeight="1">
      <c r="A42" s="93" t="s">
        <v>215</v>
      </c>
      <c r="B42" s="99">
        <v>650.0</v>
      </c>
      <c r="C42" s="99">
        <v>50.0</v>
      </c>
      <c r="D42" s="99">
        <v>50.0</v>
      </c>
      <c r="E42" s="99">
        <v>50.0</v>
      </c>
      <c r="F42" s="99">
        <v>50.0</v>
      </c>
      <c r="G42" s="99">
        <v>50.0</v>
      </c>
    </row>
    <row r="43" ht="15.75" customHeight="1">
      <c r="A43" s="93" t="s">
        <v>216</v>
      </c>
      <c r="B43" s="99"/>
      <c r="C43" s="99">
        <v>650.0</v>
      </c>
      <c r="D43" s="99"/>
      <c r="E43" s="99"/>
      <c r="F43" s="99"/>
      <c r="G43" s="99"/>
    </row>
    <row r="44" ht="15.75" customHeight="1">
      <c r="A44" s="93" t="s">
        <v>196</v>
      </c>
      <c r="B44" s="99"/>
      <c r="C44" s="99">
        <v>1762.0</v>
      </c>
      <c r="D44" s="99"/>
      <c r="E44" s="99"/>
      <c r="F44" s="99"/>
      <c r="G44" s="99"/>
    </row>
    <row r="45" ht="15.75" customHeight="1">
      <c r="A45" s="93" t="s">
        <v>197</v>
      </c>
      <c r="B45" s="99"/>
      <c r="C45" s="99">
        <v>1762.0</v>
      </c>
      <c r="D45" s="99"/>
      <c r="E45" s="99"/>
      <c r="F45" s="99"/>
      <c r="G45" s="99"/>
    </row>
    <row r="46" ht="15.75" customHeight="1">
      <c r="A46" s="93" t="s">
        <v>198</v>
      </c>
      <c r="B46" s="99">
        <v>1762.0</v>
      </c>
      <c r="C46" s="99">
        <v>2428.0</v>
      </c>
      <c r="D46" s="99">
        <v>2536.0</v>
      </c>
      <c r="E46" s="99">
        <v>2366.0</v>
      </c>
      <c r="F46" s="99">
        <v>2274.0</v>
      </c>
      <c r="G46" s="99"/>
    </row>
    <row r="47" ht="15.75" customHeight="1">
      <c r="A47" s="99" t="s">
        <v>217</v>
      </c>
      <c r="B47" s="109"/>
      <c r="C47" s="101"/>
      <c r="D47" s="101"/>
      <c r="E47" s="101"/>
      <c r="F47" s="101"/>
      <c r="G47" s="102"/>
    </row>
    <row r="48" ht="15.75" customHeight="1">
      <c r="A48" s="99" t="s">
        <v>212</v>
      </c>
      <c r="B48" s="103"/>
      <c r="G48" s="104"/>
    </row>
    <row r="49" ht="15.75" customHeight="1">
      <c r="A49" s="99" t="s">
        <v>218</v>
      </c>
      <c r="B49" s="105"/>
      <c r="C49" s="50"/>
      <c r="D49" s="50"/>
      <c r="E49" s="50"/>
      <c r="F49" s="50"/>
      <c r="G49" s="106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34:G36"/>
    <mergeCell ref="A37:G37"/>
    <mergeCell ref="A38:G38"/>
    <mergeCell ref="B47:G49"/>
    <mergeCell ref="A1:G1"/>
    <mergeCell ref="B9:G11"/>
    <mergeCell ref="A12:G12"/>
    <mergeCell ref="A13:G13"/>
    <mergeCell ref="C21:G24"/>
    <mergeCell ref="A25:G25"/>
    <mergeCell ref="A26:G26"/>
  </mergeCells>
  <printOptions/>
  <pageMargins bottom="0.75" footer="0.0" header="0.0" left="0.7" right="0.7" top="0.75"/>
  <pageSetup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63"/>
    <col customWidth="1" min="2" max="12" width="7.63"/>
    <col customWidth="1" min="13" max="13" width="24.25"/>
    <col customWidth="1" min="14" max="16" width="11.75"/>
    <col customWidth="1" min="17" max="26" width="7.63"/>
  </cols>
  <sheetData>
    <row r="1">
      <c r="A1" s="61" t="s">
        <v>219</v>
      </c>
      <c r="B1" s="62"/>
      <c r="C1" s="62"/>
      <c r="D1" s="62"/>
      <c r="E1" s="62"/>
      <c r="F1" s="63"/>
      <c r="M1" s="38" t="s">
        <v>220</v>
      </c>
      <c r="S1" s="38" t="s">
        <v>221</v>
      </c>
    </row>
    <row r="2">
      <c r="A2" s="36" t="s">
        <v>37</v>
      </c>
      <c r="B2" s="36">
        <v>21.0</v>
      </c>
      <c r="C2" s="36">
        <v>22.0</v>
      </c>
      <c r="D2" s="36">
        <v>23.0</v>
      </c>
      <c r="E2" s="36">
        <v>24.0</v>
      </c>
      <c r="F2" s="36">
        <v>25.0</v>
      </c>
      <c r="M2" s="38" t="s">
        <v>222</v>
      </c>
      <c r="N2" s="38" t="s">
        <v>223</v>
      </c>
      <c r="O2" s="38" t="s">
        <v>202</v>
      </c>
      <c r="P2" s="38" t="s">
        <v>209</v>
      </c>
      <c r="Q2" s="38" t="s">
        <v>214</v>
      </c>
      <c r="S2" s="38" t="s">
        <v>222</v>
      </c>
      <c r="T2" s="38" t="s">
        <v>223</v>
      </c>
      <c r="U2" s="38" t="s">
        <v>202</v>
      </c>
      <c r="V2" s="38" t="s">
        <v>209</v>
      </c>
      <c r="W2" s="38" t="s">
        <v>214</v>
      </c>
    </row>
    <row r="3">
      <c r="A3" s="36" t="s">
        <v>224</v>
      </c>
      <c r="B3" s="36">
        <v>0.0</v>
      </c>
      <c r="C3" s="36">
        <v>200.0</v>
      </c>
      <c r="D3" s="36">
        <v>200.0</v>
      </c>
      <c r="E3" s="36">
        <v>0.0</v>
      </c>
      <c r="F3" s="36">
        <v>200.0</v>
      </c>
      <c r="M3" s="38">
        <v>1.0</v>
      </c>
      <c r="N3" s="38">
        <v>20.0</v>
      </c>
      <c r="O3" s="38">
        <v>19.0</v>
      </c>
      <c r="P3" s="38">
        <v>13.0</v>
      </c>
      <c r="Q3" s="38">
        <v>0.0</v>
      </c>
      <c r="S3" s="38">
        <v>1.0</v>
      </c>
      <c r="T3" s="38">
        <v>200.0</v>
      </c>
      <c r="U3" s="38">
        <v>190.0</v>
      </c>
      <c r="V3" s="38">
        <v>80.0</v>
      </c>
      <c r="W3" s="38">
        <v>0.0</v>
      </c>
    </row>
    <row r="4">
      <c r="A4" s="36" t="s">
        <v>225</v>
      </c>
      <c r="B4" s="36">
        <f t="shared" ref="B4:F4" si="1">B3*$O$3+$U$3</f>
        <v>190</v>
      </c>
      <c r="C4" s="36">
        <f t="shared" si="1"/>
        <v>3990</v>
      </c>
      <c r="D4" s="36">
        <f t="shared" si="1"/>
        <v>3990</v>
      </c>
      <c r="E4" s="36">
        <f t="shared" si="1"/>
        <v>190</v>
      </c>
      <c r="F4" s="36">
        <f t="shared" si="1"/>
        <v>3990</v>
      </c>
      <c r="J4" s="38" t="s">
        <v>226</v>
      </c>
      <c r="M4" s="38">
        <v>2.0</v>
      </c>
      <c r="N4" s="38">
        <v>9.0</v>
      </c>
      <c r="O4" s="38">
        <v>22.0</v>
      </c>
      <c r="P4" s="38">
        <v>18.0</v>
      </c>
      <c r="Q4" s="38">
        <v>8.0</v>
      </c>
      <c r="S4" s="38">
        <v>2.0</v>
      </c>
      <c r="T4" s="38">
        <v>130.0</v>
      </c>
      <c r="U4" s="38">
        <v>215.0</v>
      </c>
      <c r="V4" s="38">
        <v>160.0</v>
      </c>
      <c r="W4" s="38">
        <v>130.0</v>
      </c>
    </row>
    <row r="5">
      <c r="A5" s="36" t="s">
        <v>227</v>
      </c>
      <c r="B5" s="36">
        <f t="shared" ref="B5:F5" si="2">B3*$O$7+$U$7</f>
        <v>125</v>
      </c>
      <c r="C5" s="36">
        <f t="shared" si="2"/>
        <v>3125</v>
      </c>
      <c r="D5" s="36">
        <f t="shared" si="2"/>
        <v>3125</v>
      </c>
      <c r="E5" s="36">
        <f t="shared" si="2"/>
        <v>125</v>
      </c>
      <c r="F5" s="36">
        <f t="shared" si="2"/>
        <v>3125</v>
      </c>
      <c r="M5" s="38">
        <v>3.0</v>
      </c>
      <c r="N5" s="38">
        <v>14.0</v>
      </c>
      <c r="O5" s="38">
        <v>18.0</v>
      </c>
      <c r="P5" s="38">
        <v>21.0</v>
      </c>
      <c r="Q5" s="38">
        <v>0.0</v>
      </c>
      <c r="S5" s="38">
        <v>3.0</v>
      </c>
      <c r="T5" s="38">
        <v>210.0</v>
      </c>
      <c r="U5" s="38">
        <v>85.0</v>
      </c>
      <c r="V5" s="38">
        <v>65.0</v>
      </c>
      <c r="W5" s="38">
        <v>0.0</v>
      </c>
    </row>
    <row r="6">
      <c r="A6" s="36" t="s">
        <v>228</v>
      </c>
      <c r="B6" s="36">
        <f t="shared" ref="B6:F6" si="3">B3*$O$6+$U$6</f>
        <v>155</v>
      </c>
      <c r="C6" s="36">
        <f t="shared" si="3"/>
        <v>1555</v>
      </c>
      <c r="D6" s="36">
        <f t="shared" si="3"/>
        <v>1555</v>
      </c>
      <c r="E6" s="36">
        <f t="shared" si="3"/>
        <v>155</v>
      </c>
      <c r="F6" s="36">
        <f t="shared" si="3"/>
        <v>1555</v>
      </c>
      <c r="M6" s="38">
        <v>4.0</v>
      </c>
      <c r="N6" s="38">
        <v>21.0</v>
      </c>
      <c r="O6" s="38">
        <v>7.0</v>
      </c>
      <c r="P6" s="38">
        <v>0.0</v>
      </c>
      <c r="Q6" s="38">
        <v>12.0</v>
      </c>
      <c r="S6" s="38">
        <v>4.0</v>
      </c>
      <c r="T6" s="38">
        <v>95.0</v>
      </c>
      <c r="U6" s="38">
        <v>155.0</v>
      </c>
      <c r="V6" s="38">
        <v>0.0</v>
      </c>
      <c r="W6" s="38">
        <v>60.0</v>
      </c>
    </row>
    <row r="7">
      <c r="A7" s="36" t="s">
        <v>229</v>
      </c>
      <c r="B7" s="36">
        <f t="shared" ref="B7:F7" si="4">B3*$O$5+$U$5</f>
        <v>85</v>
      </c>
      <c r="C7" s="36">
        <f t="shared" si="4"/>
        <v>3685</v>
      </c>
      <c r="D7" s="36">
        <f t="shared" si="4"/>
        <v>3685</v>
      </c>
      <c r="E7" s="36">
        <f t="shared" si="4"/>
        <v>85</v>
      </c>
      <c r="F7" s="36">
        <f t="shared" si="4"/>
        <v>3685</v>
      </c>
      <c r="M7" s="38">
        <v>5.0</v>
      </c>
      <c r="N7" s="38">
        <v>15.0</v>
      </c>
      <c r="O7" s="38">
        <v>15.0</v>
      </c>
      <c r="P7" s="38">
        <v>16.0</v>
      </c>
      <c r="Q7" s="38">
        <v>16.0</v>
      </c>
      <c r="S7" s="38">
        <v>5.0</v>
      </c>
      <c r="T7" s="38">
        <v>70.0</v>
      </c>
      <c r="U7" s="38">
        <v>125.0</v>
      </c>
      <c r="V7" s="38">
        <v>120.0</v>
      </c>
      <c r="W7" s="38">
        <v>75.0</v>
      </c>
    </row>
    <row r="8">
      <c r="A8" s="36" t="s">
        <v>230</v>
      </c>
      <c r="B8" s="36">
        <f t="shared" ref="B8:F8" si="5">B3*$O$4+$U$4</f>
        <v>215</v>
      </c>
      <c r="C8" s="36">
        <f t="shared" si="5"/>
        <v>4615</v>
      </c>
      <c r="D8" s="36">
        <f t="shared" si="5"/>
        <v>4615</v>
      </c>
      <c r="E8" s="36">
        <f t="shared" si="5"/>
        <v>215</v>
      </c>
      <c r="F8" s="36">
        <f t="shared" si="5"/>
        <v>4615</v>
      </c>
      <c r="M8" s="38">
        <v>6.0</v>
      </c>
      <c r="N8" s="38">
        <v>11.0</v>
      </c>
      <c r="O8" s="38">
        <v>11.0</v>
      </c>
      <c r="P8" s="38">
        <v>0.0</v>
      </c>
      <c r="Q8" s="38">
        <v>15.0</v>
      </c>
      <c r="S8" s="38">
        <v>6.0</v>
      </c>
      <c r="T8" s="38">
        <v>110.0</v>
      </c>
      <c r="U8" s="38">
        <v>75.0</v>
      </c>
      <c r="V8" s="38">
        <v>0.0</v>
      </c>
      <c r="W8" s="38">
        <v>125.0</v>
      </c>
    </row>
    <row r="9">
      <c r="A9" s="36" t="s">
        <v>231</v>
      </c>
      <c r="B9" s="36">
        <f t="shared" ref="B9:F9" si="6">B3*$O$8+$U$8</f>
        <v>75</v>
      </c>
      <c r="C9" s="36">
        <f t="shared" si="6"/>
        <v>2275</v>
      </c>
      <c r="D9" s="36">
        <f t="shared" si="6"/>
        <v>2275</v>
      </c>
      <c r="E9" s="36">
        <f t="shared" si="6"/>
        <v>75</v>
      </c>
      <c r="F9" s="36">
        <f t="shared" si="6"/>
        <v>2275</v>
      </c>
      <c r="M9" s="38">
        <v>7.0</v>
      </c>
      <c r="N9" s="38">
        <v>18.0</v>
      </c>
      <c r="O9" s="38">
        <v>0.0</v>
      </c>
      <c r="P9" s="38">
        <v>3.0</v>
      </c>
      <c r="Q9" s="38">
        <v>10.0</v>
      </c>
      <c r="S9" s="38">
        <v>7.0</v>
      </c>
      <c r="T9" s="38">
        <v>150.0</v>
      </c>
      <c r="U9" s="38">
        <v>0.0</v>
      </c>
      <c r="V9" s="38">
        <v>125.0</v>
      </c>
      <c r="W9" s="38">
        <v>270.0</v>
      </c>
    </row>
    <row r="10">
      <c r="A10" s="36" t="s">
        <v>227</v>
      </c>
      <c r="B10" s="36">
        <v>125.0</v>
      </c>
      <c r="C10" s="36">
        <v>3125.0</v>
      </c>
      <c r="D10" s="36">
        <v>3125.0</v>
      </c>
      <c r="E10" s="36">
        <v>125.0</v>
      </c>
      <c r="F10" s="36">
        <v>3125.0</v>
      </c>
    </row>
    <row r="13">
      <c r="A13" s="61" t="s">
        <v>232</v>
      </c>
      <c r="B13" s="62"/>
      <c r="C13" s="62"/>
      <c r="D13" s="62"/>
      <c r="E13" s="62"/>
      <c r="F13" s="63"/>
      <c r="L13" s="38" t="s">
        <v>233</v>
      </c>
    </row>
    <row r="14">
      <c r="A14" s="36" t="s">
        <v>37</v>
      </c>
      <c r="B14" s="36">
        <v>21.0</v>
      </c>
      <c r="C14" s="36">
        <v>22.0</v>
      </c>
      <c r="D14" s="36">
        <v>23.0</v>
      </c>
      <c r="E14" s="36">
        <v>24.0</v>
      </c>
      <c r="F14" s="36">
        <v>25.0</v>
      </c>
      <c r="L14" s="38" t="s">
        <v>234</v>
      </c>
      <c r="M14" s="38" t="s">
        <v>235</v>
      </c>
      <c r="N14" s="38" t="s">
        <v>236</v>
      </c>
    </row>
    <row r="15">
      <c r="A15" s="36" t="s">
        <v>224</v>
      </c>
      <c r="B15" s="36">
        <v>0.0</v>
      </c>
      <c r="C15" s="36">
        <v>200.0</v>
      </c>
      <c r="D15" s="36">
        <v>200.0</v>
      </c>
      <c r="E15" s="36">
        <v>0.0</v>
      </c>
      <c r="F15" s="36">
        <v>200.0</v>
      </c>
      <c r="L15" s="38">
        <v>1.0</v>
      </c>
      <c r="M15" s="38">
        <v>240.0</v>
      </c>
      <c r="N15" s="38">
        <v>25.0</v>
      </c>
    </row>
    <row r="16">
      <c r="A16" s="36" t="s">
        <v>225</v>
      </c>
      <c r="B16" s="36">
        <f t="shared" ref="B16:F16" si="7">ROUNDUP(B4+(B4/$M$15)*$N$15,0)</f>
        <v>210</v>
      </c>
      <c r="C16" s="36">
        <f t="shared" si="7"/>
        <v>4406</v>
      </c>
      <c r="D16" s="36">
        <f t="shared" si="7"/>
        <v>4406</v>
      </c>
      <c r="E16" s="36">
        <f t="shared" si="7"/>
        <v>210</v>
      </c>
      <c r="F16" s="36">
        <f t="shared" si="7"/>
        <v>4406</v>
      </c>
      <c r="L16" s="38">
        <v>2.0</v>
      </c>
      <c r="M16" s="38">
        <v>240.0</v>
      </c>
      <c r="N16" s="38">
        <v>25.0</v>
      </c>
      <c r="Q16" s="65" t="s">
        <v>191</v>
      </c>
      <c r="R16" s="62"/>
      <c r="S16" s="62"/>
      <c r="T16" s="62"/>
      <c r="U16" s="62"/>
      <c r="V16" s="63"/>
    </row>
    <row r="17">
      <c r="A17" s="36" t="s">
        <v>227</v>
      </c>
      <c r="B17" s="36">
        <f t="shared" ref="B17:F17" si="8">ROUNDUP(B5+(B5/$M$19)*$N$19,0)</f>
        <v>143</v>
      </c>
      <c r="C17" s="36">
        <f t="shared" si="8"/>
        <v>3560</v>
      </c>
      <c r="D17" s="36">
        <f t="shared" si="8"/>
        <v>3560</v>
      </c>
      <c r="E17" s="36">
        <f t="shared" si="8"/>
        <v>143</v>
      </c>
      <c r="F17" s="36">
        <f t="shared" si="8"/>
        <v>3560</v>
      </c>
      <c r="L17" s="38">
        <v>3.0</v>
      </c>
      <c r="M17" s="38">
        <v>180.0</v>
      </c>
      <c r="N17" s="38">
        <v>30.0</v>
      </c>
      <c r="Q17" s="60"/>
      <c r="R17" s="51" t="s">
        <v>173</v>
      </c>
      <c r="S17" s="51" t="s">
        <v>174</v>
      </c>
      <c r="T17" s="51" t="s">
        <v>175</v>
      </c>
      <c r="U17" s="51" t="s">
        <v>176</v>
      </c>
      <c r="V17" s="51" t="s">
        <v>177</v>
      </c>
    </row>
    <row r="18">
      <c r="A18" s="36" t="s">
        <v>228</v>
      </c>
      <c r="B18" s="36">
        <f t="shared" ref="B18:F18" si="9">ROUNDUP(B6+(B6/$M$18)*$N$18,0)</f>
        <v>181</v>
      </c>
      <c r="C18" s="36">
        <f t="shared" si="9"/>
        <v>1815</v>
      </c>
      <c r="D18" s="36">
        <f t="shared" si="9"/>
        <v>1815</v>
      </c>
      <c r="E18" s="36">
        <f t="shared" si="9"/>
        <v>181</v>
      </c>
      <c r="F18" s="36">
        <f t="shared" si="9"/>
        <v>1815</v>
      </c>
      <c r="L18" s="38">
        <v>4.0</v>
      </c>
      <c r="M18" s="38">
        <v>180.0</v>
      </c>
      <c r="N18" s="38">
        <v>30.0</v>
      </c>
      <c r="Q18" s="51" t="s">
        <v>237</v>
      </c>
      <c r="R18" s="60">
        <v>3000.0</v>
      </c>
      <c r="S18" s="60">
        <v>1000.0</v>
      </c>
      <c r="T18" s="60">
        <v>1000.0</v>
      </c>
      <c r="U18" s="60">
        <v>1000.0</v>
      </c>
      <c r="V18" s="60">
        <v>0.0</v>
      </c>
    </row>
    <row r="19">
      <c r="A19" s="36" t="s">
        <v>229</v>
      </c>
      <c r="B19" s="36">
        <f t="shared" ref="B19:F19" si="10">ROUNDUP(B7+(B7/$M$17)*$N$17,0)</f>
        <v>100</v>
      </c>
      <c r="C19" s="36">
        <f t="shared" si="10"/>
        <v>4300</v>
      </c>
      <c r="D19" s="36">
        <f t="shared" si="10"/>
        <v>4300</v>
      </c>
      <c r="E19" s="36">
        <f t="shared" si="10"/>
        <v>100</v>
      </c>
      <c r="F19" s="36">
        <f t="shared" si="10"/>
        <v>4300</v>
      </c>
      <c r="L19" s="38">
        <v>5.0</v>
      </c>
      <c r="M19" s="38">
        <v>180.0</v>
      </c>
      <c r="N19" s="38">
        <v>25.0</v>
      </c>
      <c r="Q19" s="51" t="s">
        <v>238</v>
      </c>
      <c r="R19" s="60">
        <v>0.0</v>
      </c>
      <c r="S19" s="60">
        <v>200.0</v>
      </c>
      <c r="T19" s="60">
        <v>200.0</v>
      </c>
      <c r="U19" s="60">
        <v>0.0</v>
      </c>
      <c r="V19" s="60">
        <v>200.0</v>
      </c>
    </row>
    <row r="20">
      <c r="A20" s="36" t="s">
        <v>230</v>
      </c>
      <c r="B20" s="36">
        <f t="shared" ref="B20:F20" si="11">ROUNDUP(B8+(B8/$M$16)*$N$16,0)</f>
        <v>238</v>
      </c>
      <c r="C20" s="36">
        <f t="shared" si="11"/>
        <v>5096</v>
      </c>
      <c r="D20" s="36">
        <f t="shared" si="11"/>
        <v>5096</v>
      </c>
      <c r="E20" s="36">
        <f t="shared" si="11"/>
        <v>238</v>
      </c>
      <c r="F20" s="36">
        <f t="shared" si="11"/>
        <v>5096</v>
      </c>
      <c r="L20" s="38">
        <v>6.0</v>
      </c>
      <c r="M20" s="38">
        <v>240.0</v>
      </c>
      <c r="N20" s="38">
        <v>15.0</v>
      </c>
      <c r="Q20" s="51" t="s">
        <v>239</v>
      </c>
      <c r="R20" s="60">
        <v>812.0</v>
      </c>
      <c r="S20" s="60">
        <v>1002.0</v>
      </c>
      <c r="T20" s="60">
        <v>0.0</v>
      </c>
      <c r="U20" s="60">
        <v>466.0</v>
      </c>
      <c r="V20" s="60">
        <v>0.0</v>
      </c>
    </row>
    <row r="21" ht="15.75" customHeight="1">
      <c r="A21" s="36" t="s">
        <v>231</v>
      </c>
      <c r="B21" s="36">
        <f t="shared" ref="B21:F21" si="12">ROUNDUP(B9+(B9/$M$20)*$N$20,0)</f>
        <v>80</v>
      </c>
      <c r="C21" s="36">
        <f t="shared" si="12"/>
        <v>2418</v>
      </c>
      <c r="D21" s="36">
        <f t="shared" si="12"/>
        <v>2418</v>
      </c>
      <c r="E21" s="36">
        <f t="shared" si="12"/>
        <v>80</v>
      </c>
      <c r="F21" s="36">
        <f t="shared" si="12"/>
        <v>2418</v>
      </c>
      <c r="L21" s="38">
        <v>7.0</v>
      </c>
      <c r="M21" s="38">
        <v>240.0</v>
      </c>
      <c r="N21" s="38">
        <v>25.0</v>
      </c>
      <c r="Q21" s="51" t="s">
        <v>240</v>
      </c>
      <c r="R21" s="60">
        <v>4190.0</v>
      </c>
      <c r="S21" s="60">
        <v>2536.0</v>
      </c>
      <c r="T21" s="60">
        <v>2366.0</v>
      </c>
      <c r="U21" s="60">
        <v>2274.0</v>
      </c>
      <c r="V21" s="60">
        <v>0.0</v>
      </c>
    </row>
    <row r="22" ht="15.75" customHeight="1">
      <c r="A22" s="36" t="s">
        <v>227</v>
      </c>
      <c r="B22" s="36">
        <v>143.0</v>
      </c>
      <c r="C22" s="36">
        <v>3560.0</v>
      </c>
      <c r="D22" s="36">
        <v>3560.0</v>
      </c>
      <c r="E22" s="36">
        <v>143.0</v>
      </c>
      <c r="F22" s="36">
        <v>3560.0</v>
      </c>
    </row>
    <row r="23" ht="15.75" customHeight="1"/>
    <row r="24" ht="15.75" customHeight="1">
      <c r="A24" s="61" t="s">
        <v>241</v>
      </c>
      <c r="B24" s="62"/>
      <c r="C24" s="62"/>
      <c r="D24" s="62"/>
      <c r="E24" s="62"/>
      <c r="F24" s="63"/>
    </row>
    <row r="25" ht="15.75" customHeight="1">
      <c r="A25" s="36" t="s">
        <v>37</v>
      </c>
      <c r="B25" s="36">
        <v>21.0</v>
      </c>
      <c r="C25" s="36">
        <v>22.0</v>
      </c>
      <c r="D25" s="36">
        <v>23.0</v>
      </c>
      <c r="E25" s="36">
        <v>24.0</v>
      </c>
      <c r="F25" s="36">
        <v>25.0</v>
      </c>
    </row>
    <row r="26" ht="15.75" customHeight="1">
      <c r="A26" s="36" t="s">
        <v>224</v>
      </c>
      <c r="B26" s="36">
        <v>812.0</v>
      </c>
      <c r="C26" s="36">
        <v>1002.0</v>
      </c>
      <c r="D26" s="36">
        <v>0.0</v>
      </c>
      <c r="E26" s="36">
        <v>466.0</v>
      </c>
      <c r="F26" s="36">
        <v>0.0</v>
      </c>
    </row>
    <row r="27" ht="15.75" customHeight="1">
      <c r="A27" s="36" t="s">
        <v>242</v>
      </c>
      <c r="B27" s="36">
        <f t="shared" ref="B27:F27" si="13">B26*$P$9+$V$9</f>
        <v>2561</v>
      </c>
      <c r="C27" s="36">
        <f t="shared" si="13"/>
        <v>3131</v>
      </c>
      <c r="D27" s="36">
        <f t="shared" si="13"/>
        <v>125</v>
      </c>
      <c r="E27" s="36">
        <f t="shared" si="13"/>
        <v>1523</v>
      </c>
      <c r="F27" s="36">
        <f t="shared" si="13"/>
        <v>125</v>
      </c>
    </row>
    <row r="28" ht="15.75" customHeight="1">
      <c r="A28" s="36" t="s">
        <v>229</v>
      </c>
      <c r="B28" s="36">
        <f t="shared" ref="B28:F28" si="14">B26*$P$5+$V$5</f>
        <v>17117</v>
      </c>
      <c r="C28" s="36">
        <f t="shared" si="14"/>
        <v>21107</v>
      </c>
      <c r="D28" s="36">
        <f t="shared" si="14"/>
        <v>65</v>
      </c>
      <c r="E28" s="36">
        <f t="shared" si="14"/>
        <v>9851</v>
      </c>
      <c r="F28" s="36">
        <f t="shared" si="14"/>
        <v>65</v>
      </c>
    </row>
    <row r="29" ht="15.75" customHeight="1">
      <c r="A29" s="36" t="s">
        <v>227</v>
      </c>
      <c r="B29" s="36">
        <f t="shared" ref="B29:F29" si="15">B26*$P$7+$V$7</f>
        <v>13112</v>
      </c>
      <c r="C29" s="36">
        <f t="shared" si="15"/>
        <v>16152</v>
      </c>
      <c r="D29" s="36">
        <f t="shared" si="15"/>
        <v>120</v>
      </c>
      <c r="E29" s="36">
        <f t="shared" si="15"/>
        <v>7576</v>
      </c>
      <c r="F29" s="36">
        <f t="shared" si="15"/>
        <v>120</v>
      </c>
    </row>
    <row r="30" ht="15.75" customHeight="1">
      <c r="A30" s="36" t="s">
        <v>230</v>
      </c>
      <c r="B30" s="36">
        <f t="shared" ref="B30:F30" si="16">B26*$P$4+$V$4</f>
        <v>14776</v>
      </c>
      <c r="C30" s="36">
        <f t="shared" si="16"/>
        <v>18196</v>
      </c>
      <c r="D30" s="36">
        <f t="shared" si="16"/>
        <v>160</v>
      </c>
      <c r="E30" s="36">
        <f t="shared" si="16"/>
        <v>8548</v>
      </c>
      <c r="F30" s="36">
        <f t="shared" si="16"/>
        <v>160</v>
      </c>
    </row>
    <row r="31" ht="15.75" customHeight="1">
      <c r="A31" s="36" t="s">
        <v>225</v>
      </c>
      <c r="B31" s="36">
        <f t="shared" ref="B31:F31" si="17">B26*$P$3+$V$3</f>
        <v>10636</v>
      </c>
      <c r="C31" s="36">
        <f t="shared" si="17"/>
        <v>13106</v>
      </c>
      <c r="D31" s="36">
        <f t="shared" si="17"/>
        <v>80</v>
      </c>
      <c r="E31" s="36">
        <f t="shared" si="17"/>
        <v>6138</v>
      </c>
      <c r="F31" s="36">
        <f t="shared" si="17"/>
        <v>80</v>
      </c>
    </row>
    <row r="32" ht="15.75" customHeight="1"/>
    <row r="33" ht="15.75" customHeight="1">
      <c r="A33" s="61" t="s">
        <v>243</v>
      </c>
      <c r="B33" s="62"/>
      <c r="C33" s="62"/>
      <c r="D33" s="62"/>
      <c r="E33" s="62"/>
      <c r="F33" s="63"/>
    </row>
    <row r="34" ht="15.75" customHeight="1">
      <c r="A34" s="36" t="s">
        <v>37</v>
      </c>
      <c r="B34" s="36">
        <v>21.0</v>
      </c>
      <c r="C34" s="36">
        <v>22.0</v>
      </c>
      <c r="D34" s="36">
        <v>23.0</v>
      </c>
      <c r="E34" s="36">
        <v>24.0</v>
      </c>
      <c r="F34" s="36">
        <v>25.0</v>
      </c>
    </row>
    <row r="35" ht="15.75" customHeight="1">
      <c r="A35" s="36" t="s">
        <v>224</v>
      </c>
      <c r="B35" s="36">
        <v>812.0</v>
      </c>
      <c r="C35" s="36">
        <v>1002.0</v>
      </c>
      <c r="D35" s="36">
        <v>0.0</v>
      </c>
      <c r="E35" s="36">
        <v>466.0</v>
      </c>
      <c r="F35" s="36">
        <v>0.0</v>
      </c>
    </row>
    <row r="36" ht="15.75" customHeight="1">
      <c r="A36" s="36" t="s">
        <v>242</v>
      </c>
      <c r="B36" s="36">
        <f t="shared" ref="B36:F36" si="18">ROUNDUP(B27+(B27/$M$21)*$N$21,0)</f>
        <v>2828</v>
      </c>
      <c r="C36" s="36">
        <f t="shared" si="18"/>
        <v>3458</v>
      </c>
      <c r="D36" s="36">
        <f t="shared" si="18"/>
        <v>139</v>
      </c>
      <c r="E36" s="36">
        <f t="shared" si="18"/>
        <v>1682</v>
      </c>
      <c r="F36" s="36">
        <f t="shared" si="18"/>
        <v>139</v>
      </c>
    </row>
    <row r="37" ht="15.75" customHeight="1">
      <c r="A37" s="36" t="s">
        <v>229</v>
      </c>
      <c r="B37" s="36">
        <f t="shared" ref="B37:F37" si="19">ROUNDUP(B28+(B28/$M$17)*$N$17,0)</f>
        <v>19970</v>
      </c>
      <c r="C37" s="36">
        <f t="shared" si="19"/>
        <v>24625</v>
      </c>
      <c r="D37" s="36">
        <f t="shared" si="19"/>
        <v>76</v>
      </c>
      <c r="E37" s="36">
        <f t="shared" si="19"/>
        <v>11493</v>
      </c>
      <c r="F37" s="36">
        <f t="shared" si="19"/>
        <v>76</v>
      </c>
    </row>
    <row r="38" ht="15.75" customHeight="1">
      <c r="A38" s="36" t="s">
        <v>227</v>
      </c>
      <c r="B38" s="36">
        <f t="shared" ref="B38:F38" si="20">ROUNDUP(B29+(B29/$M$19)*$N$19,0)</f>
        <v>14934</v>
      </c>
      <c r="C38" s="36">
        <f t="shared" si="20"/>
        <v>18396</v>
      </c>
      <c r="D38" s="36">
        <f t="shared" si="20"/>
        <v>137</v>
      </c>
      <c r="E38" s="36">
        <f t="shared" si="20"/>
        <v>8629</v>
      </c>
      <c r="F38" s="36">
        <f t="shared" si="20"/>
        <v>137</v>
      </c>
    </row>
    <row r="39" ht="15.75" customHeight="1">
      <c r="A39" s="36" t="s">
        <v>230</v>
      </c>
      <c r="B39" s="36">
        <f t="shared" ref="B39:F39" si="21">ROUNDUP(B30+(B30/$M$16)*$N$16,0)</f>
        <v>16316</v>
      </c>
      <c r="C39" s="36">
        <f t="shared" si="21"/>
        <v>20092</v>
      </c>
      <c r="D39" s="36">
        <f t="shared" si="21"/>
        <v>177</v>
      </c>
      <c r="E39" s="36">
        <f t="shared" si="21"/>
        <v>9439</v>
      </c>
      <c r="F39" s="36">
        <f t="shared" si="21"/>
        <v>177</v>
      </c>
    </row>
    <row r="40" ht="15.75" customHeight="1">
      <c r="A40" s="36" t="s">
        <v>225</v>
      </c>
      <c r="B40" s="36">
        <f t="shared" ref="B40:F40" si="22">ROUNDUP(B31+(B31/$M$15)*$N$15,0)</f>
        <v>11744</v>
      </c>
      <c r="C40" s="36">
        <f t="shared" si="22"/>
        <v>14472</v>
      </c>
      <c r="D40" s="36">
        <f t="shared" si="22"/>
        <v>89</v>
      </c>
      <c r="E40" s="36">
        <f t="shared" si="22"/>
        <v>6778</v>
      </c>
      <c r="F40" s="36">
        <f t="shared" si="22"/>
        <v>89</v>
      </c>
    </row>
    <row r="41" ht="15.75" customHeight="1"/>
    <row r="42" ht="15.75" customHeight="1">
      <c r="A42" s="61" t="s">
        <v>244</v>
      </c>
      <c r="B42" s="62"/>
      <c r="C42" s="62"/>
      <c r="D42" s="62"/>
      <c r="E42" s="62"/>
      <c r="F42" s="63"/>
    </row>
    <row r="43" ht="15.75" customHeight="1">
      <c r="A43" s="36" t="s">
        <v>37</v>
      </c>
      <c r="B43" s="36">
        <v>21.0</v>
      </c>
      <c r="C43" s="36">
        <v>22.0</v>
      </c>
      <c r="D43" s="36">
        <v>23.0</v>
      </c>
      <c r="E43" s="36">
        <v>24.0</v>
      </c>
      <c r="F43" s="36">
        <v>25.0</v>
      </c>
    </row>
    <row r="44" ht="15.75" customHeight="1">
      <c r="A44" s="36" t="s">
        <v>224</v>
      </c>
      <c r="B44" s="36">
        <v>4190.0</v>
      </c>
      <c r="C44" s="36">
        <v>2536.0</v>
      </c>
      <c r="D44" s="36">
        <v>2366.0</v>
      </c>
      <c r="E44" s="36">
        <v>2274.0</v>
      </c>
      <c r="F44" s="36">
        <v>0.0</v>
      </c>
    </row>
    <row r="45" ht="15.75" customHeight="1">
      <c r="A45" s="36" t="s">
        <v>228</v>
      </c>
      <c r="B45" s="36">
        <f t="shared" ref="B45:F45" si="23">B44*$Q$6+$W$6</f>
        <v>50340</v>
      </c>
      <c r="C45" s="36">
        <f t="shared" si="23"/>
        <v>30492</v>
      </c>
      <c r="D45" s="36">
        <f t="shared" si="23"/>
        <v>28452</v>
      </c>
      <c r="E45" s="36">
        <f t="shared" si="23"/>
        <v>27348</v>
      </c>
      <c r="F45" s="36">
        <f t="shared" si="23"/>
        <v>60</v>
      </c>
    </row>
    <row r="46" ht="15.75" customHeight="1">
      <c r="A46" s="36" t="s">
        <v>230</v>
      </c>
      <c r="B46" s="36">
        <f t="shared" ref="B46:F46" si="24">B44*$Q$4+$W$4</f>
        <v>33650</v>
      </c>
      <c r="C46" s="36">
        <f t="shared" si="24"/>
        <v>20418</v>
      </c>
      <c r="D46" s="36">
        <f t="shared" si="24"/>
        <v>19058</v>
      </c>
      <c r="E46" s="36">
        <f t="shared" si="24"/>
        <v>18322</v>
      </c>
      <c r="F46" s="36">
        <f t="shared" si="24"/>
        <v>130</v>
      </c>
    </row>
    <row r="47" ht="15.75" customHeight="1">
      <c r="A47" s="36" t="s">
        <v>242</v>
      </c>
      <c r="B47" s="36">
        <f t="shared" ref="B47:F47" si="25">B44*$Q$9+$W$9</f>
        <v>42170</v>
      </c>
      <c r="C47" s="36">
        <f t="shared" si="25"/>
        <v>25630</v>
      </c>
      <c r="D47" s="36">
        <f t="shared" si="25"/>
        <v>23930</v>
      </c>
      <c r="E47" s="36">
        <f t="shared" si="25"/>
        <v>23010</v>
      </c>
      <c r="F47" s="36">
        <f t="shared" si="25"/>
        <v>270</v>
      </c>
    </row>
    <row r="48" ht="15.75" customHeight="1">
      <c r="A48" s="36" t="s">
        <v>227</v>
      </c>
      <c r="B48" s="36">
        <f t="shared" ref="B48:F48" si="26">B44*$Q$7+$W$7</f>
        <v>67115</v>
      </c>
      <c r="C48" s="36">
        <f t="shared" si="26"/>
        <v>40651</v>
      </c>
      <c r="D48" s="36">
        <f t="shared" si="26"/>
        <v>37931</v>
      </c>
      <c r="E48" s="36">
        <f t="shared" si="26"/>
        <v>36459</v>
      </c>
      <c r="F48" s="36">
        <f t="shared" si="26"/>
        <v>75</v>
      </c>
    </row>
    <row r="49" ht="15.75" customHeight="1">
      <c r="A49" s="36" t="s">
        <v>231</v>
      </c>
      <c r="B49" s="36">
        <f t="shared" ref="B49:F49" si="27">B44*$Q$8+$W$8</f>
        <v>62975</v>
      </c>
      <c r="C49" s="36">
        <f t="shared" si="27"/>
        <v>38165</v>
      </c>
      <c r="D49" s="36">
        <f t="shared" si="27"/>
        <v>35615</v>
      </c>
      <c r="E49" s="36">
        <f t="shared" si="27"/>
        <v>34235</v>
      </c>
      <c r="F49" s="36">
        <f t="shared" si="27"/>
        <v>125</v>
      </c>
    </row>
    <row r="50" ht="15.75" customHeight="1"/>
    <row r="51" ht="15.75" customHeight="1"/>
    <row r="52" ht="15.75" customHeight="1">
      <c r="A52" s="61" t="s">
        <v>245</v>
      </c>
      <c r="B52" s="62"/>
      <c r="C52" s="62"/>
      <c r="D52" s="62"/>
      <c r="E52" s="62"/>
      <c r="F52" s="63"/>
    </row>
    <row r="53" ht="15.75" customHeight="1">
      <c r="A53" s="74" t="s">
        <v>37</v>
      </c>
      <c r="B53" s="74">
        <v>21.0</v>
      </c>
      <c r="C53" s="74">
        <v>22.0</v>
      </c>
      <c r="D53" s="74">
        <v>23.0</v>
      </c>
      <c r="E53" s="74">
        <v>24.0</v>
      </c>
      <c r="F53" s="74">
        <v>25.0</v>
      </c>
    </row>
    <row r="54" ht="15.75" customHeight="1">
      <c r="A54" s="36" t="s">
        <v>224</v>
      </c>
      <c r="B54" s="36">
        <v>4190.0</v>
      </c>
      <c r="C54" s="36">
        <v>2536.0</v>
      </c>
      <c r="D54" s="36">
        <v>2366.0</v>
      </c>
      <c r="E54" s="36">
        <v>2274.0</v>
      </c>
      <c r="F54" s="36">
        <v>0.0</v>
      </c>
    </row>
    <row r="55" ht="15.75" customHeight="1">
      <c r="A55" s="36" t="s">
        <v>228</v>
      </c>
      <c r="B55" s="74">
        <f t="shared" ref="B55:F55" si="28">ROUNDUP(B45+(B45/$M$18)*$N$18,0)</f>
        <v>58730</v>
      </c>
      <c r="C55" s="74">
        <f t="shared" si="28"/>
        <v>35574</v>
      </c>
      <c r="D55" s="74">
        <f t="shared" si="28"/>
        <v>33194</v>
      </c>
      <c r="E55" s="74">
        <f t="shared" si="28"/>
        <v>31906</v>
      </c>
      <c r="F55" s="74">
        <f t="shared" si="28"/>
        <v>70</v>
      </c>
    </row>
    <row r="56" ht="15.75" customHeight="1">
      <c r="A56" s="36" t="s">
        <v>230</v>
      </c>
      <c r="B56" s="74">
        <f t="shared" ref="B56:F56" si="29">ROUNDUP(B46+(B46/$M$16)*$N$16,0)</f>
        <v>37156</v>
      </c>
      <c r="C56" s="74">
        <f t="shared" si="29"/>
        <v>22545</v>
      </c>
      <c r="D56" s="74">
        <f t="shared" si="29"/>
        <v>21044</v>
      </c>
      <c r="E56" s="74">
        <f t="shared" si="29"/>
        <v>20231</v>
      </c>
      <c r="F56" s="74">
        <f t="shared" si="29"/>
        <v>144</v>
      </c>
    </row>
    <row r="57" ht="15.75" customHeight="1">
      <c r="A57" s="36" t="s">
        <v>242</v>
      </c>
      <c r="B57" s="74">
        <f t="shared" ref="B57:F57" si="30">ROUNDUP(B47+(B47/$M$21)*$N$21,0)</f>
        <v>46563</v>
      </c>
      <c r="C57" s="74">
        <f t="shared" si="30"/>
        <v>28300</v>
      </c>
      <c r="D57" s="74">
        <f t="shared" si="30"/>
        <v>26423</v>
      </c>
      <c r="E57" s="74">
        <f t="shared" si="30"/>
        <v>25407</v>
      </c>
      <c r="F57" s="74">
        <f t="shared" si="30"/>
        <v>299</v>
      </c>
    </row>
    <row r="58" ht="15.75" customHeight="1">
      <c r="A58" s="36" t="s">
        <v>227</v>
      </c>
      <c r="B58" s="74">
        <f t="shared" ref="B58:F58" si="31">ROUNDUP(B48+(B48/$M$19)*$N$19,0)</f>
        <v>76437</v>
      </c>
      <c r="C58" s="74">
        <f t="shared" si="31"/>
        <v>46297</v>
      </c>
      <c r="D58" s="74">
        <f t="shared" si="31"/>
        <v>43200</v>
      </c>
      <c r="E58" s="74">
        <f t="shared" si="31"/>
        <v>41523</v>
      </c>
      <c r="F58" s="74">
        <f t="shared" si="31"/>
        <v>86</v>
      </c>
    </row>
    <row r="59" ht="15.75" customHeight="1">
      <c r="A59" s="36" t="s">
        <v>231</v>
      </c>
      <c r="B59" s="74">
        <f t="shared" ref="B59:F59" si="32">ROUNDUP(B49+(B49/$M$20)*$N$20,0)</f>
        <v>66911</v>
      </c>
      <c r="C59" s="74">
        <f t="shared" si="32"/>
        <v>40551</v>
      </c>
      <c r="D59" s="74">
        <f t="shared" si="32"/>
        <v>37841</v>
      </c>
      <c r="E59" s="74">
        <f t="shared" si="32"/>
        <v>36375</v>
      </c>
      <c r="F59" s="74">
        <f t="shared" si="32"/>
        <v>133</v>
      </c>
    </row>
    <row r="60" ht="15.75" customHeight="1"/>
    <row r="61" ht="15.75" customHeight="1"/>
    <row r="62" ht="15.75" customHeight="1">
      <c r="A62" s="61" t="s">
        <v>246</v>
      </c>
      <c r="B62" s="62"/>
      <c r="C62" s="62"/>
      <c r="D62" s="62"/>
      <c r="E62" s="62"/>
      <c r="F62" s="63"/>
    </row>
    <row r="63" ht="15.75" customHeight="1">
      <c r="A63" s="36" t="s">
        <v>37</v>
      </c>
      <c r="B63" s="36">
        <v>21.0</v>
      </c>
      <c r="C63" s="36">
        <v>22.0</v>
      </c>
      <c r="D63" s="36">
        <v>23.0</v>
      </c>
      <c r="E63" s="36">
        <v>24.0</v>
      </c>
      <c r="F63" s="36">
        <v>25.0</v>
      </c>
    </row>
    <row r="64" ht="15.75" customHeight="1">
      <c r="A64" s="36" t="s">
        <v>224</v>
      </c>
      <c r="B64" s="36">
        <v>3000.0</v>
      </c>
      <c r="C64" s="36">
        <v>1000.0</v>
      </c>
      <c r="D64" s="36">
        <v>1000.0</v>
      </c>
      <c r="E64" s="36">
        <v>1000.0</v>
      </c>
      <c r="F64" s="36">
        <v>0.0</v>
      </c>
    </row>
    <row r="65" ht="15.75" customHeight="1">
      <c r="A65" s="36" t="s">
        <v>225</v>
      </c>
      <c r="B65" s="36">
        <f t="shared" ref="B65:B71" si="33">$B$64*N3+T3</f>
        <v>60200</v>
      </c>
      <c r="C65" s="36">
        <f t="shared" ref="C65:C71" si="34">$C$64*N3+T3</f>
        <v>20200</v>
      </c>
      <c r="D65" s="36">
        <f t="shared" ref="D65:D71" si="35">$D$64*N3+T3</f>
        <v>20200</v>
      </c>
      <c r="E65" s="36">
        <f t="shared" ref="E65:E71" si="36">$E$64*N3+T3</f>
        <v>20200</v>
      </c>
      <c r="F65" s="36">
        <f t="shared" ref="F65:F71" si="37">$F$64*N3+T3</f>
        <v>200</v>
      </c>
    </row>
    <row r="66" ht="15.75" customHeight="1">
      <c r="A66" s="36" t="s">
        <v>230</v>
      </c>
      <c r="B66" s="36">
        <f t="shared" si="33"/>
        <v>27130</v>
      </c>
      <c r="C66" s="36">
        <f t="shared" si="34"/>
        <v>9130</v>
      </c>
      <c r="D66" s="36">
        <f t="shared" si="35"/>
        <v>9130</v>
      </c>
      <c r="E66" s="36">
        <f t="shared" si="36"/>
        <v>9130</v>
      </c>
      <c r="F66" s="36">
        <f t="shared" si="37"/>
        <v>130</v>
      </c>
    </row>
    <row r="67" ht="15.75" customHeight="1">
      <c r="A67" s="36" t="s">
        <v>229</v>
      </c>
      <c r="B67" s="36">
        <f t="shared" si="33"/>
        <v>42210</v>
      </c>
      <c r="C67" s="36">
        <f t="shared" si="34"/>
        <v>14210</v>
      </c>
      <c r="D67" s="36">
        <f t="shared" si="35"/>
        <v>14210</v>
      </c>
      <c r="E67" s="36">
        <f t="shared" si="36"/>
        <v>14210</v>
      </c>
      <c r="F67" s="36">
        <f t="shared" si="37"/>
        <v>210</v>
      </c>
    </row>
    <row r="68" ht="15.75" customHeight="1">
      <c r="A68" s="36" t="s">
        <v>228</v>
      </c>
      <c r="B68" s="36">
        <f t="shared" si="33"/>
        <v>63095</v>
      </c>
      <c r="C68" s="36">
        <f t="shared" si="34"/>
        <v>21095</v>
      </c>
      <c r="D68" s="36">
        <f t="shared" si="35"/>
        <v>21095</v>
      </c>
      <c r="E68" s="36">
        <f t="shared" si="36"/>
        <v>21095</v>
      </c>
      <c r="F68" s="36">
        <f t="shared" si="37"/>
        <v>95</v>
      </c>
    </row>
    <row r="69" ht="15.75" customHeight="1">
      <c r="A69" s="36" t="s">
        <v>227</v>
      </c>
      <c r="B69" s="36">
        <f t="shared" si="33"/>
        <v>45070</v>
      </c>
      <c r="C69" s="36">
        <f t="shared" si="34"/>
        <v>15070</v>
      </c>
      <c r="D69" s="36">
        <f t="shared" si="35"/>
        <v>15070</v>
      </c>
      <c r="E69" s="36">
        <f t="shared" si="36"/>
        <v>15070</v>
      </c>
      <c r="F69" s="36">
        <f t="shared" si="37"/>
        <v>70</v>
      </c>
    </row>
    <row r="70" ht="15.75" customHeight="1">
      <c r="A70" s="36" t="s">
        <v>231</v>
      </c>
      <c r="B70" s="36">
        <f t="shared" si="33"/>
        <v>33110</v>
      </c>
      <c r="C70" s="36">
        <f t="shared" si="34"/>
        <v>11110</v>
      </c>
      <c r="D70" s="36">
        <f t="shared" si="35"/>
        <v>11110</v>
      </c>
      <c r="E70" s="36">
        <f t="shared" si="36"/>
        <v>11110</v>
      </c>
      <c r="F70" s="36">
        <f t="shared" si="37"/>
        <v>110</v>
      </c>
    </row>
    <row r="71" ht="15.75" customHeight="1">
      <c r="A71" s="36" t="s">
        <v>242</v>
      </c>
      <c r="B71" s="36">
        <f t="shared" si="33"/>
        <v>54150</v>
      </c>
      <c r="C71" s="36">
        <f t="shared" si="34"/>
        <v>18150</v>
      </c>
      <c r="D71" s="36">
        <f t="shared" si="35"/>
        <v>18150</v>
      </c>
      <c r="E71" s="36">
        <f t="shared" si="36"/>
        <v>18150</v>
      </c>
      <c r="F71" s="36">
        <f t="shared" si="37"/>
        <v>150</v>
      </c>
    </row>
    <row r="72" ht="15.75" customHeight="1"/>
    <row r="73" ht="15.75" customHeight="1"/>
    <row r="74" ht="15.75" customHeight="1"/>
    <row r="75" ht="15.75" customHeight="1">
      <c r="A75" s="61" t="s">
        <v>247</v>
      </c>
      <c r="B75" s="62"/>
      <c r="C75" s="62"/>
      <c r="D75" s="62"/>
      <c r="E75" s="62"/>
      <c r="F75" s="63"/>
    </row>
    <row r="76" ht="15.75" customHeight="1">
      <c r="A76" s="36" t="s">
        <v>37</v>
      </c>
      <c r="B76" s="36">
        <v>21.0</v>
      </c>
      <c r="C76" s="36">
        <v>22.0</v>
      </c>
      <c r="D76" s="36">
        <v>23.0</v>
      </c>
      <c r="E76" s="36">
        <v>24.0</v>
      </c>
      <c r="F76" s="36">
        <v>25.0</v>
      </c>
    </row>
    <row r="77" ht="15.75" customHeight="1">
      <c r="A77" s="36" t="s">
        <v>224</v>
      </c>
      <c r="B77" s="36">
        <v>3000.0</v>
      </c>
      <c r="C77" s="36">
        <v>1000.0</v>
      </c>
      <c r="D77" s="36">
        <v>1000.0</v>
      </c>
      <c r="E77" s="36">
        <v>1000.0</v>
      </c>
      <c r="F77" s="36">
        <v>0.0</v>
      </c>
    </row>
    <row r="78" ht="15.75" customHeight="1">
      <c r="A78" s="36" t="s">
        <v>225</v>
      </c>
      <c r="B78" s="36">
        <f t="shared" ref="B78:B84" si="38">ROUNDUP(B65+(B65/M15)*N15,0)</f>
        <v>66471</v>
      </c>
      <c r="C78" s="36">
        <f t="shared" ref="C78:C84" si="39">ROUNDUP(C65+(C65/M15)*N15,0)</f>
        <v>22305</v>
      </c>
      <c r="D78" s="36">
        <f t="shared" ref="D78:D84" si="40">ROUNDUP(D65+(D65/M15)*N15,0)</f>
        <v>22305</v>
      </c>
      <c r="E78" s="36">
        <f>ROUNDUP(E65+(E65/M15)*N15,0)</f>
        <v>22305</v>
      </c>
      <c r="F78" s="36">
        <f t="shared" ref="F78:F84" si="41">ROUNDUP(F65+(F65/M15)*N15,0)</f>
        <v>221</v>
      </c>
    </row>
    <row r="79" ht="15.75" customHeight="1">
      <c r="A79" s="36" t="s">
        <v>230</v>
      </c>
      <c r="B79" s="36">
        <f t="shared" si="38"/>
        <v>29957</v>
      </c>
      <c r="C79" s="36">
        <f t="shared" si="39"/>
        <v>10082</v>
      </c>
      <c r="D79" s="36">
        <f t="shared" si="40"/>
        <v>10082</v>
      </c>
      <c r="E79" s="36">
        <v>10082.0</v>
      </c>
      <c r="F79" s="36">
        <f t="shared" si="41"/>
        <v>144</v>
      </c>
    </row>
    <row r="80" ht="15.75" customHeight="1">
      <c r="A80" s="36" t="s">
        <v>229</v>
      </c>
      <c r="B80" s="36">
        <f t="shared" si="38"/>
        <v>49245</v>
      </c>
      <c r="C80" s="36">
        <f t="shared" si="39"/>
        <v>16579</v>
      </c>
      <c r="D80" s="36">
        <f t="shared" si="40"/>
        <v>16579</v>
      </c>
      <c r="E80" s="36">
        <v>16579.0</v>
      </c>
      <c r="F80" s="36">
        <f t="shared" si="41"/>
        <v>245</v>
      </c>
    </row>
    <row r="81" ht="15.75" customHeight="1">
      <c r="A81" s="36" t="s">
        <v>228</v>
      </c>
      <c r="B81" s="36">
        <f t="shared" si="38"/>
        <v>73611</v>
      </c>
      <c r="C81" s="36">
        <f t="shared" si="39"/>
        <v>24611</v>
      </c>
      <c r="D81" s="36">
        <f t="shared" si="40"/>
        <v>24611</v>
      </c>
      <c r="E81" s="36">
        <v>24611.0</v>
      </c>
      <c r="F81" s="36">
        <f t="shared" si="41"/>
        <v>111</v>
      </c>
    </row>
    <row r="82" ht="15.75" customHeight="1">
      <c r="A82" s="36" t="s">
        <v>227</v>
      </c>
      <c r="B82" s="36">
        <f t="shared" si="38"/>
        <v>51330</v>
      </c>
      <c r="C82" s="36">
        <f t="shared" si="39"/>
        <v>17164</v>
      </c>
      <c r="D82" s="36">
        <f t="shared" si="40"/>
        <v>17164</v>
      </c>
      <c r="E82" s="36">
        <v>17164.0</v>
      </c>
      <c r="F82" s="36">
        <f t="shared" si="41"/>
        <v>80</v>
      </c>
    </row>
    <row r="83" ht="15.75" customHeight="1">
      <c r="A83" s="36" t="s">
        <v>231</v>
      </c>
      <c r="B83" s="36">
        <f t="shared" si="38"/>
        <v>35180</v>
      </c>
      <c r="C83" s="36">
        <f t="shared" si="39"/>
        <v>11805</v>
      </c>
      <c r="D83" s="36">
        <f t="shared" si="40"/>
        <v>11805</v>
      </c>
      <c r="E83" s="36">
        <v>11805.0</v>
      </c>
      <c r="F83" s="36">
        <f t="shared" si="41"/>
        <v>117</v>
      </c>
    </row>
    <row r="84" ht="15.75" customHeight="1">
      <c r="A84" s="36" t="s">
        <v>242</v>
      </c>
      <c r="B84" s="36">
        <f t="shared" si="38"/>
        <v>59791</v>
      </c>
      <c r="C84" s="36">
        <f t="shared" si="39"/>
        <v>20041</v>
      </c>
      <c r="D84" s="36">
        <f t="shared" si="40"/>
        <v>20041</v>
      </c>
      <c r="E84" s="36">
        <v>20041.0</v>
      </c>
      <c r="F84" s="36">
        <f t="shared" si="41"/>
        <v>166</v>
      </c>
    </row>
    <row r="85" ht="15.75" customHeight="1"/>
    <row r="86" ht="15.75" customHeight="1"/>
    <row r="87" ht="15.75" customHeight="1">
      <c r="A87" s="61" t="s">
        <v>248</v>
      </c>
      <c r="B87" s="62"/>
      <c r="C87" s="62"/>
      <c r="D87" s="62"/>
      <c r="E87" s="62"/>
      <c r="F87" s="63"/>
    </row>
    <row r="88" ht="15.75" customHeight="1">
      <c r="A88" s="36" t="s">
        <v>37</v>
      </c>
      <c r="B88" s="36">
        <v>21.0</v>
      </c>
      <c r="C88" s="36">
        <v>22.0</v>
      </c>
      <c r="D88" s="36">
        <v>23.0</v>
      </c>
      <c r="E88" s="36">
        <v>24.0</v>
      </c>
      <c r="F88" s="36">
        <v>25.0</v>
      </c>
    </row>
    <row r="89" ht="15.75" customHeight="1">
      <c r="A89" s="36" t="s">
        <v>249</v>
      </c>
      <c r="B89" s="36">
        <f t="shared" ref="B89:F89" si="42">SUM(B4,B31,B65)</f>
        <v>71026</v>
      </c>
      <c r="C89" s="36">
        <f t="shared" si="42"/>
        <v>37296</v>
      </c>
      <c r="D89" s="36">
        <f t="shared" si="42"/>
        <v>24270</v>
      </c>
      <c r="E89" s="36">
        <f t="shared" si="42"/>
        <v>26528</v>
      </c>
      <c r="F89" s="36">
        <f t="shared" si="42"/>
        <v>4270</v>
      </c>
    </row>
    <row r="90" ht="15.75" customHeight="1">
      <c r="A90" s="36" t="s">
        <v>250</v>
      </c>
      <c r="B90" s="36">
        <f t="shared" ref="B90:F90" si="43">SUM(B8,B30,B46,B66)</f>
        <v>75771</v>
      </c>
      <c r="C90" s="36">
        <f t="shared" si="43"/>
        <v>52359</v>
      </c>
      <c r="D90" s="36">
        <f t="shared" si="43"/>
        <v>32963</v>
      </c>
      <c r="E90" s="36">
        <f t="shared" si="43"/>
        <v>36215</v>
      </c>
      <c r="F90" s="36">
        <f t="shared" si="43"/>
        <v>5035</v>
      </c>
    </row>
    <row r="91" ht="15.75" customHeight="1">
      <c r="A91" s="36" t="s">
        <v>251</v>
      </c>
      <c r="B91" s="36">
        <f t="shared" ref="B91:F91" si="44">SUM(B7,B28,B67)</f>
        <v>59412</v>
      </c>
      <c r="C91" s="36">
        <f t="shared" si="44"/>
        <v>39002</v>
      </c>
      <c r="D91" s="36">
        <f t="shared" si="44"/>
        <v>17960</v>
      </c>
      <c r="E91" s="36">
        <f t="shared" si="44"/>
        <v>24146</v>
      </c>
      <c r="F91" s="36">
        <f t="shared" si="44"/>
        <v>3960</v>
      </c>
    </row>
    <row r="92" ht="15.75" customHeight="1">
      <c r="A92" s="36" t="s">
        <v>252</v>
      </c>
      <c r="B92" s="36">
        <f t="shared" ref="B92:F92" si="45">SUM(B6,B45,B68)</f>
        <v>113590</v>
      </c>
      <c r="C92" s="36">
        <f t="shared" si="45"/>
        <v>53142</v>
      </c>
      <c r="D92" s="36">
        <f t="shared" si="45"/>
        <v>51102</v>
      </c>
      <c r="E92" s="36">
        <f t="shared" si="45"/>
        <v>48598</v>
      </c>
      <c r="F92" s="36">
        <f t="shared" si="45"/>
        <v>1710</v>
      </c>
    </row>
    <row r="93" ht="15.75" customHeight="1">
      <c r="A93" s="36" t="s">
        <v>253</v>
      </c>
      <c r="B93" s="36">
        <f t="shared" ref="B93:F93" si="46">SUM(B5,B10,B29,B48,B69)</f>
        <v>125547</v>
      </c>
      <c r="C93" s="36">
        <f t="shared" si="46"/>
        <v>78123</v>
      </c>
      <c r="D93" s="36">
        <f t="shared" si="46"/>
        <v>59371</v>
      </c>
      <c r="E93" s="36">
        <f t="shared" si="46"/>
        <v>59355</v>
      </c>
      <c r="F93" s="36">
        <f t="shared" si="46"/>
        <v>6515</v>
      </c>
    </row>
    <row r="94" ht="15.75" customHeight="1">
      <c r="A94" s="36" t="s">
        <v>254</v>
      </c>
      <c r="B94" s="36">
        <f t="shared" ref="B94:F94" si="47">SUM(B9,B49,B70)</f>
        <v>96160</v>
      </c>
      <c r="C94" s="36">
        <f t="shared" si="47"/>
        <v>51550</v>
      </c>
      <c r="D94" s="36">
        <f t="shared" si="47"/>
        <v>49000</v>
      </c>
      <c r="E94" s="36">
        <f t="shared" si="47"/>
        <v>45420</v>
      </c>
      <c r="F94" s="36">
        <f t="shared" si="47"/>
        <v>2510</v>
      </c>
    </row>
    <row r="95" ht="15.75" customHeight="1">
      <c r="A95" s="36" t="s">
        <v>255</v>
      </c>
      <c r="B95" s="36">
        <f t="shared" ref="B95:F95" si="48">SUM(B27,B47,B71)</f>
        <v>98881</v>
      </c>
      <c r="C95" s="36">
        <f t="shared" si="48"/>
        <v>46911</v>
      </c>
      <c r="D95" s="36">
        <f t="shared" si="48"/>
        <v>42205</v>
      </c>
      <c r="E95" s="36">
        <f t="shared" si="48"/>
        <v>42683</v>
      </c>
      <c r="F95" s="36">
        <f t="shared" si="48"/>
        <v>545</v>
      </c>
    </row>
    <row r="96" ht="15.75" customHeight="1"/>
    <row r="97" ht="15.75" customHeight="1">
      <c r="A97" s="61" t="s">
        <v>256</v>
      </c>
      <c r="B97" s="62"/>
      <c r="C97" s="62"/>
      <c r="D97" s="62"/>
      <c r="E97" s="62"/>
      <c r="F97" s="63"/>
    </row>
    <row r="98" ht="15.75" customHeight="1">
      <c r="A98" s="36" t="s">
        <v>37</v>
      </c>
      <c r="B98" s="36">
        <v>21.0</v>
      </c>
      <c r="C98" s="36">
        <v>22.0</v>
      </c>
      <c r="D98" s="36">
        <v>23.0</v>
      </c>
      <c r="E98" s="36">
        <v>24.0</v>
      </c>
      <c r="F98" s="36">
        <v>25.0</v>
      </c>
    </row>
    <row r="99" ht="15.75" customHeight="1">
      <c r="A99" s="36" t="s">
        <v>249</v>
      </c>
      <c r="B99" s="36">
        <f t="shared" ref="B99:F99" si="49">SUM(B16,B40,B78)</f>
        <v>78425</v>
      </c>
      <c r="C99" s="36">
        <f t="shared" si="49"/>
        <v>41183</v>
      </c>
      <c r="D99" s="36">
        <f t="shared" si="49"/>
        <v>26800</v>
      </c>
      <c r="E99" s="36">
        <f t="shared" si="49"/>
        <v>29293</v>
      </c>
      <c r="F99" s="36">
        <f t="shared" si="49"/>
        <v>4716</v>
      </c>
    </row>
    <row r="100" ht="15.75" customHeight="1">
      <c r="A100" s="36" t="s">
        <v>250</v>
      </c>
      <c r="B100" s="36">
        <f t="shared" ref="B100:F100" si="50">SUM(B20,B39,B56,B79)</f>
        <v>83667</v>
      </c>
      <c r="C100" s="36">
        <f t="shared" si="50"/>
        <v>57815</v>
      </c>
      <c r="D100" s="36">
        <f t="shared" si="50"/>
        <v>36399</v>
      </c>
      <c r="E100" s="36">
        <f t="shared" si="50"/>
        <v>39990</v>
      </c>
      <c r="F100" s="36">
        <f t="shared" si="50"/>
        <v>5561</v>
      </c>
    </row>
    <row r="101" ht="15.75" customHeight="1">
      <c r="A101" s="36" t="s">
        <v>251</v>
      </c>
      <c r="B101" s="36">
        <f t="shared" ref="B101:F101" si="51">SUM(B19,B37,B80)</f>
        <v>69315</v>
      </c>
      <c r="C101" s="36">
        <f t="shared" si="51"/>
        <v>45504</v>
      </c>
      <c r="D101" s="36">
        <f t="shared" si="51"/>
        <v>20955</v>
      </c>
      <c r="E101" s="36">
        <f t="shared" si="51"/>
        <v>28172</v>
      </c>
      <c r="F101" s="36">
        <f t="shared" si="51"/>
        <v>4621</v>
      </c>
    </row>
    <row r="102" ht="15.75" customHeight="1">
      <c r="A102" s="36" t="s">
        <v>252</v>
      </c>
      <c r="B102" s="36">
        <f t="shared" ref="B102:F102" si="52">SUM(B18,B55,B81)</f>
        <v>132522</v>
      </c>
      <c r="C102" s="36">
        <f t="shared" si="52"/>
        <v>62000</v>
      </c>
      <c r="D102" s="36">
        <f t="shared" si="52"/>
        <v>59620</v>
      </c>
      <c r="E102" s="36">
        <f t="shared" si="52"/>
        <v>56698</v>
      </c>
      <c r="F102" s="36">
        <f t="shared" si="52"/>
        <v>1996</v>
      </c>
    </row>
    <row r="103" ht="15.75" customHeight="1">
      <c r="A103" s="36" t="s">
        <v>253</v>
      </c>
      <c r="B103" s="36">
        <f t="shared" ref="B103:F103" si="53">SUM(B22,B38,B82)</f>
        <v>66407</v>
      </c>
      <c r="C103" s="36">
        <f t="shared" si="53"/>
        <v>39120</v>
      </c>
      <c r="D103" s="36">
        <f t="shared" si="53"/>
        <v>20861</v>
      </c>
      <c r="E103" s="36">
        <f t="shared" si="53"/>
        <v>25936</v>
      </c>
      <c r="F103" s="36">
        <f t="shared" si="53"/>
        <v>3777</v>
      </c>
    </row>
    <row r="104" ht="15.75" customHeight="1">
      <c r="A104" s="36" t="s">
        <v>254</v>
      </c>
      <c r="B104" s="36">
        <f t="shared" ref="B104:F104" si="54">SUM(B21,B59,B83)</f>
        <v>102171</v>
      </c>
      <c r="C104" s="36">
        <f t="shared" si="54"/>
        <v>54774</v>
      </c>
      <c r="D104" s="36">
        <f t="shared" si="54"/>
        <v>52064</v>
      </c>
      <c r="E104" s="36">
        <f t="shared" si="54"/>
        <v>48260</v>
      </c>
      <c r="F104" s="36">
        <f t="shared" si="54"/>
        <v>2668</v>
      </c>
    </row>
    <row r="105" ht="15.75" customHeight="1">
      <c r="A105" s="36" t="s">
        <v>255</v>
      </c>
      <c r="B105" s="36">
        <f t="shared" ref="B105:F105" si="55">SUM(B36,B57,B84)</f>
        <v>109182</v>
      </c>
      <c r="C105" s="36">
        <f t="shared" si="55"/>
        <v>51799</v>
      </c>
      <c r="D105" s="36">
        <f t="shared" si="55"/>
        <v>46603</v>
      </c>
      <c r="E105" s="36">
        <f t="shared" si="55"/>
        <v>47130</v>
      </c>
      <c r="F105" s="36">
        <f t="shared" si="55"/>
        <v>604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62:F62"/>
    <mergeCell ref="A75:F75"/>
    <mergeCell ref="A87:F87"/>
    <mergeCell ref="A97:F97"/>
    <mergeCell ref="A1:F1"/>
    <mergeCell ref="A13:F13"/>
    <mergeCell ref="Q16:V16"/>
    <mergeCell ref="A24:F24"/>
    <mergeCell ref="A33:F33"/>
    <mergeCell ref="A42:F42"/>
    <mergeCell ref="A52:F52"/>
  </mergeCells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6.0"/>
    <col customWidth="1" min="2" max="2" width="7.63"/>
    <col customWidth="1" min="3" max="3" width="10.13"/>
    <col customWidth="1" min="4" max="6" width="7.63"/>
    <col customWidth="1" min="7" max="7" width="9.63"/>
    <col customWidth="1" min="8" max="8" width="7.63"/>
    <col customWidth="1" min="9" max="9" width="13.38"/>
    <col customWidth="1" min="10" max="26" width="7.63"/>
  </cols>
  <sheetData>
    <row r="1">
      <c r="A1" s="110" t="s">
        <v>249</v>
      </c>
      <c r="B1" s="62"/>
      <c r="C1" s="62"/>
      <c r="D1" s="62"/>
      <c r="E1" s="62"/>
      <c r="F1" s="62"/>
      <c r="G1" s="62"/>
      <c r="H1" s="62"/>
      <c r="I1" s="63"/>
      <c r="P1" s="38" t="s">
        <v>233</v>
      </c>
    </row>
    <row r="2">
      <c r="A2" s="111" t="s">
        <v>257</v>
      </c>
      <c r="B2" s="111">
        <v>21.0</v>
      </c>
      <c r="C2" s="111">
        <v>22.0</v>
      </c>
      <c r="D2" s="111">
        <v>23.0</v>
      </c>
      <c r="E2" s="111">
        <v>24.0</v>
      </c>
      <c r="F2" s="111">
        <v>25.0</v>
      </c>
      <c r="G2" s="111" t="s">
        <v>258</v>
      </c>
      <c r="H2" s="111" t="s">
        <v>259</v>
      </c>
      <c r="I2" s="111" t="s">
        <v>156</v>
      </c>
      <c r="O2" s="38" t="s">
        <v>234</v>
      </c>
      <c r="P2" s="38" t="s">
        <v>235</v>
      </c>
      <c r="Q2" s="38" t="s">
        <v>236</v>
      </c>
    </row>
    <row r="3">
      <c r="A3" s="112" t="s">
        <v>260</v>
      </c>
      <c r="B3" s="112">
        <v>71026.0</v>
      </c>
      <c r="C3" s="112">
        <v>37296.0</v>
      </c>
      <c r="D3" s="112">
        <v>24270.0</v>
      </c>
      <c r="E3" s="112">
        <v>26528.0</v>
      </c>
      <c r="F3" s="112">
        <v>4270.0</v>
      </c>
      <c r="G3" s="112"/>
      <c r="H3" s="112"/>
      <c r="I3" s="112"/>
      <c r="O3" s="38">
        <v>1.0</v>
      </c>
      <c r="P3" s="38">
        <v>240.0</v>
      </c>
      <c r="Q3" s="38">
        <v>25.0</v>
      </c>
    </row>
    <row r="4">
      <c r="A4" s="112" t="s">
        <v>233</v>
      </c>
      <c r="B4" s="112">
        <v>250.0</v>
      </c>
      <c r="C4" s="112">
        <v>250.0</v>
      </c>
      <c r="D4" s="112">
        <v>250.0</v>
      </c>
      <c r="E4" s="112">
        <v>250.0</v>
      </c>
      <c r="F4" s="112">
        <v>250.0</v>
      </c>
      <c r="G4" s="112"/>
      <c r="H4" s="112"/>
      <c r="I4" s="112"/>
      <c r="O4" s="38">
        <v>2.0</v>
      </c>
      <c r="P4" s="38">
        <v>240.0</v>
      </c>
      <c r="Q4" s="38">
        <v>25.0</v>
      </c>
    </row>
    <row r="5">
      <c r="A5" s="112" t="s">
        <v>261</v>
      </c>
      <c r="B5" s="112">
        <v>10.0</v>
      </c>
      <c r="C5" s="112">
        <v>34.0</v>
      </c>
      <c r="D5" s="112">
        <v>18.0</v>
      </c>
      <c r="E5" s="112">
        <v>12.0</v>
      </c>
      <c r="F5" s="112">
        <v>13.0</v>
      </c>
      <c r="G5" s="112"/>
      <c r="H5" s="112"/>
      <c r="I5" s="112"/>
      <c r="O5" s="38">
        <v>3.0</v>
      </c>
      <c r="P5" s="38">
        <v>180.0</v>
      </c>
      <c r="Q5" s="38">
        <v>30.0</v>
      </c>
    </row>
    <row r="6">
      <c r="A6" s="112" t="s">
        <v>262</v>
      </c>
      <c r="B6" s="108">
        <f t="shared" ref="B6:F6" si="1">ROUNDUP(B3/B8,0)</f>
        <v>34</v>
      </c>
      <c r="C6" s="108">
        <f t="shared" si="1"/>
        <v>18</v>
      </c>
      <c r="D6" s="108">
        <f t="shared" si="1"/>
        <v>12</v>
      </c>
      <c r="E6" s="108">
        <f t="shared" si="1"/>
        <v>13</v>
      </c>
      <c r="F6" s="108">
        <f t="shared" si="1"/>
        <v>2</v>
      </c>
      <c r="G6" s="112"/>
      <c r="H6" s="112"/>
      <c r="I6" s="112"/>
      <c r="O6" s="38">
        <v>4.0</v>
      </c>
      <c r="P6" s="38">
        <v>180.0</v>
      </c>
      <c r="Q6" s="38">
        <v>20.0</v>
      </c>
    </row>
    <row r="7">
      <c r="A7" s="112" t="s">
        <v>263</v>
      </c>
      <c r="B7" s="112">
        <v>2400.0</v>
      </c>
      <c r="C7" s="112">
        <v>2400.0</v>
      </c>
      <c r="D7" s="112">
        <v>2400.0</v>
      </c>
      <c r="E7" s="112">
        <v>2400.0</v>
      </c>
      <c r="F7" s="112">
        <v>2400.0</v>
      </c>
      <c r="G7" s="112"/>
      <c r="H7" s="112"/>
      <c r="I7" s="112"/>
      <c r="O7" s="38">
        <v>5.0</v>
      </c>
      <c r="P7" s="38">
        <v>180.0</v>
      </c>
      <c r="Q7" s="38">
        <v>25.0</v>
      </c>
    </row>
    <row r="8">
      <c r="A8" s="112" t="s">
        <v>264</v>
      </c>
      <c r="B8" s="112">
        <f t="shared" ref="B8:F8" si="2">B7-B4</f>
        <v>2150</v>
      </c>
      <c r="C8" s="112">
        <f t="shared" si="2"/>
        <v>2150</v>
      </c>
      <c r="D8" s="112">
        <f t="shared" si="2"/>
        <v>2150</v>
      </c>
      <c r="E8" s="112">
        <f t="shared" si="2"/>
        <v>2150</v>
      </c>
      <c r="F8" s="112">
        <f t="shared" si="2"/>
        <v>2150</v>
      </c>
      <c r="G8" s="112"/>
      <c r="H8" s="112"/>
      <c r="I8" s="112"/>
      <c r="O8" s="38">
        <v>6.0</v>
      </c>
      <c r="P8" s="38">
        <v>240.0</v>
      </c>
      <c r="Q8" s="38">
        <v>15.0</v>
      </c>
    </row>
    <row r="9">
      <c r="A9" s="112" t="s">
        <v>265</v>
      </c>
      <c r="B9" s="112">
        <f t="shared" ref="B9:F9" si="3">B6*B8</f>
        <v>73100</v>
      </c>
      <c r="C9" s="112">
        <f t="shared" si="3"/>
        <v>38700</v>
      </c>
      <c r="D9" s="112">
        <f t="shared" si="3"/>
        <v>25800</v>
      </c>
      <c r="E9" s="112">
        <f t="shared" si="3"/>
        <v>27950</v>
      </c>
      <c r="F9" s="112">
        <f t="shared" si="3"/>
        <v>4300</v>
      </c>
      <c r="G9" s="112"/>
      <c r="H9" s="112"/>
      <c r="I9" s="112"/>
      <c r="O9" s="38">
        <v>7.0</v>
      </c>
      <c r="P9" s="38">
        <v>240.0</v>
      </c>
      <c r="Q9" s="38">
        <v>25.0</v>
      </c>
    </row>
    <row r="10">
      <c r="A10" s="112" t="s">
        <v>266</v>
      </c>
      <c r="B10" s="112">
        <f t="shared" ref="B10:F10" si="4">B3</f>
        <v>71026</v>
      </c>
      <c r="C10" s="112">
        <f t="shared" si="4"/>
        <v>37296</v>
      </c>
      <c r="D10" s="112">
        <f t="shared" si="4"/>
        <v>24270</v>
      </c>
      <c r="E10" s="112">
        <f t="shared" si="4"/>
        <v>26528</v>
      </c>
      <c r="F10" s="112">
        <f t="shared" si="4"/>
        <v>4270</v>
      </c>
      <c r="G10" s="112"/>
      <c r="H10" s="112"/>
      <c r="I10" s="112"/>
    </row>
    <row r="11">
      <c r="A11" s="112" t="s">
        <v>267</v>
      </c>
      <c r="B11" s="112">
        <f t="shared" ref="B11:F11" si="5">B9-B3</f>
        <v>2074</v>
      </c>
      <c r="C11" s="112">
        <f t="shared" si="5"/>
        <v>1404</v>
      </c>
      <c r="D11" s="112">
        <f t="shared" si="5"/>
        <v>1530</v>
      </c>
      <c r="E11" s="112">
        <f t="shared" si="5"/>
        <v>1422</v>
      </c>
      <c r="F11" s="112">
        <f t="shared" si="5"/>
        <v>30</v>
      </c>
      <c r="G11" s="112">
        <f t="shared" ref="G11:G13" si="6">SUM(B11:F11)</f>
        <v>6460</v>
      </c>
      <c r="H11" s="112">
        <v>2.0</v>
      </c>
      <c r="I11" s="112">
        <f t="shared" ref="I11:I13" si="7">G11*H11</f>
        <v>12920</v>
      </c>
    </row>
    <row r="12">
      <c r="A12" s="112" t="s">
        <v>268</v>
      </c>
      <c r="B12" s="112">
        <f>B6-B5</f>
        <v>24</v>
      </c>
      <c r="C12" s="112">
        <v>0.0</v>
      </c>
      <c r="D12" s="112">
        <v>0.0</v>
      </c>
      <c r="E12" s="112">
        <v>1.0</v>
      </c>
      <c r="F12" s="112"/>
      <c r="G12" s="112">
        <f t="shared" si="6"/>
        <v>25</v>
      </c>
      <c r="H12" s="112">
        <v>4500.0</v>
      </c>
      <c r="I12" s="112">
        <f t="shared" si="7"/>
        <v>112500</v>
      </c>
    </row>
    <row r="13">
      <c r="A13" s="112" t="s">
        <v>269</v>
      </c>
      <c r="B13" s="112">
        <v>0.0</v>
      </c>
      <c r="C13" s="112">
        <f t="shared" ref="C13:D13" si="8">C5-C6</f>
        <v>16</v>
      </c>
      <c r="D13" s="112">
        <f t="shared" si="8"/>
        <v>6</v>
      </c>
      <c r="E13" s="112">
        <v>0.0</v>
      </c>
      <c r="F13" s="112">
        <f>F5-F6</f>
        <v>11</v>
      </c>
      <c r="G13" s="112">
        <f t="shared" si="6"/>
        <v>33</v>
      </c>
      <c r="H13" s="112">
        <v>2250.0</v>
      </c>
      <c r="I13" s="112">
        <f t="shared" si="7"/>
        <v>74250</v>
      </c>
    </row>
    <row r="14">
      <c r="A14" s="111"/>
      <c r="B14" s="112"/>
      <c r="C14" s="112"/>
      <c r="D14" s="112"/>
      <c r="E14" s="112"/>
      <c r="F14" s="112"/>
      <c r="G14" s="112"/>
      <c r="H14" s="112"/>
      <c r="I14" s="111">
        <f>I11+I12-I13</f>
        <v>51170</v>
      </c>
    </row>
    <row r="17">
      <c r="A17" s="110" t="s">
        <v>250</v>
      </c>
      <c r="B17" s="62"/>
      <c r="C17" s="62"/>
      <c r="D17" s="62"/>
      <c r="E17" s="62"/>
      <c r="F17" s="62"/>
      <c r="G17" s="62"/>
      <c r="H17" s="62"/>
      <c r="I17" s="63"/>
    </row>
    <row r="18">
      <c r="A18" s="111" t="s">
        <v>257</v>
      </c>
      <c r="B18" s="111">
        <v>21.0</v>
      </c>
      <c r="C18" s="111">
        <v>22.0</v>
      </c>
      <c r="D18" s="111">
        <v>23.0</v>
      </c>
      <c r="E18" s="111">
        <v>24.0</v>
      </c>
      <c r="F18" s="111">
        <v>25.0</v>
      </c>
      <c r="G18" s="111" t="s">
        <v>258</v>
      </c>
      <c r="H18" s="111" t="s">
        <v>259</v>
      </c>
      <c r="I18" s="111" t="s">
        <v>156</v>
      </c>
    </row>
    <row r="19">
      <c r="A19" s="112" t="s">
        <v>260</v>
      </c>
      <c r="B19" s="112">
        <v>75771.0</v>
      </c>
      <c r="C19" s="112">
        <v>52359.0</v>
      </c>
      <c r="D19" s="112">
        <v>32963.0</v>
      </c>
      <c r="E19" s="112">
        <v>36215.0</v>
      </c>
      <c r="F19" s="112">
        <v>5035.0</v>
      </c>
      <c r="G19" s="112"/>
      <c r="H19" s="112"/>
      <c r="I19" s="112"/>
    </row>
    <row r="20">
      <c r="A20" s="112" t="s">
        <v>233</v>
      </c>
      <c r="B20" s="112">
        <v>250.0</v>
      </c>
      <c r="C20" s="112">
        <v>250.0</v>
      </c>
      <c r="D20" s="112">
        <v>250.0</v>
      </c>
      <c r="E20" s="112">
        <v>250.0</v>
      </c>
      <c r="F20" s="112">
        <v>250.0</v>
      </c>
      <c r="G20" s="112"/>
      <c r="H20" s="112"/>
      <c r="I20" s="112"/>
    </row>
    <row r="21" ht="15.75" customHeight="1">
      <c r="A21" s="112" t="s">
        <v>261</v>
      </c>
      <c r="B21" s="112">
        <v>20.0</v>
      </c>
      <c r="C21" s="112">
        <v>36.0</v>
      </c>
      <c r="D21" s="112">
        <v>25.0</v>
      </c>
      <c r="E21" s="112">
        <v>16.0</v>
      </c>
      <c r="F21" s="112">
        <v>17.0</v>
      </c>
      <c r="G21" s="112"/>
      <c r="H21" s="112"/>
      <c r="I21" s="112"/>
    </row>
    <row r="22" ht="15.75" customHeight="1">
      <c r="A22" s="112" t="s">
        <v>262</v>
      </c>
      <c r="B22" s="108">
        <f>ROUNDUP(B19/2150,0)</f>
        <v>36</v>
      </c>
      <c r="C22" s="108">
        <f t="shared" ref="C22:F22" si="9">ROUNDUP(C19/C24,0)</f>
        <v>25</v>
      </c>
      <c r="D22" s="108">
        <f t="shared" si="9"/>
        <v>16</v>
      </c>
      <c r="E22" s="108">
        <f t="shared" si="9"/>
        <v>17</v>
      </c>
      <c r="F22" s="108">
        <f t="shared" si="9"/>
        <v>3</v>
      </c>
      <c r="G22" s="112"/>
      <c r="H22" s="112"/>
      <c r="I22" s="112"/>
    </row>
    <row r="23" ht="15.75" customHeight="1">
      <c r="A23" s="112" t="s">
        <v>263</v>
      </c>
      <c r="B23" s="112">
        <v>2400.0</v>
      </c>
      <c r="C23" s="112">
        <v>2400.0</v>
      </c>
      <c r="D23" s="112">
        <v>2400.0</v>
      </c>
      <c r="E23" s="112">
        <v>2400.0</v>
      </c>
      <c r="F23" s="112">
        <v>2400.0</v>
      </c>
      <c r="G23" s="112"/>
      <c r="H23" s="112"/>
      <c r="I23" s="112"/>
    </row>
    <row r="24" ht="15.75" customHeight="1">
      <c r="A24" s="112" t="s">
        <v>264</v>
      </c>
      <c r="B24" s="112">
        <f t="shared" ref="B24:F24" si="10">B23-B20</f>
        <v>2150</v>
      </c>
      <c r="C24" s="112">
        <f t="shared" si="10"/>
        <v>2150</v>
      </c>
      <c r="D24" s="112">
        <f t="shared" si="10"/>
        <v>2150</v>
      </c>
      <c r="E24" s="112">
        <f t="shared" si="10"/>
        <v>2150</v>
      </c>
      <c r="F24" s="112">
        <f t="shared" si="10"/>
        <v>2150</v>
      </c>
      <c r="G24" s="112"/>
      <c r="H24" s="112"/>
      <c r="I24" s="112"/>
    </row>
    <row r="25" ht="15.75" customHeight="1">
      <c r="A25" s="112" t="s">
        <v>265</v>
      </c>
      <c r="B25" s="112">
        <f t="shared" ref="B25:F25" si="11">B22*B24</f>
        <v>77400</v>
      </c>
      <c r="C25" s="112">
        <f t="shared" si="11"/>
        <v>53750</v>
      </c>
      <c r="D25" s="112">
        <f t="shared" si="11"/>
        <v>34400</v>
      </c>
      <c r="E25" s="112">
        <f t="shared" si="11"/>
        <v>36550</v>
      </c>
      <c r="F25" s="112">
        <f t="shared" si="11"/>
        <v>6450</v>
      </c>
      <c r="G25" s="112"/>
      <c r="H25" s="112"/>
      <c r="I25" s="112"/>
    </row>
    <row r="26" ht="15.75" customHeight="1">
      <c r="A26" s="112" t="s">
        <v>266</v>
      </c>
      <c r="B26" s="112">
        <f t="shared" ref="B26:F26" si="12">B19</f>
        <v>75771</v>
      </c>
      <c r="C26" s="112">
        <f t="shared" si="12"/>
        <v>52359</v>
      </c>
      <c r="D26" s="112">
        <f t="shared" si="12"/>
        <v>32963</v>
      </c>
      <c r="E26" s="112">
        <f t="shared" si="12"/>
        <v>36215</v>
      </c>
      <c r="F26" s="112">
        <f t="shared" si="12"/>
        <v>5035</v>
      </c>
      <c r="G26" s="112"/>
      <c r="H26" s="112"/>
      <c r="I26" s="112"/>
    </row>
    <row r="27" ht="15.75" customHeight="1">
      <c r="A27" s="112" t="s">
        <v>267</v>
      </c>
      <c r="B27" s="112">
        <f t="shared" ref="B27:F27" si="13">B25-B26</f>
        <v>1629</v>
      </c>
      <c r="C27" s="112">
        <f t="shared" si="13"/>
        <v>1391</v>
      </c>
      <c r="D27" s="112">
        <f t="shared" si="13"/>
        <v>1437</v>
      </c>
      <c r="E27" s="112">
        <f t="shared" si="13"/>
        <v>335</v>
      </c>
      <c r="F27" s="112">
        <f t="shared" si="13"/>
        <v>1415</v>
      </c>
      <c r="G27" s="112">
        <f t="shared" ref="G27:G29" si="14">SUM(B27:F27)</f>
        <v>6207</v>
      </c>
      <c r="H27" s="112">
        <v>2.0</v>
      </c>
      <c r="I27" s="112">
        <f t="shared" ref="I27:I29" si="15">G27*H27</f>
        <v>12414</v>
      </c>
    </row>
    <row r="28" ht="15.75" customHeight="1">
      <c r="A28" s="112" t="s">
        <v>268</v>
      </c>
      <c r="B28" s="112">
        <f>B22-B21</f>
        <v>16</v>
      </c>
      <c r="C28" s="112">
        <v>0.0</v>
      </c>
      <c r="D28" s="112">
        <v>0.0</v>
      </c>
      <c r="E28" s="112">
        <v>1.0</v>
      </c>
      <c r="F28" s="112">
        <v>0.0</v>
      </c>
      <c r="G28" s="112">
        <f t="shared" si="14"/>
        <v>17</v>
      </c>
      <c r="H28" s="112">
        <v>4500.0</v>
      </c>
      <c r="I28" s="112">
        <f t="shared" si="15"/>
        <v>76500</v>
      </c>
    </row>
    <row r="29" ht="15.75" customHeight="1">
      <c r="A29" s="112" t="s">
        <v>269</v>
      </c>
      <c r="B29" s="112">
        <v>0.0</v>
      </c>
      <c r="C29" s="112">
        <f t="shared" ref="C29:D29" si="16">C21-C22</f>
        <v>11</v>
      </c>
      <c r="D29" s="112">
        <f t="shared" si="16"/>
        <v>9</v>
      </c>
      <c r="E29" s="112">
        <v>0.0</v>
      </c>
      <c r="F29" s="112">
        <f>F21-F22</f>
        <v>14</v>
      </c>
      <c r="G29" s="112">
        <f t="shared" si="14"/>
        <v>34</v>
      </c>
      <c r="H29" s="112">
        <v>2250.0</v>
      </c>
      <c r="I29" s="112">
        <f t="shared" si="15"/>
        <v>76500</v>
      </c>
    </row>
    <row r="30" ht="15.75" customHeight="1">
      <c r="A30" s="111"/>
      <c r="B30" s="112"/>
      <c r="C30" s="112"/>
      <c r="D30" s="112"/>
      <c r="E30" s="112"/>
      <c r="F30" s="112"/>
      <c r="G30" s="112"/>
      <c r="H30" s="112"/>
      <c r="I30" s="111">
        <f>I27+I28-I29</f>
        <v>12414</v>
      </c>
    </row>
    <row r="31" ht="15.75" customHeight="1"/>
    <row r="32" ht="15.75" customHeight="1"/>
    <row r="33" ht="15.75" customHeight="1">
      <c r="A33" s="110" t="s">
        <v>251</v>
      </c>
      <c r="B33" s="62"/>
      <c r="C33" s="62"/>
      <c r="D33" s="62"/>
      <c r="E33" s="62"/>
      <c r="F33" s="62"/>
      <c r="G33" s="62"/>
      <c r="H33" s="62"/>
      <c r="I33" s="63"/>
    </row>
    <row r="34" ht="15.75" customHeight="1">
      <c r="A34" s="111" t="s">
        <v>257</v>
      </c>
      <c r="B34" s="111">
        <v>21.0</v>
      </c>
      <c r="C34" s="111">
        <v>22.0</v>
      </c>
      <c r="D34" s="111">
        <v>23.0</v>
      </c>
      <c r="E34" s="111">
        <v>24.0</v>
      </c>
      <c r="F34" s="111">
        <v>25.0</v>
      </c>
      <c r="G34" s="111" t="s">
        <v>258</v>
      </c>
      <c r="H34" s="111" t="s">
        <v>259</v>
      </c>
      <c r="I34" s="111" t="s">
        <v>156</v>
      </c>
    </row>
    <row r="35" ht="15.75" customHeight="1">
      <c r="A35" s="112" t="s">
        <v>260</v>
      </c>
      <c r="B35" s="38">
        <v>59412.0</v>
      </c>
      <c r="C35" s="38">
        <v>39002.0</v>
      </c>
      <c r="D35" s="38">
        <v>17960.0</v>
      </c>
      <c r="E35" s="38">
        <v>24146.0</v>
      </c>
      <c r="F35" s="38">
        <v>3960.0</v>
      </c>
      <c r="G35" s="112"/>
      <c r="H35" s="112"/>
      <c r="I35" s="112"/>
    </row>
    <row r="36" ht="15.75" customHeight="1">
      <c r="A36" s="112" t="s">
        <v>233</v>
      </c>
      <c r="B36" s="112">
        <v>400.0</v>
      </c>
      <c r="C36" s="112">
        <v>400.0</v>
      </c>
      <c r="D36" s="112">
        <v>400.0</v>
      </c>
      <c r="E36" s="112">
        <v>400.0</v>
      </c>
      <c r="F36" s="112">
        <v>400.0</v>
      </c>
      <c r="G36" s="112"/>
      <c r="H36" s="112"/>
      <c r="I36" s="112"/>
    </row>
    <row r="37" ht="15.75" customHeight="1">
      <c r="A37" s="112" t="s">
        <v>261</v>
      </c>
      <c r="B37" s="112">
        <v>10.0</v>
      </c>
      <c r="C37" s="112">
        <v>30.0</v>
      </c>
      <c r="D37" s="112">
        <v>20.0</v>
      </c>
      <c r="E37" s="112">
        <v>9.0</v>
      </c>
      <c r="F37" s="112">
        <v>13.0</v>
      </c>
      <c r="G37" s="112"/>
      <c r="H37" s="112"/>
      <c r="I37" s="112"/>
    </row>
    <row r="38" ht="15.75" customHeight="1">
      <c r="A38" s="112" t="s">
        <v>262</v>
      </c>
      <c r="B38" s="108">
        <f t="shared" ref="B38:F38" si="17">ROUNDUP(B35/B40,0)</f>
        <v>30</v>
      </c>
      <c r="C38" s="108">
        <f t="shared" si="17"/>
        <v>20</v>
      </c>
      <c r="D38" s="108">
        <f t="shared" si="17"/>
        <v>9</v>
      </c>
      <c r="E38" s="108">
        <f t="shared" si="17"/>
        <v>13</v>
      </c>
      <c r="F38" s="108">
        <f t="shared" si="17"/>
        <v>2</v>
      </c>
      <c r="G38" s="112"/>
      <c r="H38" s="112"/>
      <c r="I38" s="112"/>
    </row>
    <row r="39" ht="15.75" customHeight="1">
      <c r="A39" s="112" t="s">
        <v>263</v>
      </c>
      <c r="B39" s="112">
        <v>2400.0</v>
      </c>
      <c r="C39" s="112">
        <v>2400.0</v>
      </c>
      <c r="D39" s="112">
        <v>2400.0</v>
      </c>
      <c r="E39" s="112">
        <v>2400.0</v>
      </c>
      <c r="F39" s="112">
        <v>2400.0</v>
      </c>
      <c r="G39" s="112"/>
      <c r="H39" s="112"/>
      <c r="I39" s="112"/>
    </row>
    <row r="40" ht="15.75" customHeight="1">
      <c r="A40" s="112" t="s">
        <v>264</v>
      </c>
      <c r="B40" s="112">
        <f t="shared" ref="B40:F40" si="18">B39-B36</f>
        <v>2000</v>
      </c>
      <c r="C40" s="112">
        <f t="shared" si="18"/>
        <v>2000</v>
      </c>
      <c r="D40" s="112">
        <f t="shared" si="18"/>
        <v>2000</v>
      </c>
      <c r="E40" s="112">
        <f t="shared" si="18"/>
        <v>2000</v>
      </c>
      <c r="F40" s="112">
        <f t="shared" si="18"/>
        <v>2000</v>
      </c>
      <c r="G40" s="112"/>
      <c r="H40" s="112"/>
      <c r="I40" s="112"/>
    </row>
    <row r="41" ht="15.75" customHeight="1">
      <c r="A41" s="112" t="s">
        <v>265</v>
      </c>
      <c r="B41" s="112">
        <f t="shared" ref="B41:F41" si="19">B38*B40</f>
        <v>60000</v>
      </c>
      <c r="C41" s="112">
        <f t="shared" si="19"/>
        <v>40000</v>
      </c>
      <c r="D41" s="112">
        <f t="shared" si="19"/>
        <v>18000</v>
      </c>
      <c r="E41" s="112">
        <f t="shared" si="19"/>
        <v>26000</v>
      </c>
      <c r="F41" s="112">
        <f t="shared" si="19"/>
        <v>4000</v>
      </c>
      <c r="G41" s="112"/>
      <c r="H41" s="112"/>
      <c r="I41" s="112"/>
    </row>
    <row r="42" ht="15.75" customHeight="1">
      <c r="A42" s="112" t="s">
        <v>266</v>
      </c>
      <c r="B42" s="112">
        <f t="shared" ref="B42:F42" si="20">B35</f>
        <v>59412</v>
      </c>
      <c r="C42" s="112">
        <f t="shared" si="20"/>
        <v>39002</v>
      </c>
      <c r="D42" s="112">
        <f t="shared" si="20"/>
        <v>17960</v>
      </c>
      <c r="E42" s="112">
        <f t="shared" si="20"/>
        <v>24146</v>
      </c>
      <c r="F42" s="112">
        <f t="shared" si="20"/>
        <v>3960</v>
      </c>
      <c r="G42" s="112"/>
      <c r="H42" s="112"/>
      <c r="I42" s="112"/>
    </row>
    <row r="43" ht="15.75" customHeight="1">
      <c r="A43" s="112" t="s">
        <v>267</v>
      </c>
      <c r="B43" s="112">
        <f t="shared" ref="B43:F43" si="21">B41-B42</f>
        <v>588</v>
      </c>
      <c r="C43" s="112">
        <f t="shared" si="21"/>
        <v>998</v>
      </c>
      <c r="D43" s="112">
        <f t="shared" si="21"/>
        <v>40</v>
      </c>
      <c r="E43" s="112">
        <f t="shared" si="21"/>
        <v>1854</v>
      </c>
      <c r="F43" s="112">
        <f t="shared" si="21"/>
        <v>40</v>
      </c>
      <c r="G43" s="112">
        <f t="shared" ref="G43:G45" si="22">SUM(B43:F43)</f>
        <v>3520</v>
      </c>
      <c r="H43" s="112">
        <v>2.0</v>
      </c>
      <c r="I43" s="112">
        <f t="shared" ref="I43:I45" si="23">G43*H43</f>
        <v>7040</v>
      </c>
    </row>
    <row r="44" ht="15.75" customHeight="1">
      <c r="A44" s="112" t="s">
        <v>268</v>
      </c>
      <c r="B44" s="112">
        <f>B38-B37</f>
        <v>20</v>
      </c>
      <c r="C44" s="112">
        <v>0.0</v>
      </c>
      <c r="D44" s="112">
        <v>0.0</v>
      </c>
      <c r="E44" s="112">
        <f>E38-E37</f>
        <v>4</v>
      </c>
      <c r="F44" s="112">
        <v>0.0</v>
      </c>
      <c r="G44" s="112">
        <f t="shared" si="22"/>
        <v>24</v>
      </c>
      <c r="H44" s="112">
        <v>4500.0</v>
      </c>
      <c r="I44" s="112">
        <f t="shared" si="23"/>
        <v>108000</v>
      </c>
    </row>
    <row r="45" ht="15.75" customHeight="1">
      <c r="A45" s="112" t="s">
        <v>269</v>
      </c>
      <c r="B45" s="112">
        <v>0.0</v>
      </c>
      <c r="C45" s="112">
        <f t="shared" ref="C45:D45" si="24">C37-C38</f>
        <v>10</v>
      </c>
      <c r="D45" s="112">
        <f t="shared" si="24"/>
        <v>11</v>
      </c>
      <c r="E45" s="112">
        <v>0.0</v>
      </c>
      <c r="F45" s="112">
        <f>F37-F38</f>
        <v>11</v>
      </c>
      <c r="G45" s="112">
        <f t="shared" si="22"/>
        <v>32</v>
      </c>
      <c r="H45" s="112">
        <v>2250.0</v>
      </c>
      <c r="I45" s="112">
        <f t="shared" si="23"/>
        <v>72000</v>
      </c>
    </row>
    <row r="46" ht="15.75" customHeight="1">
      <c r="A46" s="111"/>
      <c r="B46" s="112"/>
      <c r="C46" s="112"/>
      <c r="D46" s="112"/>
      <c r="E46" s="112"/>
      <c r="F46" s="112"/>
      <c r="G46" s="112"/>
      <c r="H46" s="112"/>
      <c r="I46" s="111">
        <f>I43+I44-I45</f>
        <v>43040</v>
      </c>
    </row>
    <row r="47" ht="15.75" customHeight="1"/>
    <row r="48" ht="15.75" customHeight="1"/>
    <row r="49" ht="15.75" customHeight="1">
      <c r="A49" s="110" t="s">
        <v>252</v>
      </c>
      <c r="B49" s="62"/>
      <c r="C49" s="62"/>
      <c r="D49" s="62"/>
      <c r="E49" s="62"/>
      <c r="F49" s="62"/>
      <c r="G49" s="62"/>
      <c r="H49" s="62"/>
      <c r="I49" s="63"/>
    </row>
    <row r="50" ht="15.75" customHeight="1">
      <c r="A50" s="111" t="s">
        <v>257</v>
      </c>
      <c r="B50" s="111">
        <v>21.0</v>
      </c>
      <c r="C50" s="111">
        <v>22.0</v>
      </c>
      <c r="D50" s="111">
        <v>23.0</v>
      </c>
      <c r="E50" s="111">
        <v>24.0</v>
      </c>
      <c r="F50" s="111">
        <v>25.0</v>
      </c>
      <c r="G50" s="111" t="s">
        <v>258</v>
      </c>
      <c r="H50" s="111" t="s">
        <v>259</v>
      </c>
      <c r="I50" s="111" t="s">
        <v>156</v>
      </c>
    </row>
    <row r="51" ht="15.75" customHeight="1">
      <c r="A51" s="112" t="s">
        <v>260</v>
      </c>
      <c r="B51" s="38">
        <v>113590.0</v>
      </c>
      <c r="C51" s="38">
        <v>53142.0</v>
      </c>
      <c r="D51" s="38">
        <v>51102.0</v>
      </c>
      <c r="E51" s="38">
        <v>48598.0</v>
      </c>
      <c r="F51" s="38">
        <v>1710.0</v>
      </c>
      <c r="G51" s="112"/>
      <c r="H51" s="112"/>
      <c r="I51" s="112"/>
    </row>
    <row r="52" ht="15.75" customHeight="1">
      <c r="A52" s="112" t="s">
        <v>233</v>
      </c>
      <c r="B52" s="112">
        <f t="shared" ref="B52:F52" si="25">ROUNDUP((B55/$P$6)*$Q$6,0)</f>
        <v>267</v>
      </c>
      <c r="C52" s="112">
        <f t="shared" si="25"/>
        <v>267</v>
      </c>
      <c r="D52" s="112">
        <f t="shared" si="25"/>
        <v>267</v>
      </c>
      <c r="E52" s="112">
        <f t="shared" si="25"/>
        <v>267</v>
      </c>
      <c r="F52" s="112">
        <f t="shared" si="25"/>
        <v>267</v>
      </c>
      <c r="G52" s="112"/>
      <c r="H52" s="112"/>
      <c r="I52" s="112"/>
    </row>
    <row r="53" ht="15.75" customHeight="1">
      <c r="A53" s="112" t="s">
        <v>261</v>
      </c>
      <c r="B53" s="112">
        <v>15.0</v>
      </c>
      <c r="C53" s="112">
        <v>54.0</v>
      </c>
      <c r="D53" s="112">
        <v>25.0</v>
      </c>
      <c r="E53" s="112">
        <v>24.0</v>
      </c>
      <c r="F53" s="112">
        <v>23.0</v>
      </c>
      <c r="G53" s="112"/>
      <c r="H53" s="112"/>
      <c r="I53" s="112"/>
    </row>
    <row r="54" ht="15.75" customHeight="1">
      <c r="A54" s="112" t="s">
        <v>262</v>
      </c>
      <c r="B54" s="108">
        <f t="shared" ref="B54:F54" si="26">ROUNDUP(B51/B56,0)</f>
        <v>54</v>
      </c>
      <c r="C54" s="108">
        <f t="shared" si="26"/>
        <v>25</v>
      </c>
      <c r="D54" s="108">
        <f t="shared" si="26"/>
        <v>24</v>
      </c>
      <c r="E54" s="108">
        <f t="shared" si="26"/>
        <v>23</v>
      </c>
      <c r="F54" s="108">
        <f t="shared" si="26"/>
        <v>1</v>
      </c>
      <c r="G54" s="112"/>
      <c r="H54" s="112"/>
      <c r="I54" s="112"/>
    </row>
    <row r="55" ht="15.75" customHeight="1">
      <c r="A55" s="112" t="s">
        <v>263</v>
      </c>
      <c r="B55" s="112">
        <v>2400.0</v>
      </c>
      <c r="C55" s="112">
        <v>2400.0</v>
      </c>
      <c r="D55" s="112">
        <v>2400.0</v>
      </c>
      <c r="E55" s="112">
        <v>2400.0</v>
      </c>
      <c r="F55" s="112">
        <v>2400.0</v>
      </c>
      <c r="G55" s="112"/>
      <c r="H55" s="112"/>
      <c r="I55" s="112"/>
    </row>
    <row r="56" ht="15.75" customHeight="1">
      <c r="A56" s="112" t="s">
        <v>264</v>
      </c>
      <c r="B56" s="112">
        <f t="shared" ref="B56:F56" si="27">B55-B52</f>
        <v>2133</v>
      </c>
      <c r="C56" s="112">
        <f t="shared" si="27"/>
        <v>2133</v>
      </c>
      <c r="D56" s="112">
        <f t="shared" si="27"/>
        <v>2133</v>
      </c>
      <c r="E56" s="112">
        <f t="shared" si="27"/>
        <v>2133</v>
      </c>
      <c r="F56" s="112">
        <f t="shared" si="27"/>
        <v>2133</v>
      </c>
      <c r="G56" s="112"/>
      <c r="H56" s="112"/>
      <c r="I56" s="112"/>
    </row>
    <row r="57" ht="15.75" customHeight="1">
      <c r="A57" s="112" t="s">
        <v>265</v>
      </c>
      <c r="B57" s="112">
        <f t="shared" ref="B57:F57" si="28">B54*B56</f>
        <v>115182</v>
      </c>
      <c r="C57" s="112">
        <f t="shared" si="28"/>
        <v>53325</v>
      </c>
      <c r="D57" s="112">
        <f t="shared" si="28"/>
        <v>51192</v>
      </c>
      <c r="E57" s="112">
        <f t="shared" si="28"/>
        <v>49059</v>
      </c>
      <c r="F57" s="112">
        <f t="shared" si="28"/>
        <v>2133</v>
      </c>
      <c r="G57" s="112"/>
      <c r="H57" s="112"/>
      <c r="I57" s="112"/>
    </row>
    <row r="58" ht="15.75" customHeight="1">
      <c r="A58" s="112" t="s">
        <v>266</v>
      </c>
      <c r="B58" s="112">
        <f t="shared" ref="B58:F58" si="29">B51</f>
        <v>113590</v>
      </c>
      <c r="C58" s="112">
        <f t="shared" si="29"/>
        <v>53142</v>
      </c>
      <c r="D58" s="112">
        <f t="shared" si="29"/>
        <v>51102</v>
      </c>
      <c r="E58" s="112">
        <f t="shared" si="29"/>
        <v>48598</v>
      </c>
      <c r="F58" s="112">
        <f t="shared" si="29"/>
        <v>1710</v>
      </c>
      <c r="G58" s="112"/>
      <c r="H58" s="112"/>
      <c r="I58" s="112"/>
    </row>
    <row r="59" ht="15.75" customHeight="1">
      <c r="A59" s="112" t="s">
        <v>267</v>
      </c>
      <c r="B59" s="112">
        <f t="shared" ref="B59:F59" si="30">B57-B58</f>
        <v>1592</v>
      </c>
      <c r="C59" s="112">
        <f t="shared" si="30"/>
        <v>183</v>
      </c>
      <c r="D59" s="112">
        <f t="shared" si="30"/>
        <v>90</v>
      </c>
      <c r="E59" s="112">
        <f t="shared" si="30"/>
        <v>461</v>
      </c>
      <c r="F59" s="112">
        <f t="shared" si="30"/>
        <v>423</v>
      </c>
      <c r="G59" s="112">
        <f t="shared" ref="G59:G61" si="31">SUM(B59:F59)</f>
        <v>2749</v>
      </c>
      <c r="H59" s="112">
        <v>2.0</v>
      </c>
      <c r="I59" s="112">
        <f t="shared" ref="I59:I61" si="32">G59*H59</f>
        <v>5498</v>
      </c>
    </row>
    <row r="60" ht="15.75" customHeight="1">
      <c r="A60" s="112" t="s">
        <v>268</v>
      </c>
      <c r="B60" s="112">
        <f>B54-B53</f>
        <v>39</v>
      </c>
      <c r="C60" s="112"/>
      <c r="D60" s="112"/>
      <c r="E60" s="112"/>
      <c r="F60" s="112"/>
      <c r="G60" s="112">
        <f t="shared" si="31"/>
        <v>39</v>
      </c>
      <c r="H60" s="112">
        <v>4500.0</v>
      </c>
      <c r="I60" s="112">
        <f t="shared" si="32"/>
        <v>175500</v>
      </c>
    </row>
    <row r="61" ht="15.75" customHeight="1">
      <c r="A61" s="112" t="s">
        <v>269</v>
      </c>
      <c r="B61" s="112">
        <v>0.0</v>
      </c>
      <c r="C61" s="112">
        <f t="shared" ref="C61:F61" si="33">C53-C54</f>
        <v>29</v>
      </c>
      <c r="D61" s="112">
        <f t="shared" si="33"/>
        <v>1</v>
      </c>
      <c r="E61" s="112">
        <f t="shared" si="33"/>
        <v>1</v>
      </c>
      <c r="F61" s="112">
        <f t="shared" si="33"/>
        <v>22</v>
      </c>
      <c r="G61" s="112">
        <f t="shared" si="31"/>
        <v>53</v>
      </c>
      <c r="H61" s="112">
        <v>2250.0</v>
      </c>
      <c r="I61" s="112">
        <f t="shared" si="32"/>
        <v>119250</v>
      </c>
    </row>
    <row r="62" ht="15.75" customHeight="1">
      <c r="A62" s="111"/>
      <c r="B62" s="112"/>
      <c r="C62" s="112"/>
      <c r="D62" s="112"/>
      <c r="E62" s="112"/>
      <c r="F62" s="112"/>
      <c r="G62" s="112"/>
      <c r="H62" s="112"/>
      <c r="I62" s="111">
        <f>I59+I60-I61</f>
        <v>61748</v>
      </c>
    </row>
    <row r="63" ht="15.75" customHeight="1"/>
    <row r="64" ht="15.75" customHeight="1"/>
    <row r="65" ht="15.75" customHeight="1">
      <c r="A65" s="110" t="s">
        <v>252</v>
      </c>
      <c r="B65" s="62"/>
      <c r="C65" s="62"/>
      <c r="D65" s="62"/>
      <c r="E65" s="62"/>
      <c r="F65" s="62"/>
      <c r="G65" s="62"/>
      <c r="H65" s="62"/>
      <c r="I65" s="63"/>
    </row>
    <row r="66" ht="15.75" customHeight="1">
      <c r="A66" s="111" t="s">
        <v>257</v>
      </c>
      <c r="B66" s="111">
        <v>21.0</v>
      </c>
      <c r="C66" s="111">
        <v>22.0</v>
      </c>
      <c r="D66" s="111">
        <v>23.0</v>
      </c>
      <c r="E66" s="111">
        <v>24.0</v>
      </c>
      <c r="F66" s="111">
        <v>25.0</v>
      </c>
      <c r="G66" s="111" t="s">
        <v>258</v>
      </c>
      <c r="H66" s="111" t="s">
        <v>259</v>
      </c>
      <c r="I66" s="111" t="s">
        <v>156</v>
      </c>
    </row>
    <row r="67" ht="15.75" customHeight="1">
      <c r="A67" s="112" t="s">
        <v>260</v>
      </c>
      <c r="B67" s="38">
        <v>113590.0</v>
      </c>
      <c r="C67" s="38">
        <v>53142.0</v>
      </c>
      <c r="D67" s="38">
        <v>51102.0</v>
      </c>
      <c r="E67" s="38">
        <v>48598.0</v>
      </c>
      <c r="F67" s="38">
        <v>1710.0</v>
      </c>
      <c r="G67" s="112"/>
      <c r="H67" s="112"/>
      <c r="I67" s="112"/>
    </row>
    <row r="68" ht="15.75" customHeight="1">
      <c r="A68" s="112" t="s">
        <v>233</v>
      </c>
      <c r="B68" s="112">
        <f t="shared" ref="B68:F68" si="34">ROUNDUP((B71/$P$6)*$Q$6,0)</f>
        <v>267</v>
      </c>
      <c r="C68" s="112">
        <f t="shared" si="34"/>
        <v>267</v>
      </c>
      <c r="D68" s="112">
        <f t="shared" si="34"/>
        <v>267</v>
      </c>
      <c r="E68" s="112">
        <f t="shared" si="34"/>
        <v>267</v>
      </c>
      <c r="F68" s="112">
        <f t="shared" si="34"/>
        <v>267</v>
      </c>
      <c r="G68" s="112"/>
      <c r="H68" s="112"/>
      <c r="I68" s="112"/>
    </row>
    <row r="69" ht="15.75" customHeight="1">
      <c r="A69" s="112" t="s">
        <v>261</v>
      </c>
      <c r="B69" s="112">
        <v>15.0</v>
      </c>
      <c r="C69" s="112">
        <v>54.0</v>
      </c>
      <c r="D69" s="112">
        <v>25.0</v>
      </c>
      <c r="E69" s="112">
        <v>24.0</v>
      </c>
      <c r="F69" s="112">
        <v>23.0</v>
      </c>
      <c r="G69" s="112"/>
      <c r="H69" s="112"/>
      <c r="I69" s="112"/>
    </row>
    <row r="70" ht="15.75" customHeight="1">
      <c r="A70" s="112" t="s">
        <v>262</v>
      </c>
      <c r="B70" s="108">
        <f t="shared" ref="B70:F70" si="35">ROUNDUP(B67/B72,0)</f>
        <v>54</v>
      </c>
      <c r="C70" s="108">
        <f t="shared" si="35"/>
        <v>25</v>
      </c>
      <c r="D70" s="108">
        <f t="shared" si="35"/>
        <v>24</v>
      </c>
      <c r="E70" s="108">
        <f t="shared" si="35"/>
        <v>23</v>
      </c>
      <c r="F70" s="108">
        <f t="shared" si="35"/>
        <v>1</v>
      </c>
      <c r="G70" s="112"/>
      <c r="H70" s="112"/>
      <c r="I70" s="112"/>
    </row>
    <row r="71" ht="15.75" customHeight="1">
      <c r="A71" s="112" t="s">
        <v>263</v>
      </c>
      <c r="B71" s="112">
        <v>2400.0</v>
      </c>
      <c r="C71" s="112">
        <v>2400.0</v>
      </c>
      <c r="D71" s="112">
        <v>2400.0</v>
      </c>
      <c r="E71" s="112">
        <v>2400.0</v>
      </c>
      <c r="F71" s="112">
        <v>2400.0</v>
      </c>
      <c r="G71" s="112"/>
      <c r="H71" s="112"/>
      <c r="I71" s="112"/>
    </row>
    <row r="72" ht="15.75" customHeight="1">
      <c r="A72" s="112" t="s">
        <v>264</v>
      </c>
      <c r="B72" s="112">
        <f t="shared" ref="B72:F72" si="36">B71-B68</f>
        <v>2133</v>
      </c>
      <c r="C72" s="112">
        <f t="shared" si="36"/>
        <v>2133</v>
      </c>
      <c r="D72" s="112">
        <f t="shared" si="36"/>
        <v>2133</v>
      </c>
      <c r="E72" s="112">
        <f t="shared" si="36"/>
        <v>2133</v>
      </c>
      <c r="F72" s="112">
        <f t="shared" si="36"/>
        <v>2133</v>
      </c>
      <c r="G72" s="112"/>
      <c r="H72" s="112"/>
      <c r="I72" s="112"/>
    </row>
    <row r="73" ht="15.75" customHeight="1">
      <c r="A73" s="112" t="s">
        <v>265</v>
      </c>
      <c r="B73" s="112">
        <f t="shared" ref="B73:F73" si="37">B70*B72</f>
        <v>115182</v>
      </c>
      <c r="C73" s="112">
        <f t="shared" si="37"/>
        <v>53325</v>
      </c>
      <c r="D73" s="112">
        <f t="shared" si="37"/>
        <v>51192</v>
      </c>
      <c r="E73" s="112">
        <f t="shared" si="37"/>
        <v>49059</v>
      </c>
      <c r="F73" s="112">
        <f t="shared" si="37"/>
        <v>2133</v>
      </c>
      <c r="G73" s="112"/>
      <c r="H73" s="112"/>
      <c r="I73" s="112"/>
    </row>
    <row r="74" ht="15.75" customHeight="1">
      <c r="A74" s="112" t="s">
        <v>266</v>
      </c>
      <c r="B74" s="112">
        <f t="shared" ref="B74:F74" si="38">B67</f>
        <v>113590</v>
      </c>
      <c r="C74" s="112">
        <f t="shared" si="38"/>
        <v>53142</v>
      </c>
      <c r="D74" s="112">
        <f t="shared" si="38"/>
        <v>51102</v>
      </c>
      <c r="E74" s="112">
        <f t="shared" si="38"/>
        <v>48598</v>
      </c>
      <c r="F74" s="112">
        <f t="shared" si="38"/>
        <v>1710</v>
      </c>
      <c r="G74" s="112"/>
      <c r="H74" s="112"/>
      <c r="I74" s="112"/>
    </row>
    <row r="75" ht="15.75" customHeight="1">
      <c r="A75" s="112" t="s">
        <v>267</v>
      </c>
      <c r="B75" s="112">
        <f t="shared" ref="B75:F75" si="39">B73-B74</f>
        <v>1592</v>
      </c>
      <c r="C75" s="112">
        <f t="shared" si="39"/>
        <v>183</v>
      </c>
      <c r="D75" s="112">
        <f t="shared" si="39"/>
        <v>90</v>
      </c>
      <c r="E75" s="112">
        <f t="shared" si="39"/>
        <v>461</v>
      </c>
      <c r="F75" s="112">
        <f t="shared" si="39"/>
        <v>423</v>
      </c>
      <c r="G75" s="112">
        <f t="shared" ref="G75:G77" si="40">SUM(B75:F75)</f>
        <v>2749</v>
      </c>
      <c r="H75" s="112">
        <v>2.0</v>
      </c>
      <c r="I75" s="112">
        <f t="shared" ref="I75:I77" si="41">G75*H75</f>
        <v>5498</v>
      </c>
    </row>
    <row r="76" ht="15.75" customHeight="1">
      <c r="A76" s="112" t="s">
        <v>268</v>
      </c>
      <c r="B76" s="112">
        <f>B70-B69</f>
        <v>39</v>
      </c>
      <c r="C76" s="112"/>
      <c r="D76" s="112"/>
      <c r="E76" s="112"/>
      <c r="F76" s="112"/>
      <c r="G76" s="112">
        <f t="shared" si="40"/>
        <v>39</v>
      </c>
      <c r="H76" s="112">
        <v>4500.0</v>
      </c>
      <c r="I76" s="112">
        <f t="shared" si="41"/>
        <v>175500</v>
      </c>
    </row>
    <row r="77" ht="15.75" customHeight="1">
      <c r="A77" s="112" t="s">
        <v>269</v>
      </c>
      <c r="B77" s="112">
        <v>0.0</v>
      </c>
      <c r="C77" s="112">
        <f t="shared" ref="C77:F77" si="42">C69-C70</f>
        <v>29</v>
      </c>
      <c r="D77" s="112">
        <f t="shared" si="42"/>
        <v>1</v>
      </c>
      <c r="E77" s="112">
        <f t="shared" si="42"/>
        <v>1</v>
      </c>
      <c r="F77" s="112">
        <f t="shared" si="42"/>
        <v>22</v>
      </c>
      <c r="G77" s="112">
        <f t="shared" si="40"/>
        <v>53</v>
      </c>
      <c r="H77" s="112">
        <v>2250.0</v>
      </c>
      <c r="I77" s="112">
        <f t="shared" si="41"/>
        <v>119250</v>
      </c>
    </row>
    <row r="78" ht="15.75" customHeight="1">
      <c r="A78" s="111"/>
      <c r="B78" s="112"/>
      <c r="C78" s="112"/>
      <c r="D78" s="112"/>
      <c r="E78" s="112"/>
      <c r="F78" s="112"/>
      <c r="G78" s="112"/>
      <c r="H78" s="112"/>
      <c r="I78" s="111">
        <f>I75+I76-I77</f>
        <v>61748</v>
      </c>
    </row>
    <row r="79" ht="15.75" customHeight="1"/>
    <row r="80" ht="15.75" customHeight="1"/>
    <row r="81" ht="15.75" customHeight="1">
      <c r="A81" s="110" t="s">
        <v>253</v>
      </c>
      <c r="B81" s="62"/>
      <c r="C81" s="62"/>
      <c r="D81" s="62"/>
      <c r="E81" s="62"/>
      <c r="F81" s="62"/>
      <c r="G81" s="62"/>
      <c r="H81" s="62"/>
      <c r="I81" s="63"/>
    </row>
    <row r="82" ht="15.75" customHeight="1">
      <c r="A82" s="111" t="s">
        <v>257</v>
      </c>
      <c r="B82" s="111">
        <v>21.0</v>
      </c>
      <c r="C82" s="111">
        <v>22.0</v>
      </c>
      <c r="D82" s="111">
        <v>23.0</v>
      </c>
      <c r="E82" s="111">
        <v>24.0</v>
      </c>
      <c r="F82" s="111">
        <v>25.0</v>
      </c>
      <c r="G82" s="111" t="s">
        <v>258</v>
      </c>
      <c r="H82" s="111" t="s">
        <v>259</v>
      </c>
      <c r="I82" s="111" t="s">
        <v>156</v>
      </c>
    </row>
    <row r="83" ht="15.75" customHeight="1">
      <c r="A83" s="112" t="s">
        <v>260</v>
      </c>
      <c r="B83" s="38">
        <v>125547.0</v>
      </c>
      <c r="C83" s="38">
        <v>78123.0</v>
      </c>
      <c r="D83" s="38">
        <v>59371.0</v>
      </c>
      <c r="E83" s="38">
        <v>59355.0</v>
      </c>
      <c r="F83" s="38">
        <v>6515.0</v>
      </c>
      <c r="G83" s="112"/>
      <c r="H83" s="112"/>
      <c r="I83" s="112"/>
    </row>
    <row r="84" ht="15.75" customHeight="1">
      <c r="A84" s="112" t="s">
        <v>233</v>
      </c>
      <c r="B84" s="112">
        <f t="shared" ref="B84:F84" si="43">ROUNDUP((B87/$P$7)*$Q$7,0)</f>
        <v>334</v>
      </c>
      <c r="C84" s="112">
        <f t="shared" si="43"/>
        <v>334</v>
      </c>
      <c r="D84" s="112">
        <f t="shared" si="43"/>
        <v>334</v>
      </c>
      <c r="E84" s="112">
        <f t="shared" si="43"/>
        <v>334</v>
      </c>
      <c r="F84" s="112">
        <f t="shared" si="43"/>
        <v>334</v>
      </c>
      <c r="G84" s="112"/>
      <c r="H84" s="112"/>
      <c r="I84" s="112"/>
    </row>
    <row r="85" ht="15.75" customHeight="1">
      <c r="A85" s="112" t="s">
        <v>261</v>
      </c>
      <c r="B85" s="112">
        <v>15.0</v>
      </c>
      <c r="C85" s="112">
        <v>61.0</v>
      </c>
      <c r="D85" s="112">
        <v>38.0</v>
      </c>
      <c r="E85" s="112">
        <v>29.0</v>
      </c>
      <c r="F85" s="112">
        <f>E86</f>
        <v>29</v>
      </c>
      <c r="G85" s="112"/>
      <c r="H85" s="112"/>
      <c r="I85" s="112"/>
    </row>
    <row r="86" ht="15.75" customHeight="1">
      <c r="A86" s="112" t="s">
        <v>262</v>
      </c>
      <c r="B86" s="108">
        <f t="shared" ref="B86:F86" si="44">ROUNDUP(B83/B88,0)</f>
        <v>61</v>
      </c>
      <c r="C86" s="108">
        <f t="shared" si="44"/>
        <v>38</v>
      </c>
      <c r="D86" s="108">
        <f t="shared" si="44"/>
        <v>29</v>
      </c>
      <c r="E86" s="108">
        <f t="shared" si="44"/>
        <v>29</v>
      </c>
      <c r="F86" s="108">
        <f t="shared" si="44"/>
        <v>4</v>
      </c>
      <c r="G86" s="112"/>
      <c r="H86" s="112"/>
      <c r="I86" s="112"/>
    </row>
    <row r="87" ht="15.75" customHeight="1">
      <c r="A87" s="112" t="s">
        <v>263</v>
      </c>
      <c r="B87" s="112">
        <v>2400.0</v>
      </c>
      <c r="C87" s="112">
        <v>2400.0</v>
      </c>
      <c r="D87" s="112">
        <v>2400.0</v>
      </c>
      <c r="E87" s="112">
        <v>2400.0</v>
      </c>
      <c r="F87" s="112">
        <v>2400.0</v>
      </c>
      <c r="G87" s="112"/>
      <c r="H87" s="112"/>
      <c r="I87" s="112"/>
    </row>
    <row r="88" ht="15.75" customHeight="1">
      <c r="A88" s="112" t="s">
        <v>264</v>
      </c>
      <c r="B88" s="112">
        <f t="shared" ref="B88:F88" si="45">B87-B84</f>
        <v>2066</v>
      </c>
      <c r="C88" s="112">
        <f t="shared" si="45"/>
        <v>2066</v>
      </c>
      <c r="D88" s="112">
        <f t="shared" si="45"/>
        <v>2066</v>
      </c>
      <c r="E88" s="112">
        <f t="shared" si="45"/>
        <v>2066</v>
      </c>
      <c r="F88" s="112">
        <f t="shared" si="45"/>
        <v>2066</v>
      </c>
      <c r="G88" s="112"/>
      <c r="H88" s="112"/>
      <c r="I88" s="112"/>
    </row>
    <row r="89" ht="15.75" customHeight="1">
      <c r="A89" s="112" t="s">
        <v>265</v>
      </c>
      <c r="B89" s="112">
        <f t="shared" ref="B89:F89" si="46">B86*B88</f>
        <v>126026</v>
      </c>
      <c r="C89" s="112">
        <f t="shared" si="46"/>
        <v>78508</v>
      </c>
      <c r="D89" s="112">
        <f t="shared" si="46"/>
        <v>59914</v>
      </c>
      <c r="E89" s="112">
        <f t="shared" si="46"/>
        <v>59914</v>
      </c>
      <c r="F89" s="112">
        <f t="shared" si="46"/>
        <v>8264</v>
      </c>
      <c r="G89" s="112"/>
      <c r="H89" s="112"/>
      <c r="I89" s="112"/>
    </row>
    <row r="90" ht="15.75" customHeight="1">
      <c r="A90" s="112" t="s">
        <v>266</v>
      </c>
      <c r="B90" s="112">
        <f t="shared" ref="B90:F90" si="47">B83</f>
        <v>125547</v>
      </c>
      <c r="C90" s="112">
        <f t="shared" si="47"/>
        <v>78123</v>
      </c>
      <c r="D90" s="112">
        <f t="shared" si="47"/>
        <v>59371</v>
      </c>
      <c r="E90" s="112">
        <f t="shared" si="47"/>
        <v>59355</v>
      </c>
      <c r="F90" s="112">
        <f t="shared" si="47"/>
        <v>6515</v>
      </c>
      <c r="G90" s="112"/>
      <c r="H90" s="112"/>
      <c r="I90" s="112"/>
    </row>
    <row r="91" ht="15.75" customHeight="1">
      <c r="A91" s="112" t="s">
        <v>267</v>
      </c>
      <c r="B91" s="112">
        <f t="shared" ref="B91:F91" si="48">B89-B90</f>
        <v>479</v>
      </c>
      <c r="C91" s="112">
        <f t="shared" si="48"/>
        <v>385</v>
      </c>
      <c r="D91" s="112">
        <f t="shared" si="48"/>
        <v>543</v>
      </c>
      <c r="E91" s="112">
        <f t="shared" si="48"/>
        <v>559</v>
      </c>
      <c r="F91" s="112">
        <f t="shared" si="48"/>
        <v>1749</v>
      </c>
      <c r="G91" s="112">
        <f t="shared" ref="G91:G93" si="49">SUM(B91:F91)</f>
        <v>3715</v>
      </c>
      <c r="H91" s="112">
        <v>2.0</v>
      </c>
      <c r="I91" s="112">
        <f t="shared" ref="I91:I93" si="50">G91*H91</f>
        <v>7430</v>
      </c>
    </row>
    <row r="92" ht="15.75" customHeight="1">
      <c r="A92" s="112" t="s">
        <v>268</v>
      </c>
      <c r="B92" s="112">
        <f>B86-B85</f>
        <v>46</v>
      </c>
      <c r="C92" s="112"/>
      <c r="D92" s="112"/>
      <c r="E92" s="112"/>
      <c r="F92" s="112"/>
      <c r="G92" s="112">
        <f t="shared" si="49"/>
        <v>46</v>
      </c>
      <c r="H92" s="112">
        <v>4500.0</v>
      </c>
      <c r="I92" s="112">
        <f t="shared" si="50"/>
        <v>207000</v>
      </c>
    </row>
    <row r="93" ht="15.75" customHeight="1">
      <c r="A93" s="112" t="s">
        <v>269</v>
      </c>
      <c r="B93" s="112"/>
      <c r="C93" s="112">
        <f t="shared" ref="C93:D93" si="51">C85-C86</f>
        <v>23</v>
      </c>
      <c r="D93" s="112">
        <f t="shared" si="51"/>
        <v>9</v>
      </c>
      <c r="E93" s="112"/>
      <c r="F93" s="112">
        <f>F85-F86</f>
        <v>25</v>
      </c>
      <c r="G93" s="112">
        <f t="shared" si="49"/>
        <v>57</v>
      </c>
      <c r="H93" s="112">
        <v>2250.0</v>
      </c>
      <c r="I93" s="112">
        <f t="shared" si="50"/>
        <v>128250</v>
      </c>
    </row>
    <row r="94" ht="15.75" customHeight="1">
      <c r="A94" s="111"/>
      <c r="B94" s="112"/>
      <c r="C94" s="112"/>
      <c r="D94" s="112"/>
      <c r="E94" s="112"/>
      <c r="F94" s="112"/>
      <c r="G94" s="112"/>
      <c r="H94" s="112"/>
      <c r="I94" s="111">
        <f>I91+I92-I93</f>
        <v>86180</v>
      </c>
    </row>
    <row r="95" ht="15.75" customHeight="1"/>
    <row r="96" ht="15.75" customHeight="1"/>
    <row r="97" ht="15.75" customHeight="1">
      <c r="A97" s="110" t="s">
        <v>254</v>
      </c>
      <c r="B97" s="62"/>
      <c r="C97" s="62"/>
      <c r="D97" s="62"/>
      <c r="E97" s="62"/>
      <c r="F97" s="62"/>
      <c r="G97" s="62"/>
      <c r="H97" s="62"/>
      <c r="I97" s="63"/>
    </row>
    <row r="98" ht="15.75" customHeight="1">
      <c r="A98" s="111" t="s">
        <v>257</v>
      </c>
      <c r="B98" s="111">
        <v>21.0</v>
      </c>
      <c r="C98" s="111">
        <v>22.0</v>
      </c>
      <c r="D98" s="111">
        <v>23.0</v>
      </c>
      <c r="E98" s="111">
        <v>24.0</v>
      </c>
      <c r="F98" s="111">
        <v>25.0</v>
      </c>
      <c r="G98" s="111" t="s">
        <v>258</v>
      </c>
      <c r="H98" s="111" t="s">
        <v>259</v>
      </c>
      <c r="I98" s="111" t="s">
        <v>156</v>
      </c>
    </row>
    <row r="99" ht="15.75" customHeight="1">
      <c r="A99" s="112" t="s">
        <v>260</v>
      </c>
      <c r="B99" s="38">
        <v>96160.0</v>
      </c>
      <c r="C99" s="38">
        <v>51550.0</v>
      </c>
      <c r="D99" s="38">
        <v>49000.0</v>
      </c>
      <c r="E99" s="38">
        <v>45420.0</v>
      </c>
      <c r="F99" s="38">
        <v>2510.0</v>
      </c>
      <c r="G99" s="112"/>
      <c r="H99" s="112"/>
      <c r="I99" s="112"/>
    </row>
    <row r="100" ht="15.75" customHeight="1">
      <c r="A100" s="112" t="s">
        <v>233</v>
      </c>
      <c r="B100" s="112">
        <f t="shared" ref="B100:F100" si="52">ROUNDUP((B103/$P$8)*$Q$8,0)</f>
        <v>150</v>
      </c>
      <c r="C100" s="112">
        <f t="shared" si="52"/>
        <v>150</v>
      </c>
      <c r="D100" s="112">
        <f t="shared" si="52"/>
        <v>150</v>
      </c>
      <c r="E100" s="112">
        <f t="shared" si="52"/>
        <v>150</v>
      </c>
      <c r="F100" s="112">
        <f t="shared" si="52"/>
        <v>150</v>
      </c>
      <c r="G100" s="112"/>
      <c r="H100" s="112"/>
      <c r="I100" s="112"/>
    </row>
    <row r="101" ht="15.75" customHeight="1">
      <c r="A101" s="112" t="s">
        <v>261</v>
      </c>
      <c r="B101" s="112">
        <v>20.0</v>
      </c>
      <c r="C101" s="112">
        <f t="shared" ref="C101:F101" si="53">B102</f>
        <v>43</v>
      </c>
      <c r="D101" s="112">
        <f t="shared" si="53"/>
        <v>23</v>
      </c>
      <c r="E101" s="112">
        <f t="shared" si="53"/>
        <v>22</v>
      </c>
      <c r="F101" s="112">
        <f t="shared" si="53"/>
        <v>21</v>
      </c>
      <c r="G101" s="112"/>
      <c r="H101" s="112"/>
      <c r="I101" s="112"/>
    </row>
    <row r="102" ht="15.75" customHeight="1">
      <c r="A102" s="112" t="s">
        <v>262</v>
      </c>
      <c r="B102" s="108">
        <f t="shared" ref="B102:F102" si="54">ROUNDUP(B99/B104,0)</f>
        <v>43</v>
      </c>
      <c r="C102" s="108">
        <f t="shared" si="54"/>
        <v>23</v>
      </c>
      <c r="D102" s="108">
        <f t="shared" si="54"/>
        <v>22</v>
      </c>
      <c r="E102" s="108">
        <f t="shared" si="54"/>
        <v>21</v>
      </c>
      <c r="F102" s="108">
        <f t="shared" si="54"/>
        <v>2</v>
      </c>
      <c r="G102" s="112"/>
      <c r="H102" s="112"/>
      <c r="I102" s="112"/>
    </row>
    <row r="103" ht="15.75" customHeight="1">
      <c r="A103" s="112" t="s">
        <v>263</v>
      </c>
      <c r="B103" s="112">
        <v>2400.0</v>
      </c>
      <c r="C103" s="112">
        <v>2400.0</v>
      </c>
      <c r="D103" s="112">
        <v>2400.0</v>
      </c>
      <c r="E103" s="112">
        <v>2400.0</v>
      </c>
      <c r="F103" s="112">
        <v>2400.0</v>
      </c>
      <c r="G103" s="112"/>
      <c r="H103" s="112"/>
      <c r="I103" s="112"/>
    </row>
    <row r="104" ht="15.75" customHeight="1">
      <c r="A104" s="112" t="s">
        <v>264</v>
      </c>
      <c r="B104" s="112">
        <f t="shared" ref="B104:F104" si="55">B103-B100</f>
        <v>2250</v>
      </c>
      <c r="C104" s="112">
        <f t="shared" si="55"/>
        <v>2250</v>
      </c>
      <c r="D104" s="112">
        <f t="shared" si="55"/>
        <v>2250</v>
      </c>
      <c r="E104" s="112">
        <f t="shared" si="55"/>
        <v>2250</v>
      </c>
      <c r="F104" s="112">
        <f t="shared" si="55"/>
        <v>2250</v>
      </c>
      <c r="G104" s="112"/>
      <c r="H104" s="112"/>
      <c r="I104" s="112"/>
    </row>
    <row r="105" ht="15.75" customHeight="1">
      <c r="A105" s="112" t="s">
        <v>265</v>
      </c>
      <c r="B105" s="112">
        <f t="shared" ref="B105:F105" si="56">B102*B104</f>
        <v>96750</v>
      </c>
      <c r="C105" s="112">
        <f t="shared" si="56"/>
        <v>51750</v>
      </c>
      <c r="D105" s="112">
        <f t="shared" si="56"/>
        <v>49500</v>
      </c>
      <c r="E105" s="112">
        <f t="shared" si="56"/>
        <v>47250</v>
      </c>
      <c r="F105" s="112">
        <f t="shared" si="56"/>
        <v>4500</v>
      </c>
      <c r="G105" s="112"/>
      <c r="H105" s="112"/>
      <c r="I105" s="112"/>
    </row>
    <row r="106" ht="15.75" customHeight="1">
      <c r="A106" s="112" t="s">
        <v>266</v>
      </c>
      <c r="B106" s="112">
        <f t="shared" ref="B106:F106" si="57">B99</f>
        <v>96160</v>
      </c>
      <c r="C106" s="112">
        <f t="shared" si="57"/>
        <v>51550</v>
      </c>
      <c r="D106" s="112">
        <f t="shared" si="57"/>
        <v>49000</v>
      </c>
      <c r="E106" s="112">
        <f t="shared" si="57"/>
        <v>45420</v>
      </c>
      <c r="F106" s="112">
        <f t="shared" si="57"/>
        <v>2510</v>
      </c>
      <c r="G106" s="112"/>
      <c r="H106" s="112"/>
      <c r="I106" s="112"/>
    </row>
    <row r="107" ht="15.75" customHeight="1">
      <c r="A107" s="112" t="s">
        <v>267</v>
      </c>
      <c r="B107" s="112">
        <f t="shared" ref="B107:F107" si="58">B105-B106</f>
        <v>590</v>
      </c>
      <c r="C107" s="112">
        <f t="shared" si="58"/>
        <v>200</v>
      </c>
      <c r="D107" s="112">
        <f t="shared" si="58"/>
        <v>500</v>
      </c>
      <c r="E107" s="112">
        <f t="shared" si="58"/>
        <v>1830</v>
      </c>
      <c r="F107" s="112">
        <f t="shared" si="58"/>
        <v>1990</v>
      </c>
      <c r="G107" s="112">
        <f t="shared" ref="G107:G109" si="59">SUM(B107:F107)</f>
        <v>5110</v>
      </c>
      <c r="H107" s="112">
        <v>2.0</v>
      </c>
      <c r="I107" s="112">
        <f t="shared" ref="I107:I109" si="60">G107*H107</f>
        <v>10220</v>
      </c>
    </row>
    <row r="108" ht="15.75" customHeight="1">
      <c r="A108" s="112" t="s">
        <v>268</v>
      </c>
      <c r="B108" s="112">
        <f>B102-B101</f>
        <v>23</v>
      </c>
      <c r="C108" s="112"/>
      <c r="D108" s="112"/>
      <c r="E108" s="112"/>
      <c r="F108" s="112"/>
      <c r="G108" s="112">
        <f t="shared" si="59"/>
        <v>23</v>
      </c>
      <c r="H108" s="112">
        <v>4500.0</v>
      </c>
      <c r="I108" s="112">
        <f t="shared" si="60"/>
        <v>103500</v>
      </c>
    </row>
    <row r="109" ht="15.75" customHeight="1">
      <c r="A109" s="112" t="s">
        <v>269</v>
      </c>
      <c r="B109" s="112"/>
      <c r="C109" s="112">
        <f t="shared" ref="C109:F109" si="61">C101-C102</f>
        <v>20</v>
      </c>
      <c r="D109" s="112">
        <f t="shared" si="61"/>
        <v>1</v>
      </c>
      <c r="E109" s="112">
        <f t="shared" si="61"/>
        <v>1</v>
      </c>
      <c r="F109" s="112">
        <f t="shared" si="61"/>
        <v>19</v>
      </c>
      <c r="G109" s="112">
        <f t="shared" si="59"/>
        <v>41</v>
      </c>
      <c r="H109" s="112">
        <v>2250.0</v>
      </c>
      <c r="I109" s="112">
        <f t="shared" si="60"/>
        <v>92250</v>
      </c>
    </row>
    <row r="110" ht="15.75" customHeight="1">
      <c r="A110" s="111"/>
      <c r="B110" s="112"/>
      <c r="C110" s="112"/>
      <c r="D110" s="112"/>
      <c r="E110" s="112"/>
      <c r="F110" s="112"/>
      <c r="G110" s="112"/>
      <c r="H110" s="112"/>
      <c r="I110" s="111">
        <f>I107+I108-I109</f>
        <v>21470</v>
      </c>
    </row>
    <row r="111" ht="15.75" customHeight="1"/>
    <row r="112" ht="15.75" customHeight="1"/>
    <row r="113" ht="15.75" customHeight="1">
      <c r="A113" s="110" t="s">
        <v>254</v>
      </c>
      <c r="B113" s="62"/>
      <c r="C113" s="62"/>
      <c r="D113" s="62"/>
      <c r="E113" s="62"/>
      <c r="F113" s="62"/>
      <c r="G113" s="62"/>
      <c r="H113" s="62"/>
      <c r="I113" s="63"/>
    </row>
    <row r="114" ht="15.75" customHeight="1">
      <c r="A114" s="111" t="s">
        <v>257</v>
      </c>
      <c r="B114" s="111">
        <v>21.0</v>
      </c>
      <c r="C114" s="111">
        <v>22.0</v>
      </c>
      <c r="D114" s="111">
        <v>23.0</v>
      </c>
      <c r="E114" s="111">
        <v>24.0</v>
      </c>
      <c r="F114" s="111">
        <v>25.0</v>
      </c>
      <c r="G114" s="111" t="s">
        <v>258</v>
      </c>
      <c r="H114" s="111" t="s">
        <v>259</v>
      </c>
      <c r="I114" s="111" t="s">
        <v>156</v>
      </c>
    </row>
    <row r="115" ht="15.75" customHeight="1">
      <c r="A115" s="112" t="s">
        <v>260</v>
      </c>
      <c r="B115" s="38">
        <v>98881.0</v>
      </c>
      <c r="C115" s="38">
        <v>46911.0</v>
      </c>
      <c r="D115" s="38">
        <v>42205.0</v>
      </c>
      <c r="E115" s="38">
        <v>42683.0</v>
      </c>
      <c r="F115" s="38">
        <v>545.0</v>
      </c>
      <c r="G115" s="112"/>
      <c r="H115" s="112"/>
      <c r="I115" s="112"/>
    </row>
    <row r="116" ht="15.75" customHeight="1">
      <c r="A116" s="112" t="s">
        <v>233</v>
      </c>
      <c r="B116" s="112">
        <f t="shared" ref="B116:F116" si="62">ROUNDUP((B119/$P$8)*$Q$8,0)</f>
        <v>150</v>
      </c>
      <c r="C116" s="112">
        <f t="shared" si="62"/>
        <v>150</v>
      </c>
      <c r="D116" s="112">
        <f t="shared" si="62"/>
        <v>150</v>
      </c>
      <c r="E116" s="112">
        <f t="shared" si="62"/>
        <v>150</v>
      </c>
      <c r="F116" s="112">
        <f t="shared" si="62"/>
        <v>150</v>
      </c>
      <c r="G116" s="112"/>
      <c r="H116" s="112"/>
      <c r="I116" s="112"/>
    </row>
    <row r="117" ht="15.75" customHeight="1">
      <c r="A117" s="112" t="s">
        <v>261</v>
      </c>
      <c r="B117" s="112">
        <v>20.0</v>
      </c>
      <c r="C117" s="112">
        <f t="shared" ref="C117:F117" si="63">B118</f>
        <v>44</v>
      </c>
      <c r="D117" s="112">
        <f t="shared" si="63"/>
        <v>21</v>
      </c>
      <c r="E117" s="112">
        <f t="shared" si="63"/>
        <v>19</v>
      </c>
      <c r="F117" s="112">
        <f t="shared" si="63"/>
        <v>19</v>
      </c>
      <c r="G117" s="112"/>
      <c r="H117" s="112"/>
      <c r="I117" s="112"/>
    </row>
    <row r="118" ht="15.75" customHeight="1">
      <c r="A118" s="112" t="s">
        <v>262</v>
      </c>
      <c r="B118" s="108">
        <f t="shared" ref="B118:F118" si="64">ROUNDUP(B115/B120,0)</f>
        <v>44</v>
      </c>
      <c r="C118" s="108">
        <f t="shared" si="64"/>
        <v>21</v>
      </c>
      <c r="D118" s="108">
        <f t="shared" si="64"/>
        <v>19</v>
      </c>
      <c r="E118" s="108">
        <f t="shared" si="64"/>
        <v>19</v>
      </c>
      <c r="F118" s="108">
        <f t="shared" si="64"/>
        <v>1</v>
      </c>
      <c r="G118" s="112"/>
      <c r="H118" s="112"/>
      <c r="I118" s="112"/>
    </row>
    <row r="119" ht="15.75" customHeight="1">
      <c r="A119" s="112" t="s">
        <v>263</v>
      </c>
      <c r="B119" s="112">
        <v>2400.0</v>
      </c>
      <c r="C119" s="112">
        <v>2400.0</v>
      </c>
      <c r="D119" s="112">
        <v>2400.0</v>
      </c>
      <c r="E119" s="112">
        <v>2400.0</v>
      </c>
      <c r="F119" s="112">
        <v>2400.0</v>
      </c>
      <c r="G119" s="112"/>
      <c r="H119" s="112"/>
      <c r="I119" s="112"/>
    </row>
    <row r="120" ht="15.75" customHeight="1">
      <c r="A120" s="112" t="s">
        <v>264</v>
      </c>
      <c r="B120" s="112">
        <f t="shared" ref="B120:F120" si="65">B119-B116</f>
        <v>2250</v>
      </c>
      <c r="C120" s="112">
        <f t="shared" si="65"/>
        <v>2250</v>
      </c>
      <c r="D120" s="112">
        <f t="shared" si="65"/>
        <v>2250</v>
      </c>
      <c r="E120" s="112">
        <f t="shared" si="65"/>
        <v>2250</v>
      </c>
      <c r="F120" s="112">
        <f t="shared" si="65"/>
        <v>2250</v>
      </c>
      <c r="G120" s="112"/>
      <c r="H120" s="112"/>
      <c r="I120" s="112"/>
    </row>
    <row r="121" ht="15.75" customHeight="1">
      <c r="A121" s="112" t="s">
        <v>265</v>
      </c>
      <c r="B121" s="112">
        <f t="shared" ref="B121:F121" si="66">B118*B120</f>
        <v>99000</v>
      </c>
      <c r="C121" s="112">
        <f t="shared" si="66"/>
        <v>47250</v>
      </c>
      <c r="D121" s="112">
        <f t="shared" si="66"/>
        <v>42750</v>
      </c>
      <c r="E121" s="112">
        <f t="shared" si="66"/>
        <v>42750</v>
      </c>
      <c r="F121" s="112">
        <f t="shared" si="66"/>
        <v>2250</v>
      </c>
      <c r="G121" s="112"/>
      <c r="H121" s="112"/>
      <c r="I121" s="112"/>
    </row>
    <row r="122" ht="15.75" customHeight="1">
      <c r="A122" s="112" t="s">
        <v>266</v>
      </c>
      <c r="B122" s="112">
        <f t="shared" ref="B122:F122" si="67">B115</f>
        <v>98881</v>
      </c>
      <c r="C122" s="112">
        <f t="shared" si="67"/>
        <v>46911</v>
      </c>
      <c r="D122" s="112">
        <f t="shared" si="67"/>
        <v>42205</v>
      </c>
      <c r="E122" s="112">
        <f t="shared" si="67"/>
        <v>42683</v>
      </c>
      <c r="F122" s="112">
        <f t="shared" si="67"/>
        <v>545</v>
      </c>
      <c r="G122" s="112"/>
      <c r="H122" s="112"/>
      <c r="I122" s="112"/>
    </row>
    <row r="123" ht="15.75" customHeight="1">
      <c r="A123" s="112" t="s">
        <v>267</v>
      </c>
      <c r="B123" s="112">
        <f t="shared" ref="B123:F123" si="68">B121-B122</f>
        <v>119</v>
      </c>
      <c r="C123" s="112">
        <f t="shared" si="68"/>
        <v>339</v>
      </c>
      <c r="D123" s="112">
        <f t="shared" si="68"/>
        <v>545</v>
      </c>
      <c r="E123" s="112">
        <f t="shared" si="68"/>
        <v>67</v>
      </c>
      <c r="F123" s="112">
        <f t="shared" si="68"/>
        <v>1705</v>
      </c>
      <c r="G123" s="112">
        <f t="shared" ref="G123:G125" si="69">SUM(B123:F123)</f>
        <v>2775</v>
      </c>
      <c r="H123" s="112">
        <v>2.0</v>
      </c>
      <c r="I123" s="112">
        <f t="shared" ref="I123:I125" si="70">G123*H123</f>
        <v>5550</v>
      </c>
    </row>
    <row r="124" ht="15.75" customHeight="1">
      <c r="A124" s="112" t="s">
        <v>268</v>
      </c>
      <c r="B124" s="112">
        <f>B118-B117</f>
        <v>24</v>
      </c>
      <c r="C124" s="112"/>
      <c r="D124" s="112"/>
      <c r="E124" s="112"/>
      <c r="F124" s="112"/>
      <c r="G124" s="112">
        <f t="shared" si="69"/>
        <v>24</v>
      </c>
      <c r="H124" s="112">
        <v>4500.0</v>
      </c>
      <c r="I124" s="112">
        <f t="shared" si="70"/>
        <v>108000</v>
      </c>
    </row>
    <row r="125" ht="15.75" customHeight="1">
      <c r="A125" s="112" t="s">
        <v>269</v>
      </c>
      <c r="B125" s="112">
        <v>0.0</v>
      </c>
      <c r="C125" s="112">
        <f t="shared" ref="C125:D125" si="71">C117-C118</f>
        <v>23</v>
      </c>
      <c r="D125" s="112">
        <f t="shared" si="71"/>
        <v>2</v>
      </c>
      <c r="E125" s="112"/>
      <c r="F125" s="112"/>
      <c r="G125" s="112">
        <f t="shared" si="69"/>
        <v>25</v>
      </c>
      <c r="H125" s="112">
        <v>2250.0</v>
      </c>
      <c r="I125" s="112">
        <f t="shared" si="70"/>
        <v>56250</v>
      </c>
    </row>
    <row r="126" ht="15.75" customHeight="1">
      <c r="A126" s="111"/>
      <c r="B126" s="112"/>
      <c r="C126" s="112"/>
      <c r="D126" s="112"/>
      <c r="E126" s="112"/>
      <c r="F126" s="112"/>
      <c r="G126" s="112"/>
      <c r="H126" s="112"/>
      <c r="I126" s="111">
        <f>I123+I124-I125</f>
        <v>57300</v>
      </c>
    </row>
    <row r="127" ht="15.75" customHeight="1"/>
    <row r="128" ht="15.75" customHeight="1"/>
    <row r="129" ht="15.75" customHeight="1">
      <c r="A129" s="110" t="s">
        <v>255</v>
      </c>
      <c r="B129" s="62"/>
      <c r="C129" s="62"/>
      <c r="D129" s="62"/>
      <c r="E129" s="62"/>
      <c r="F129" s="62"/>
      <c r="G129" s="62"/>
      <c r="H129" s="62"/>
      <c r="I129" s="63"/>
    </row>
    <row r="130" ht="15.75" customHeight="1">
      <c r="A130" s="111" t="s">
        <v>257</v>
      </c>
      <c r="B130" s="111">
        <v>21.0</v>
      </c>
      <c r="C130" s="111">
        <v>22.0</v>
      </c>
      <c r="D130" s="111">
        <v>23.0</v>
      </c>
      <c r="E130" s="111">
        <v>24.0</v>
      </c>
      <c r="F130" s="111">
        <v>25.0</v>
      </c>
      <c r="G130" s="111" t="s">
        <v>258</v>
      </c>
      <c r="H130" s="111" t="s">
        <v>259</v>
      </c>
      <c r="I130" s="111" t="s">
        <v>156</v>
      </c>
    </row>
    <row r="131" ht="15.75" customHeight="1">
      <c r="A131" s="112" t="s">
        <v>260</v>
      </c>
      <c r="B131" s="38">
        <v>98881.0</v>
      </c>
      <c r="C131" s="38">
        <v>46911.0</v>
      </c>
      <c r="D131" s="38">
        <v>42205.0</v>
      </c>
      <c r="E131" s="38">
        <v>42683.0</v>
      </c>
      <c r="F131" s="38">
        <v>545.0</v>
      </c>
      <c r="G131" s="112"/>
      <c r="H131" s="112"/>
      <c r="I131" s="112"/>
    </row>
    <row r="132" ht="15.75" customHeight="1">
      <c r="A132" s="112" t="s">
        <v>233</v>
      </c>
      <c r="B132" s="112">
        <f t="shared" ref="B132:F132" si="72">ROUNDUP((B135/$P$9)*$Q$9,0)</f>
        <v>250</v>
      </c>
      <c r="C132" s="112">
        <f t="shared" si="72"/>
        <v>250</v>
      </c>
      <c r="D132" s="112">
        <f t="shared" si="72"/>
        <v>250</v>
      </c>
      <c r="E132" s="112">
        <f t="shared" si="72"/>
        <v>250</v>
      </c>
      <c r="F132" s="112">
        <f t="shared" si="72"/>
        <v>250</v>
      </c>
      <c r="G132" s="112"/>
      <c r="H132" s="112"/>
      <c r="I132" s="112"/>
    </row>
    <row r="133" ht="15.75" customHeight="1">
      <c r="A133" s="112" t="s">
        <v>261</v>
      </c>
      <c r="B133" s="112">
        <v>5.0</v>
      </c>
      <c r="C133" s="112">
        <f t="shared" ref="C133:F133" si="73">B134</f>
        <v>46</v>
      </c>
      <c r="D133" s="112">
        <f t="shared" si="73"/>
        <v>22</v>
      </c>
      <c r="E133" s="112">
        <f t="shared" si="73"/>
        <v>20</v>
      </c>
      <c r="F133" s="112">
        <f t="shared" si="73"/>
        <v>20</v>
      </c>
      <c r="G133" s="112"/>
      <c r="H133" s="112"/>
      <c r="I133" s="112"/>
    </row>
    <row r="134" ht="15.75" customHeight="1">
      <c r="A134" s="112" t="s">
        <v>262</v>
      </c>
      <c r="B134" s="108">
        <f t="shared" ref="B134:F134" si="74">ROUNDUP(B131/B136,0)</f>
        <v>46</v>
      </c>
      <c r="C134" s="108">
        <f t="shared" si="74"/>
        <v>22</v>
      </c>
      <c r="D134" s="108">
        <f t="shared" si="74"/>
        <v>20</v>
      </c>
      <c r="E134" s="108">
        <f t="shared" si="74"/>
        <v>20</v>
      </c>
      <c r="F134" s="108">
        <f t="shared" si="74"/>
        <v>1</v>
      </c>
      <c r="G134" s="112"/>
      <c r="H134" s="112"/>
      <c r="I134" s="112"/>
    </row>
    <row r="135" ht="15.75" customHeight="1">
      <c r="A135" s="112" t="s">
        <v>263</v>
      </c>
      <c r="B135" s="112">
        <v>2400.0</v>
      </c>
      <c r="C135" s="112">
        <v>2400.0</v>
      </c>
      <c r="D135" s="112">
        <v>2400.0</v>
      </c>
      <c r="E135" s="112">
        <v>2400.0</v>
      </c>
      <c r="F135" s="112">
        <v>2400.0</v>
      </c>
      <c r="G135" s="112"/>
      <c r="H135" s="112"/>
      <c r="I135" s="112"/>
    </row>
    <row r="136" ht="15.75" customHeight="1">
      <c r="A136" s="112" t="s">
        <v>264</v>
      </c>
      <c r="B136" s="112">
        <f t="shared" ref="B136:F136" si="75">B135-B132</f>
        <v>2150</v>
      </c>
      <c r="C136" s="112">
        <f t="shared" si="75"/>
        <v>2150</v>
      </c>
      <c r="D136" s="112">
        <f t="shared" si="75"/>
        <v>2150</v>
      </c>
      <c r="E136" s="112">
        <f t="shared" si="75"/>
        <v>2150</v>
      </c>
      <c r="F136" s="112">
        <f t="shared" si="75"/>
        <v>2150</v>
      </c>
      <c r="G136" s="112"/>
      <c r="H136" s="112"/>
      <c r="I136" s="112"/>
    </row>
    <row r="137" ht="15.75" customHeight="1">
      <c r="A137" s="112" t="s">
        <v>265</v>
      </c>
      <c r="B137" s="112">
        <f t="shared" ref="B137:F137" si="76">B134*B136</f>
        <v>98900</v>
      </c>
      <c r="C137" s="112">
        <f t="shared" si="76"/>
        <v>47300</v>
      </c>
      <c r="D137" s="112">
        <f t="shared" si="76"/>
        <v>43000</v>
      </c>
      <c r="E137" s="112">
        <f t="shared" si="76"/>
        <v>43000</v>
      </c>
      <c r="F137" s="112">
        <f t="shared" si="76"/>
        <v>2150</v>
      </c>
      <c r="G137" s="112"/>
      <c r="H137" s="112"/>
      <c r="I137" s="112"/>
    </row>
    <row r="138" ht="15.75" customHeight="1">
      <c r="A138" s="112" t="s">
        <v>266</v>
      </c>
      <c r="B138" s="112">
        <f t="shared" ref="B138:F138" si="77">B131</f>
        <v>98881</v>
      </c>
      <c r="C138" s="112">
        <f t="shared" si="77"/>
        <v>46911</v>
      </c>
      <c r="D138" s="112">
        <f t="shared" si="77"/>
        <v>42205</v>
      </c>
      <c r="E138" s="112">
        <f t="shared" si="77"/>
        <v>42683</v>
      </c>
      <c r="F138" s="112">
        <f t="shared" si="77"/>
        <v>545</v>
      </c>
      <c r="G138" s="112"/>
      <c r="H138" s="112"/>
      <c r="I138" s="112"/>
    </row>
    <row r="139" ht="15.75" customHeight="1">
      <c r="A139" s="112" t="s">
        <v>267</v>
      </c>
      <c r="B139" s="112">
        <f t="shared" ref="B139:F139" si="78">B137-B138</f>
        <v>19</v>
      </c>
      <c r="C139" s="112">
        <f t="shared" si="78"/>
        <v>389</v>
      </c>
      <c r="D139" s="112">
        <f t="shared" si="78"/>
        <v>795</v>
      </c>
      <c r="E139" s="112">
        <f t="shared" si="78"/>
        <v>317</v>
      </c>
      <c r="F139" s="112">
        <f t="shared" si="78"/>
        <v>1605</v>
      </c>
      <c r="G139" s="112">
        <f t="shared" ref="G139:G141" si="79">SUM(B139:F139)</f>
        <v>3125</v>
      </c>
      <c r="H139" s="112">
        <v>2.0</v>
      </c>
      <c r="I139" s="112">
        <f t="shared" ref="I139:I141" si="80">G139*H139</f>
        <v>6250</v>
      </c>
    </row>
    <row r="140" ht="15.75" customHeight="1">
      <c r="A140" s="112" t="s">
        <v>268</v>
      </c>
      <c r="B140" s="112">
        <f>B134-B133</f>
        <v>41</v>
      </c>
      <c r="C140" s="112"/>
      <c r="D140" s="112"/>
      <c r="E140" s="112"/>
      <c r="F140" s="112"/>
      <c r="G140" s="112">
        <f t="shared" si="79"/>
        <v>41</v>
      </c>
      <c r="H140" s="112">
        <v>4500.0</v>
      </c>
      <c r="I140" s="112">
        <f t="shared" si="80"/>
        <v>184500</v>
      </c>
    </row>
    <row r="141" ht="15.75" customHeight="1">
      <c r="A141" s="112" t="s">
        <v>269</v>
      </c>
      <c r="B141" s="112"/>
      <c r="C141" s="112">
        <f t="shared" ref="C141:D141" si="81">C133-C134</f>
        <v>24</v>
      </c>
      <c r="D141" s="112">
        <f t="shared" si="81"/>
        <v>2</v>
      </c>
      <c r="E141" s="112"/>
      <c r="F141" s="112">
        <f>F133-F134</f>
        <v>19</v>
      </c>
      <c r="G141" s="112">
        <f t="shared" si="79"/>
        <v>45</v>
      </c>
      <c r="H141" s="112">
        <v>2250.0</v>
      </c>
      <c r="I141" s="112">
        <f t="shared" si="80"/>
        <v>101250</v>
      </c>
    </row>
    <row r="142" ht="15.75" customHeight="1">
      <c r="A142" s="111"/>
      <c r="B142" s="112"/>
      <c r="C142" s="112"/>
      <c r="D142" s="112"/>
      <c r="E142" s="112"/>
      <c r="F142" s="112"/>
      <c r="G142" s="112"/>
      <c r="H142" s="112"/>
      <c r="I142" s="111">
        <f>I139+I140-I141</f>
        <v>89500</v>
      </c>
    </row>
    <row r="143" ht="15.75" customHeight="1"/>
    <row r="144" ht="15.75" customHeight="1">
      <c r="A144" s="65" t="s">
        <v>270</v>
      </c>
      <c r="B144" s="62"/>
      <c r="C144" s="62"/>
      <c r="D144" s="62"/>
      <c r="E144" s="62"/>
      <c r="F144" s="63"/>
    </row>
    <row r="145" ht="15.75" customHeight="1">
      <c r="A145" s="113" t="s">
        <v>25</v>
      </c>
      <c r="B145" s="113">
        <v>21.0</v>
      </c>
      <c r="C145" s="113">
        <v>22.0</v>
      </c>
      <c r="D145" s="113">
        <v>23.0</v>
      </c>
      <c r="E145" s="113">
        <v>24.0</v>
      </c>
      <c r="F145" s="113">
        <v>25.0</v>
      </c>
    </row>
    <row r="146" ht="15.75" customHeight="1">
      <c r="A146" s="36" t="s">
        <v>249</v>
      </c>
      <c r="B146" s="36">
        <v>36.0</v>
      </c>
      <c r="C146" s="36">
        <v>25.0</v>
      </c>
      <c r="D146" s="36">
        <v>16.0</v>
      </c>
      <c r="E146" s="36">
        <v>17.0</v>
      </c>
      <c r="F146" s="36">
        <v>3.0</v>
      </c>
    </row>
    <row r="147" ht="15.75" customHeight="1">
      <c r="A147" s="36" t="s">
        <v>250</v>
      </c>
      <c r="B147" s="36">
        <v>30.0</v>
      </c>
      <c r="C147" s="36">
        <v>20.0</v>
      </c>
      <c r="D147" s="36">
        <v>9.0</v>
      </c>
      <c r="E147" s="36">
        <v>13.0</v>
      </c>
      <c r="F147" s="36">
        <v>2.0</v>
      </c>
    </row>
    <row r="148" ht="15.75" customHeight="1">
      <c r="A148" s="36" t="s">
        <v>251</v>
      </c>
      <c r="B148" s="36">
        <v>54.0</v>
      </c>
      <c r="C148" s="36">
        <v>25.0</v>
      </c>
      <c r="D148" s="36">
        <v>24.0</v>
      </c>
      <c r="E148" s="36">
        <v>23.0</v>
      </c>
      <c r="F148" s="36">
        <v>1.0</v>
      </c>
    </row>
    <row r="149" ht="15.75" customHeight="1">
      <c r="A149" s="36" t="s">
        <v>252</v>
      </c>
      <c r="B149" s="36">
        <v>61.0</v>
      </c>
      <c r="C149" s="36">
        <v>38.0</v>
      </c>
      <c r="D149" s="36">
        <v>29.0</v>
      </c>
      <c r="E149" s="36">
        <v>29.0</v>
      </c>
      <c r="F149" s="36">
        <v>4.0</v>
      </c>
    </row>
    <row r="150" ht="15.75" customHeight="1">
      <c r="A150" s="36" t="s">
        <v>253</v>
      </c>
      <c r="B150" s="36">
        <v>43.0</v>
      </c>
      <c r="C150" s="36">
        <v>23.0</v>
      </c>
      <c r="D150" s="36">
        <v>22.0</v>
      </c>
      <c r="E150" s="36">
        <v>21.0</v>
      </c>
      <c r="F150" s="36">
        <v>2.0</v>
      </c>
    </row>
    <row r="151" ht="15.75" customHeight="1">
      <c r="A151" s="36" t="s">
        <v>254</v>
      </c>
      <c r="B151" s="36">
        <v>44.0</v>
      </c>
      <c r="C151" s="36">
        <v>21.0</v>
      </c>
      <c r="D151" s="36">
        <v>19.0</v>
      </c>
      <c r="E151" s="36">
        <v>19.0</v>
      </c>
      <c r="F151" s="36">
        <v>1.0</v>
      </c>
    </row>
    <row r="152" ht="15.75" customHeight="1">
      <c r="A152" s="36" t="s">
        <v>255</v>
      </c>
      <c r="B152" s="36">
        <v>46.0</v>
      </c>
      <c r="C152" s="36">
        <v>22.0</v>
      </c>
      <c r="D152" s="36">
        <v>20.0</v>
      </c>
      <c r="E152" s="36">
        <v>20.0</v>
      </c>
      <c r="F152" s="36">
        <v>1.0</v>
      </c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13:I113"/>
    <mergeCell ref="A129:I129"/>
    <mergeCell ref="A144:F144"/>
    <mergeCell ref="A1:I1"/>
    <mergeCell ref="A17:I17"/>
    <mergeCell ref="A33:I33"/>
    <mergeCell ref="A49:I49"/>
    <mergeCell ref="A65:I65"/>
    <mergeCell ref="A81:I81"/>
    <mergeCell ref="A97:I97"/>
  </mergeCells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38"/>
    <col customWidth="1" min="2" max="26" width="7.63"/>
  </cols>
  <sheetData>
    <row r="1">
      <c r="A1" s="36" t="s">
        <v>271</v>
      </c>
      <c r="B1" s="36">
        <v>114200.0</v>
      </c>
    </row>
    <row r="2">
      <c r="A2" s="36" t="s">
        <v>272</v>
      </c>
      <c r="B2" s="36">
        <v>159672.0</v>
      </c>
    </row>
    <row r="3">
      <c r="A3" s="36" t="s">
        <v>273</v>
      </c>
      <c r="B3" s="36">
        <v>131719.0</v>
      </c>
    </row>
    <row r="4">
      <c r="A4" s="36" t="s">
        <v>274</v>
      </c>
      <c r="B4" s="36">
        <v>90500.0</v>
      </c>
    </row>
    <row r="5">
      <c r="A5" s="36" t="s">
        <v>275</v>
      </c>
      <c r="B5" s="36">
        <v>257000.0</v>
      </c>
    </row>
    <row r="6">
      <c r="A6" s="36"/>
      <c r="B6" s="70">
        <f>SUM(B1:B5)</f>
        <v>753091</v>
      </c>
    </row>
    <row r="8">
      <c r="A8" s="36" t="s">
        <v>276</v>
      </c>
      <c r="B8" s="43">
        <v>51170.0</v>
      </c>
    </row>
    <row r="9">
      <c r="A9" s="36" t="s">
        <v>277</v>
      </c>
      <c r="B9" s="43">
        <v>12414.0</v>
      </c>
    </row>
    <row r="10">
      <c r="A10" s="36" t="s">
        <v>278</v>
      </c>
      <c r="B10" s="43">
        <v>43040.0</v>
      </c>
    </row>
    <row r="11">
      <c r="A11" s="36" t="s">
        <v>279</v>
      </c>
      <c r="B11" s="43">
        <v>61748.0</v>
      </c>
    </row>
    <row r="12">
      <c r="A12" s="36" t="s">
        <v>280</v>
      </c>
      <c r="B12" s="43">
        <v>61748.0</v>
      </c>
    </row>
    <row r="13">
      <c r="A13" s="36" t="s">
        <v>281</v>
      </c>
      <c r="B13" s="43">
        <v>86180.0</v>
      </c>
    </row>
    <row r="14">
      <c r="A14" s="36" t="s">
        <v>282</v>
      </c>
      <c r="B14" s="43">
        <v>89500.0</v>
      </c>
    </row>
    <row r="15">
      <c r="A15" s="43"/>
      <c r="B15" s="70">
        <f>SUM(B8:B14)</f>
        <v>405800</v>
      </c>
    </row>
    <row r="17">
      <c r="A17" s="36"/>
      <c r="B17" s="60" t="s">
        <v>173</v>
      </c>
      <c r="C17" s="60" t="s">
        <v>174</v>
      </c>
      <c r="D17" s="60" t="s">
        <v>175</v>
      </c>
      <c r="E17" s="60" t="s">
        <v>176</v>
      </c>
      <c r="F17" s="60" t="s">
        <v>177</v>
      </c>
      <c r="G17" s="60" t="s">
        <v>55</v>
      </c>
      <c r="H17" s="60" t="s">
        <v>283</v>
      </c>
      <c r="I17" s="60" t="s">
        <v>284</v>
      </c>
    </row>
    <row r="18">
      <c r="A18" s="60" t="s">
        <v>237</v>
      </c>
      <c r="B18" s="60">
        <v>3000.0</v>
      </c>
      <c r="C18" s="60">
        <v>1000.0</v>
      </c>
      <c r="D18" s="60">
        <v>1000.0</v>
      </c>
      <c r="E18" s="60">
        <v>1000.0</v>
      </c>
      <c r="F18" s="60">
        <v>0.0</v>
      </c>
      <c r="G18" s="60">
        <f t="shared" ref="G18:G21" si="1">SUM(B18:F18)</f>
        <v>6000</v>
      </c>
      <c r="H18" s="60">
        <v>7.0</v>
      </c>
      <c r="I18" s="60">
        <f t="shared" ref="I18:I21" si="2">G18*H18</f>
        <v>42000</v>
      </c>
    </row>
    <row r="19">
      <c r="A19" s="60" t="s">
        <v>238</v>
      </c>
      <c r="B19" s="60">
        <v>0.0</v>
      </c>
      <c r="C19" s="60">
        <v>200.0</v>
      </c>
      <c r="D19" s="60">
        <v>200.0</v>
      </c>
      <c r="E19" s="60">
        <v>0.0</v>
      </c>
      <c r="F19" s="60">
        <v>200.0</v>
      </c>
      <c r="G19" s="60">
        <f t="shared" si="1"/>
        <v>600</v>
      </c>
      <c r="H19" s="60">
        <v>25.0</v>
      </c>
      <c r="I19" s="60">
        <f t="shared" si="2"/>
        <v>15000</v>
      </c>
    </row>
    <row r="20">
      <c r="A20" s="60" t="s">
        <v>239</v>
      </c>
      <c r="B20" s="60">
        <v>812.0</v>
      </c>
      <c r="C20" s="60">
        <v>1002.0</v>
      </c>
      <c r="D20" s="60">
        <v>0.0</v>
      </c>
      <c r="E20" s="60">
        <v>466.0</v>
      </c>
      <c r="F20" s="60">
        <v>0.0</v>
      </c>
      <c r="G20" s="60">
        <f t="shared" si="1"/>
        <v>2280</v>
      </c>
      <c r="H20" s="60">
        <v>22.0</v>
      </c>
      <c r="I20" s="60">
        <f t="shared" si="2"/>
        <v>50160</v>
      </c>
    </row>
    <row r="21" ht="15.75" customHeight="1">
      <c r="A21" s="60" t="s">
        <v>240</v>
      </c>
      <c r="B21" s="60">
        <v>4190.0</v>
      </c>
      <c r="C21" s="60">
        <v>2536.0</v>
      </c>
      <c r="D21" s="60">
        <v>2366.0</v>
      </c>
      <c r="E21" s="60">
        <v>2274.0</v>
      </c>
      <c r="F21" s="60">
        <v>0.0</v>
      </c>
      <c r="G21" s="60">
        <f t="shared" si="1"/>
        <v>11366</v>
      </c>
      <c r="H21" s="60">
        <v>12.0</v>
      </c>
      <c r="I21" s="60">
        <f t="shared" si="2"/>
        <v>136392</v>
      </c>
    </row>
    <row r="22" ht="15.75" customHeight="1">
      <c r="A22" s="60"/>
      <c r="B22" s="60"/>
      <c r="C22" s="60"/>
      <c r="D22" s="60"/>
      <c r="E22" s="60"/>
      <c r="F22" s="60"/>
      <c r="G22" s="60"/>
      <c r="H22" s="60"/>
      <c r="I22" s="114">
        <f>SUM(I18:I21)</f>
        <v>243552</v>
      </c>
    </row>
    <row r="23" ht="15.75" customHeight="1"/>
    <row r="24" ht="15.75" customHeight="1"/>
    <row r="25" ht="15.75" customHeight="1"/>
    <row r="26" ht="15.75" customHeight="1">
      <c r="E26" s="115">
        <f>SUM(I22,B15,B6)</f>
        <v>1402443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6</v>
      </c>
      <c r="B1" s="20">
        <f>AVERAGE(B6:B25)</f>
        <v>169.8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7</v>
      </c>
      <c r="B2" s="20">
        <f>MEDIAN(B6:B25)</f>
        <v>167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8</v>
      </c>
      <c r="B3" s="20">
        <f>_xlfn.STDEV.P(B6:B25)</f>
        <v>29.78187368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/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0" t="s">
        <v>9</v>
      </c>
      <c r="B5" s="10" t="s">
        <v>18</v>
      </c>
      <c r="C5" s="11" t="s">
        <v>11</v>
      </c>
      <c r="D5" s="11" t="s">
        <v>12</v>
      </c>
      <c r="E5" s="11" t="s">
        <v>13</v>
      </c>
      <c r="F5" s="11" t="s">
        <v>14</v>
      </c>
      <c r="G5" s="11" t="s">
        <v>15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2">
        <v>1.0</v>
      </c>
      <c r="B6" s="12">
        <v>145.0</v>
      </c>
      <c r="C6" s="2" t="s">
        <v>16</v>
      </c>
      <c r="D6" s="20">
        <f t="shared" ref="D6:D25" si="1">B6+$B$1</f>
        <v>314.8</v>
      </c>
      <c r="E6" s="7">
        <f t="shared" ref="E6:E25" si="2">$B$3*SQRT(A6)</f>
        <v>29.78187368</v>
      </c>
      <c r="F6" s="2"/>
      <c r="G6" s="4">
        <f t="shared" ref="G6:G25" si="3">ABS(D6-B6)</f>
        <v>169.8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2">
        <v>2.0</v>
      </c>
      <c r="B7" s="12">
        <v>164.0</v>
      </c>
      <c r="C7" s="4">
        <f t="shared" ref="C7:C25" si="4">B7-B6</f>
        <v>19</v>
      </c>
      <c r="D7" s="20">
        <f t="shared" si="1"/>
        <v>333.8</v>
      </c>
      <c r="E7" s="7">
        <f t="shared" si="2"/>
        <v>42.11792967</v>
      </c>
      <c r="F7" s="2"/>
      <c r="G7" s="4">
        <f t="shared" si="3"/>
        <v>169.8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2">
        <v>3.0</v>
      </c>
      <c r="B8" s="12">
        <v>178.0</v>
      </c>
      <c r="C8" s="4">
        <f t="shared" si="4"/>
        <v>14</v>
      </c>
      <c r="D8" s="20">
        <f t="shared" si="1"/>
        <v>347.8</v>
      </c>
      <c r="E8" s="7">
        <f t="shared" si="2"/>
        <v>51.58371836</v>
      </c>
      <c r="F8" s="2"/>
      <c r="G8" s="4">
        <f t="shared" si="3"/>
        <v>169.8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>
        <v>4.0</v>
      </c>
      <c r="B9" s="12">
        <v>200.0</v>
      </c>
      <c r="C9" s="4">
        <f t="shared" si="4"/>
        <v>22</v>
      </c>
      <c r="D9" s="20">
        <f t="shared" si="1"/>
        <v>369.8</v>
      </c>
      <c r="E9" s="7">
        <f t="shared" si="2"/>
        <v>59.56374736</v>
      </c>
      <c r="F9" s="2"/>
      <c r="G9" s="4">
        <f t="shared" si="3"/>
        <v>169.8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2">
        <v>5.0</v>
      </c>
      <c r="B10" s="12">
        <v>215.0</v>
      </c>
      <c r="C10" s="4">
        <f t="shared" si="4"/>
        <v>15</v>
      </c>
      <c r="D10" s="20">
        <f t="shared" si="1"/>
        <v>384.8</v>
      </c>
      <c r="E10" s="7">
        <f t="shared" si="2"/>
        <v>66.59429405</v>
      </c>
      <c r="F10" s="2"/>
      <c r="G10" s="4">
        <f t="shared" si="3"/>
        <v>169.8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6.0</v>
      </c>
      <c r="B11" s="12">
        <v>205.0</v>
      </c>
      <c r="C11" s="4">
        <f t="shared" si="4"/>
        <v>-10</v>
      </c>
      <c r="D11" s="20">
        <f t="shared" si="1"/>
        <v>374.8</v>
      </c>
      <c r="E11" s="7">
        <f t="shared" si="2"/>
        <v>72.9503941</v>
      </c>
      <c r="F11" s="2"/>
      <c r="G11" s="4">
        <f t="shared" si="3"/>
        <v>169.8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>
        <v>7.0</v>
      </c>
      <c r="B12" s="12">
        <v>170.0</v>
      </c>
      <c r="C12" s="4">
        <f t="shared" si="4"/>
        <v>-35</v>
      </c>
      <c r="D12" s="20">
        <f t="shared" si="1"/>
        <v>339.8</v>
      </c>
      <c r="E12" s="7">
        <f t="shared" si="2"/>
        <v>78.79543134</v>
      </c>
      <c r="F12" s="2"/>
      <c r="G12" s="4">
        <f t="shared" si="3"/>
        <v>169.8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2">
        <v>8.0</v>
      </c>
      <c r="B13" s="12">
        <v>142.0</v>
      </c>
      <c r="C13" s="4">
        <f t="shared" si="4"/>
        <v>-28</v>
      </c>
      <c r="D13" s="20">
        <f t="shared" si="1"/>
        <v>311.8</v>
      </c>
      <c r="E13" s="7">
        <f t="shared" si="2"/>
        <v>84.23585935</v>
      </c>
      <c r="F13" s="2"/>
      <c r="G13" s="4">
        <f t="shared" si="3"/>
        <v>169.8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>
        <v>9.0</v>
      </c>
      <c r="B14" s="12">
        <v>119.0</v>
      </c>
      <c r="C14" s="4">
        <f t="shared" si="4"/>
        <v>-23</v>
      </c>
      <c r="D14" s="20">
        <f t="shared" si="1"/>
        <v>288.8</v>
      </c>
      <c r="E14" s="7">
        <f t="shared" si="2"/>
        <v>89.34562105</v>
      </c>
      <c r="F14" s="2"/>
      <c r="G14" s="4">
        <f t="shared" si="3"/>
        <v>169.8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>
        <v>10.0</v>
      </c>
      <c r="B15" s="12">
        <v>147.0</v>
      </c>
      <c r="C15" s="4">
        <f t="shared" si="4"/>
        <v>28</v>
      </c>
      <c r="D15" s="20">
        <f t="shared" si="1"/>
        <v>316.8</v>
      </c>
      <c r="E15" s="7">
        <f t="shared" si="2"/>
        <v>94.17855382</v>
      </c>
      <c r="F15" s="2"/>
      <c r="G15" s="4">
        <f t="shared" si="3"/>
        <v>169.8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2">
        <v>11.0</v>
      </c>
      <c r="B16" s="21">
        <v>162.0</v>
      </c>
      <c r="C16" s="4">
        <f t="shared" si="4"/>
        <v>15</v>
      </c>
      <c r="D16" s="20">
        <f t="shared" si="1"/>
        <v>331.8</v>
      </c>
      <c r="E16" s="7">
        <f t="shared" si="2"/>
        <v>98.77530056</v>
      </c>
      <c r="F16" s="2"/>
      <c r="G16" s="4">
        <f t="shared" si="3"/>
        <v>169.8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2">
        <v>12.0</v>
      </c>
      <c r="B17" s="21">
        <v>180.0</v>
      </c>
      <c r="C17" s="4">
        <f t="shared" si="4"/>
        <v>18</v>
      </c>
      <c r="D17" s="20">
        <f t="shared" si="1"/>
        <v>349.8</v>
      </c>
      <c r="E17" s="7">
        <f t="shared" si="2"/>
        <v>103.1674367</v>
      </c>
      <c r="F17" s="2"/>
      <c r="G17" s="4">
        <f t="shared" si="3"/>
        <v>169.8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2">
        <v>13.0</v>
      </c>
      <c r="B18" s="21">
        <v>199.0</v>
      </c>
      <c r="C18" s="4">
        <f t="shared" si="4"/>
        <v>19</v>
      </c>
      <c r="D18" s="20">
        <f t="shared" si="1"/>
        <v>368.8</v>
      </c>
      <c r="E18" s="7">
        <f t="shared" si="2"/>
        <v>107.3800726</v>
      </c>
      <c r="F18" s="2"/>
      <c r="G18" s="4">
        <f t="shared" si="3"/>
        <v>169.8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2">
        <v>14.0</v>
      </c>
      <c r="B19" s="21">
        <v>220.0</v>
      </c>
      <c r="C19" s="4">
        <f t="shared" si="4"/>
        <v>21</v>
      </c>
      <c r="D19" s="20">
        <f t="shared" si="1"/>
        <v>389.8</v>
      </c>
      <c r="E19" s="7">
        <f t="shared" si="2"/>
        <v>111.4335677</v>
      </c>
      <c r="F19" s="2"/>
      <c r="G19" s="4">
        <f t="shared" si="3"/>
        <v>169.8</v>
      </c>
      <c r="H19" s="2"/>
      <c r="I19" s="2"/>
      <c r="J19" s="2"/>
      <c r="K19" s="2"/>
      <c r="L19" s="2"/>
      <c r="M19" s="2"/>
      <c r="N19" s="2"/>
      <c r="O19" s="2"/>
      <c r="P19" s="4">
        <v>329.8</v>
      </c>
      <c r="Q19" s="4">
        <v>499.6</v>
      </c>
      <c r="R19" s="4">
        <v>669.4000000000001</v>
      </c>
      <c r="S19" s="4">
        <v>839.2</v>
      </c>
      <c r="T19" s="4">
        <v>1009.0</v>
      </c>
      <c r="U19" s="2"/>
      <c r="V19" s="2"/>
      <c r="W19" s="2"/>
      <c r="X19" s="2"/>
      <c r="Y19" s="2"/>
      <c r="Z19" s="2"/>
    </row>
    <row r="20">
      <c r="A20" s="12">
        <v>15.0</v>
      </c>
      <c r="B20" s="21">
        <v>208.0</v>
      </c>
      <c r="C20" s="4">
        <f t="shared" si="4"/>
        <v>-12</v>
      </c>
      <c r="D20" s="20">
        <f t="shared" si="1"/>
        <v>377.8</v>
      </c>
      <c r="E20" s="7">
        <f t="shared" si="2"/>
        <v>115.3447008</v>
      </c>
      <c r="F20" s="2"/>
      <c r="G20" s="4">
        <f t="shared" si="3"/>
        <v>169.8</v>
      </c>
      <c r="H20" s="2"/>
      <c r="I20" s="2"/>
      <c r="J20" s="2"/>
      <c r="K20" s="2"/>
      <c r="L20" s="2"/>
      <c r="M20" s="4">
        <v>329.8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2">
        <v>16.0</v>
      </c>
      <c r="B21" s="21">
        <v>175.0</v>
      </c>
      <c r="C21" s="4">
        <f t="shared" si="4"/>
        <v>-33</v>
      </c>
      <c r="D21" s="20">
        <f t="shared" si="1"/>
        <v>344.8</v>
      </c>
      <c r="E21" s="7">
        <f t="shared" si="2"/>
        <v>119.1274947</v>
      </c>
      <c r="F21" s="2"/>
      <c r="G21" s="4">
        <f t="shared" si="3"/>
        <v>169.8</v>
      </c>
      <c r="H21" s="2"/>
      <c r="I21" s="2"/>
      <c r="J21" s="2"/>
      <c r="K21" s="2"/>
      <c r="L21" s="2"/>
      <c r="M21" s="4">
        <v>499.6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2">
        <v>17.0</v>
      </c>
      <c r="B22" s="21">
        <v>140.0</v>
      </c>
      <c r="C22" s="4">
        <f t="shared" si="4"/>
        <v>-35</v>
      </c>
      <c r="D22" s="20">
        <f t="shared" si="1"/>
        <v>309.8</v>
      </c>
      <c r="E22" s="7">
        <f t="shared" si="2"/>
        <v>122.7938109</v>
      </c>
      <c r="F22" s="2"/>
      <c r="G22" s="4">
        <f t="shared" si="3"/>
        <v>169.8</v>
      </c>
      <c r="H22" s="2"/>
      <c r="I22" s="2"/>
      <c r="J22" s="2"/>
      <c r="K22" s="2"/>
      <c r="L22" s="2"/>
      <c r="M22" s="4">
        <v>669.4000000000001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2">
        <v>18.0</v>
      </c>
      <c r="B23" s="21">
        <v>121.0</v>
      </c>
      <c r="C23" s="4">
        <f t="shared" si="4"/>
        <v>-19</v>
      </c>
      <c r="D23" s="20">
        <f t="shared" si="1"/>
        <v>290.8</v>
      </c>
      <c r="E23" s="7">
        <f t="shared" si="2"/>
        <v>126.353789</v>
      </c>
      <c r="F23" s="2"/>
      <c r="G23" s="4">
        <f t="shared" si="3"/>
        <v>169.8</v>
      </c>
      <c r="H23" s="2"/>
      <c r="I23" s="2"/>
      <c r="J23" s="2"/>
      <c r="K23" s="2"/>
      <c r="L23" s="2"/>
      <c r="M23" s="4">
        <v>839.2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2">
        <v>19.0</v>
      </c>
      <c r="B24" s="21">
        <v>146.0</v>
      </c>
      <c r="C24" s="4">
        <f t="shared" si="4"/>
        <v>25</v>
      </c>
      <c r="D24" s="20">
        <f t="shared" si="1"/>
        <v>315.8</v>
      </c>
      <c r="E24" s="7">
        <f t="shared" si="2"/>
        <v>129.8161777</v>
      </c>
      <c r="F24" s="2"/>
      <c r="G24" s="4">
        <f t="shared" si="3"/>
        <v>169.8</v>
      </c>
      <c r="H24" s="2"/>
      <c r="I24" s="2"/>
      <c r="J24" s="2"/>
      <c r="K24" s="2"/>
      <c r="L24" s="2"/>
      <c r="M24" s="4">
        <v>1009.0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4">
        <v>20.0</v>
      </c>
      <c r="B25" s="22">
        <v>160.0</v>
      </c>
      <c r="C25" s="3">
        <f t="shared" si="4"/>
        <v>14</v>
      </c>
      <c r="D25" s="23">
        <f t="shared" si="1"/>
        <v>329.8</v>
      </c>
      <c r="E25" s="8">
        <f t="shared" si="2"/>
        <v>133.1885881</v>
      </c>
      <c r="F25" s="1"/>
      <c r="G25" s="3">
        <f t="shared" si="3"/>
        <v>169.8</v>
      </c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5">
        <v>21.0</v>
      </c>
      <c r="B26" s="2"/>
      <c r="C26" s="1"/>
      <c r="D26" s="24">
        <f>B25+$B$1</f>
        <v>329.8</v>
      </c>
      <c r="E26" s="7">
        <f t="shared" ref="E26:E30" si="5">$B$3*SQRT(F26)</f>
        <v>29.78187368</v>
      </c>
      <c r="F26" s="3">
        <v>1.0</v>
      </c>
      <c r="G26" s="17">
        <f>AVERAGE(G6:G25)</f>
        <v>169.8</v>
      </c>
      <c r="H26" s="18" t="s">
        <v>15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5">
        <v>22.0</v>
      </c>
      <c r="B27" s="2"/>
      <c r="C27" s="1"/>
      <c r="D27" s="24">
        <f t="shared" ref="D27:D30" si="6">D26+$B$1</f>
        <v>499.6</v>
      </c>
      <c r="E27" s="7">
        <f t="shared" si="5"/>
        <v>42.11792967</v>
      </c>
      <c r="F27" s="4">
        <v>2.0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5">
        <v>23.0</v>
      </c>
      <c r="B28" s="2"/>
      <c r="C28" s="1"/>
      <c r="D28" s="24">
        <f t="shared" si="6"/>
        <v>669.4</v>
      </c>
      <c r="E28" s="7">
        <f t="shared" si="5"/>
        <v>51.58371836</v>
      </c>
      <c r="F28" s="4">
        <v>3.0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5">
        <v>24.0</v>
      </c>
      <c r="B29" s="2"/>
      <c r="C29" s="1"/>
      <c r="D29" s="24">
        <f t="shared" si="6"/>
        <v>839.2</v>
      </c>
      <c r="E29" s="7">
        <f t="shared" si="5"/>
        <v>59.56374736</v>
      </c>
      <c r="F29" s="4">
        <v>4.0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5">
        <v>25.0</v>
      </c>
      <c r="B30" s="2"/>
      <c r="C30" s="1"/>
      <c r="D30" s="24">
        <f t="shared" si="6"/>
        <v>1009</v>
      </c>
      <c r="E30" s="7">
        <f t="shared" si="5"/>
        <v>66.59429405</v>
      </c>
      <c r="F30" s="4">
        <v>5.0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5"/>
      <c r="F35" s="25"/>
      <c r="G35" s="25"/>
      <c r="H35" s="25"/>
      <c r="I35" s="2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6</v>
      </c>
      <c r="B1" s="20">
        <f>AVERAGE(B6:B25)</f>
        <v>87.4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7</v>
      </c>
      <c r="B2" s="20">
        <f>MEDIAN(B6:B25)</f>
        <v>84.5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8</v>
      </c>
      <c r="B3" s="20">
        <f>_xlfn.STDEV.P(B6:B25)</f>
        <v>19.34269888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/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0" t="s">
        <v>9</v>
      </c>
      <c r="B5" s="10" t="s">
        <v>19</v>
      </c>
      <c r="C5" s="11" t="s">
        <v>11</v>
      </c>
      <c r="D5" s="11" t="s">
        <v>12</v>
      </c>
      <c r="E5" s="11" t="s">
        <v>13</v>
      </c>
      <c r="F5" s="11" t="s">
        <v>14</v>
      </c>
      <c r="G5" s="11" t="s">
        <v>15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2">
        <v>1.0</v>
      </c>
      <c r="B6" s="4">
        <v>100.0</v>
      </c>
      <c r="C6" s="2" t="s">
        <v>16</v>
      </c>
      <c r="D6" s="20">
        <f t="shared" ref="D6:D25" si="1">B6+$B$1</f>
        <v>187.4</v>
      </c>
      <c r="E6" s="4">
        <f t="shared" ref="E6:E25" si="2">$B$3*SQRT(A6)</f>
        <v>19.34269888</v>
      </c>
      <c r="F6" s="2"/>
      <c r="G6" s="4">
        <f t="shared" ref="G6:G25" si="3">ABS(D6-B6)</f>
        <v>87.4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2">
        <v>2.0</v>
      </c>
      <c r="B7" s="4">
        <v>82.0</v>
      </c>
      <c r="C7" s="4">
        <f t="shared" ref="C7:C25" si="4">B7-B6</f>
        <v>-18</v>
      </c>
      <c r="D7" s="20">
        <f t="shared" si="1"/>
        <v>169.4</v>
      </c>
      <c r="E7" s="4">
        <f t="shared" si="2"/>
        <v>27.35470709</v>
      </c>
      <c r="F7" s="2"/>
      <c r="G7" s="4">
        <f t="shared" si="3"/>
        <v>87.4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2">
        <v>3.0</v>
      </c>
      <c r="B8" s="4">
        <v>70.0</v>
      </c>
      <c r="C8" s="4">
        <f t="shared" si="4"/>
        <v>-12</v>
      </c>
      <c r="D8" s="20">
        <f t="shared" si="1"/>
        <v>157.4</v>
      </c>
      <c r="E8" s="4">
        <f t="shared" si="2"/>
        <v>33.50253722</v>
      </c>
      <c r="F8" s="2"/>
      <c r="G8" s="4">
        <f t="shared" si="3"/>
        <v>87.4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>
        <v>4.0</v>
      </c>
      <c r="B9" s="4">
        <v>55.0</v>
      </c>
      <c r="C9" s="4">
        <f t="shared" si="4"/>
        <v>-15</v>
      </c>
      <c r="D9" s="20">
        <f t="shared" si="1"/>
        <v>142.4</v>
      </c>
      <c r="E9" s="4">
        <f t="shared" si="2"/>
        <v>38.68539776</v>
      </c>
      <c r="F9" s="2"/>
      <c r="G9" s="4">
        <f t="shared" si="3"/>
        <v>87.4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2">
        <v>5.0</v>
      </c>
      <c r="B10" s="4">
        <v>110.0</v>
      </c>
      <c r="C10" s="4">
        <f t="shared" si="4"/>
        <v>55</v>
      </c>
      <c r="D10" s="20">
        <f t="shared" si="1"/>
        <v>197.4</v>
      </c>
      <c r="E10" s="4">
        <f t="shared" si="2"/>
        <v>43.25158957</v>
      </c>
      <c r="F10" s="2"/>
      <c r="G10" s="4">
        <f t="shared" si="3"/>
        <v>87.4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6.0</v>
      </c>
      <c r="B11" s="4">
        <v>85.0</v>
      </c>
      <c r="C11" s="4">
        <f t="shared" si="4"/>
        <v>-25</v>
      </c>
      <c r="D11" s="20">
        <f t="shared" si="1"/>
        <v>172.4</v>
      </c>
      <c r="E11" s="4">
        <f t="shared" si="2"/>
        <v>47.37974251</v>
      </c>
      <c r="F11" s="2"/>
      <c r="G11" s="4">
        <f t="shared" si="3"/>
        <v>87.4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>
        <v>7.0</v>
      </c>
      <c r="B12" s="4">
        <v>74.0</v>
      </c>
      <c r="C12" s="4">
        <f t="shared" si="4"/>
        <v>-11</v>
      </c>
      <c r="D12" s="20">
        <f t="shared" si="1"/>
        <v>161.4</v>
      </c>
      <c r="E12" s="4">
        <f t="shared" si="2"/>
        <v>51.17597092</v>
      </c>
      <c r="F12" s="2"/>
      <c r="G12" s="4">
        <f t="shared" si="3"/>
        <v>87.4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2">
        <v>8.0</v>
      </c>
      <c r="B13" s="4">
        <v>62.0</v>
      </c>
      <c r="C13" s="4">
        <f t="shared" si="4"/>
        <v>-12</v>
      </c>
      <c r="D13" s="20">
        <f t="shared" si="1"/>
        <v>149.4</v>
      </c>
      <c r="E13" s="4">
        <f t="shared" si="2"/>
        <v>54.70941418</v>
      </c>
      <c r="F13" s="2"/>
      <c r="G13" s="4">
        <f t="shared" si="3"/>
        <v>87.4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>
        <v>9.0</v>
      </c>
      <c r="B14" s="4">
        <v>115.0</v>
      </c>
      <c r="C14" s="4">
        <f t="shared" si="4"/>
        <v>53</v>
      </c>
      <c r="D14" s="20">
        <f t="shared" si="1"/>
        <v>202.4</v>
      </c>
      <c r="E14" s="4">
        <f t="shared" si="2"/>
        <v>58.02809664</v>
      </c>
      <c r="F14" s="2"/>
      <c r="G14" s="4">
        <f t="shared" si="3"/>
        <v>87.4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>
        <v>10.0</v>
      </c>
      <c r="B15" s="4">
        <v>88.0</v>
      </c>
      <c r="C15" s="4">
        <f t="shared" si="4"/>
        <v>-27</v>
      </c>
      <c r="D15" s="20">
        <f t="shared" si="1"/>
        <v>175.4</v>
      </c>
      <c r="E15" s="4">
        <f t="shared" si="2"/>
        <v>61.16698456</v>
      </c>
      <c r="F15" s="2"/>
      <c r="G15" s="4">
        <f t="shared" si="3"/>
        <v>87.4</v>
      </c>
      <c r="H15" s="4">
        <f>AVERAGE(G6:G15)</f>
        <v>87.4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2">
        <v>11.0</v>
      </c>
      <c r="B16" s="4">
        <v>78.0</v>
      </c>
      <c r="C16" s="4">
        <f t="shared" si="4"/>
        <v>-10</v>
      </c>
      <c r="D16" s="20">
        <f t="shared" si="1"/>
        <v>165.4</v>
      </c>
      <c r="E16" s="4">
        <f t="shared" si="2"/>
        <v>64.15247462</v>
      </c>
      <c r="F16" s="2"/>
      <c r="G16" s="4">
        <f t="shared" si="3"/>
        <v>87.4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2">
        <v>12.0</v>
      </c>
      <c r="B17" s="4">
        <v>67.0</v>
      </c>
      <c r="C17" s="4">
        <f t="shared" si="4"/>
        <v>-11</v>
      </c>
      <c r="D17" s="20">
        <f t="shared" si="1"/>
        <v>154.4</v>
      </c>
      <c r="E17" s="4">
        <f t="shared" si="2"/>
        <v>67.00507443</v>
      </c>
      <c r="F17" s="2"/>
      <c r="G17" s="4">
        <f t="shared" si="3"/>
        <v>87.4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2">
        <v>13.0</v>
      </c>
      <c r="B18" s="4">
        <v>121.0</v>
      </c>
      <c r="C18" s="4">
        <f t="shared" si="4"/>
        <v>54</v>
      </c>
      <c r="D18" s="20">
        <f t="shared" si="1"/>
        <v>208.4</v>
      </c>
      <c r="E18" s="4">
        <f t="shared" si="2"/>
        <v>69.74109262</v>
      </c>
      <c r="F18" s="2"/>
      <c r="G18" s="4">
        <f t="shared" si="3"/>
        <v>87.4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2">
        <v>14.0</v>
      </c>
      <c r="B19" s="4">
        <v>93.0</v>
      </c>
      <c r="C19" s="4">
        <f t="shared" si="4"/>
        <v>-28</v>
      </c>
      <c r="D19" s="20">
        <f t="shared" si="1"/>
        <v>180.4</v>
      </c>
      <c r="E19" s="4">
        <f t="shared" si="2"/>
        <v>72.37375215</v>
      </c>
      <c r="F19" s="2"/>
      <c r="G19" s="4">
        <f t="shared" si="3"/>
        <v>87.4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>
        <v>15.0</v>
      </c>
      <c r="B20" s="4">
        <v>84.0</v>
      </c>
      <c r="C20" s="4">
        <f t="shared" si="4"/>
        <v>-9</v>
      </c>
      <c r="D20" s="20">
        <f t="shared" si="1"/>
        <v>171.4</v>
      </c>
      <c r="E20" s="4">
        <f t="shared" si="2"/>
        <v>74.91395064</v>
      </c>
      <c r="F20" s="2"/>
      <c r="G20" s="4">
        <f t="shared" si="3"/>
        <v>87.4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2">
        <v>16.0</v>
      </c>
      <c r="B21" s="4">
        <v>71.0</v>
      </c>
      <c r="C21" s="4">
        <f t="shared" si="4"/>
        <v>-13</v>
      </c>
      <c r="D21" s="20">
        <f t="shared" si="1"/>
        <v>158.4</v>
      </c>
      <c r="E21" s="4">
        <f t="shared" si="2"/>
        <v>77.37079552</v>
      </c>
      <c r="F21" s="2"/>
      <c r="G21" s="4">
        <f t="shared" si="3"/>
        <v>87.4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2">
        <v>17.0</v>
      </c>
      <c r="B22" s="4">
        <v>128.0</v>
      </c>
      <c r="C22" s="4">
        <f t="shared" si="4"/>
        <v>57</v>
      </c>
      <c r="D22" s="20">
        <f t="shared" si="1"/>
        <v>215.4</v>
      </c>
      <c r="E22" s="4">
        <f t="shared" si="2"/>
        <v>79.75199057</v>
      </c>
      <c r="F22" s="2"/>
      <c r="G22" s="4">
        <f t="shared" si="3"/>
        <v>87.4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2">
        <v>18.0</v>
      </c>
      <c r="B23" s="4">
        <v>99.0</v>
      </c>
      <c r="C23" s="4">
        <f t="shared" si="4"/>
        <v>-29</v>
      </c>
      <c r="D23" s="20">
        <f t="shared" si="1"/>
        <v>186.4</v>
      </c>
      <c r="E23" s="4">
        <f t="shared" si="2"/>
        <v>82.06412127</v>
      </c>
      <c r="F23" s="2"/>
      <c r="G23" s="4">
        <f t="shared" si="3"/>
        <v>87.4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2">
        <v>19.0</v>
      </c>
      <c r="B24" s="4">
        <v>89.0</v>
      </c>
      <c r="C24" s="4">
        <f t="shared" si="4"/>
        <v>-10</v>
      </c>
      <c r="D24" s="20">
        <f t="shared" si="1"/>
        <v>176.4</v>
      </c>
      <c r="E24" s="4">
        <f t="shared" si="2"/>
        <v>84.31286972</v>
      </c>
      <c r="F24" s="2"/>
      <c r="G24" s="4">
        <f t="shared" si="3"/>
        <v>87.4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4">
        <v>20.0</v>
      </c>
      <c r="B25" s="3">
        <v>77.0</v>
      </c>
      <c r="C25" s="3">
        <f t="shared" si="4"/>
        <v>-12</v>
      </c>
      <c r="D25" s="23">
        <f t="shared" si="1"/>
        <v>164.4</v>
      </c>
      <c r="E25" s="3">
        <f t="shared" si="2"/>
        <v>86.50317913</v>
      </c>
      <c r="F25" s="1"/>
      <c r="G25" s="3">
        <f t="shared" si="3"/>
        <v>87.4</v>
      </c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5">
        <v>21.0</v>
      </c>
      <c r="B26" s="2"/>
      <c r="C26" s="1"/>
      <c r="D26" s="24">
        <f>B25+$B$1</f>
        <v>164.4</v>
      </c>
      <c r="E26" s="4">
        <f t="shared" ref="E26:E30" si="5">$B$3*SQRT(F26)</f>
        <v>19.34269888</v>
      </c>
      <c r="F26" s="3">
        <v>1.0</v>
      </c>
      <c r="G26" s="17">
        <f>AVERAGE(G6:G25)</f>
        <v>87.4</v>
      </c>
      <c r="H26" s="18" t="s">
        <v>15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5">
        <v>22.0</v>
      </c>
      <c r="B27" s="2"/>
      <c r="C27" s="1"/>
      <c r="D27" s="24">
        <f t="shared" ref="D27:D30" si="6">D26+$B$1</f>
        <v>251.8</v>
      </c>
      <c r="E27" s="4">
        <f t="shared" si="5"/>
        <v>27.35470709</v>
      </c>
      <c r="F27" s="4">
        <v>2.0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5">
        <v>23.0</v>
      </c>
      <c r="B28" s="2"/>
      <c r="C28" s="1"/>
      <c r="D28" s="24">
        <f t="shared" si="6"/>
        <v>339.2</v>
      </c>
      <c r="E28" s="4">
        <f t="shared" si="5"/>
        <v>33.50253722</v>
      </c>
      <c r="F28" s="4">
        <v>3.0</v>
      </c>
      <c r="G28" s="2"/>
      <c r="H28" s="2"/>
      <c r="I28" s="4">
        <v>164.4</v>
      </c>
      <c r="J28" s="2"/>
      <c r="K28" s="4">
        <v>164.4</v>
      </c>
      <c r="L28" s="4">
        <v>251.8</v>
      </c>
      <c r="M28" s="4">
        <v>339.20000000000005</v>
      </c>
      <c r="N28" s="4">
        <v>426.6</v>
      </c>
      <c r="O28" s="4">
        <v>514.0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5">
        <v>24.0</v>
      </c>
      <c r="B29" s="2"/>
      <c r="C29" s="1"/>
      <c r="D29" s="24">
        <f t="shared" si="6"/>
        <v>426.6</v>
      </c>
      <c r="E29" s="4">
        <f t="shared" si="5"/>
        <v>38.68539776</v>
      </c>
      <c r="F29" s="4">
        <v>4.0</v>
      </c>
      <c r="G29" s="2"/>
      <c r="H29" s="2"/>
      <c r="I29" s="4">
        <v>251.8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5">
        <v>25.0</v>
      </c>
      <c r="B30" s="2"/>
      <c r="C30" s="1"/>
      <c r="D30" s="24">
        <f t="shared" si="6"/>
        <v>514</v>
      </c>
      <c r="E30" s="4">
        <f t="shared" si="5"/>
        <v>43.25158957</v>
      </c>
      <c r="F30" s="4">
        <v>5.0</v>
      </c>
      <c r="G30" s="2"/>
      <c r="H30" s="2"/>
      <c r="I30" s="4">
        <v>339.20000000000005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4">
        <v>426.6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4">
        <v>514.0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20</v>
      </c>
      <c r="B1" s="26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22</v>
      </c>
      <c r="B3" s="2" t="s">
        <v>6</v>
      </c>
      <c r="C3" s="7">
        <f>AVERAGE(C10:C28)</f>
        <v>3.210526316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 t="s">
        <v>7</v>
      </c>
      <c r="C4" s="7">
        <f>MEDIAN(C10:C28)</f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 t="s">
        <v>8</v>
      </c>
      <c r="C5" s="7">
        <f>_xlfn.STDEV.P(C10:C28)</f>
        <v>1.104009314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0" t="s">
        <v>9</v>
      </c>
      <c r="B8" s="10" t="s">
        <v>23</v>
      </c>
      <c r="C8" s="11" t="s">
        <v>11</v>
      </c>
      <c r="D8" s="11" t="s">
        <v>12</v>
      </c>
      <c r="E8" s="11" t="s">
        <v>13</v>
      </c>
      <c r="F8" s="11" t="s">
        <v>14</v>
      </c>
      <c r="G8" s="11" t="s">
        <v>15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7">
        <v>1.0</v>
      </c>
      <c r="B9" s="27">
        <v>18.0</v>
      </c>
      <c r="C9" s="28" t="s">
        <v>16</v>
      </c>
      <c r="D9" s="7">
        <f t="shared" ref="D9:D28" si="1">B9+$C$3</f>
        <v>21.21052632</v>
      </c>
      <c r="E9" s="4">
        <f t="shared" ref="E9:E33" si="2">$C$5*SQRT(F9)</f>
        <v>1.104009314</v>
      </c>
      <c r="F9" s="4">
        <v>1.0</v>
      </c>
      <c r="G9" s="4">
        <f t="shared" ref="G9:G28" si="3">ABS(D9-B9)</f>
        <v>3.210526316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7">
        <v>2.0</v>
      </c>
      <c r="B10" s="27">
        <v>22.0</v>
      </c>
      <c r="C10" s="29">
        <f t="shared" ref="C10:C28" si="4">B10-B9</f>
        <v>4</v>
      </c>
      <c r="D10" s="7">
        <f t="shared" si="1"/>
        <v>25.21052632</v>
      </c>
      <c r="E10" s="4">
        <f t="shared" si="2"/>
        <v>1.561304945</v>
      </c>
      <c r="F10" s="4">
        <v>2.0</v>
      </c>
      <c r="G10" s="4">
        <f t="shared" si="3"/>
        <v>3.210526316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7">
        <v>3.0</v>
      </c>
      <c r="B11" s="27">
        <v>25.0</v>
      </c>
      <c r="C11" s="29">
        <f t="shared" si="4"/>
        <v>3</v>
      </c>
      <c r="D11" s="7">
        <f t="shared" si="1"/>
        <v>28.21052632</v>
      </c>
      <c r="E11" s="4">
        <f t="shared" si="2"/>
        <v>1.912200224</v>
      </c>
      <c r="F11" s="4">
        <v>3.0</v>
      </c>
      <c r="G11" s="4">
        <f t="shared" si="3"/>
        <v>3.210526316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7">
        <v>4.0</v>
      </c>
      <c r="B12" s="27">
        <v>27.0</v>
      </c>
      <c r="C12" s="29">
        <f t="shared" si="4"/>
        <v>2</v>
      </c>
      <c r="D12" s="7">
        <f t="shared" si="1"/>
        <v>30.21052632</v>
      </c>
      <c r="E12" s="4">
        <f t="shared" si="2"/>
        <v>2.208018628</v>
      </c>
      <c r="F12" s="4">
        <v>4.0</v>
      </c>
      <c r="G12" s="4">
        <f t="shared" si="3"/>
        <v>3.210526316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7">
        <v>5.0</v>
      </c>
      <c r="B13" s="27">
        <v>32.0</v>
      </c>
      <c r="C13" s="29">
        <f t="shared" si="4"/>
        <v>5</v>
      </c>
      <c r="D13" s="7">
        <f t="shared" si="1"/>
        <v>35.21052632</v>
      </c>
      <c r="E13" s="4">
        <f t="shared" si="2"/>
        <v>2.468639874</v>
      </c>
      <c r="F13" s="4">
        <v>5.0</v>
      </c>
      <c r="G13" s="4">
        <f t="shared" si="3"/>
        <v>3.210526316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7">
        <v>6.0</v>
      </c>
      <c r="B14" s="27">
        <v>35.0</v>
      </c>
      <c r="C14" s="29">
        <f t="shared" si="4"/>
        <v>3</v>
      </c>
      <c r="D14" s="7">
        <f t="shared" si="1"/>
        <v>38.21052632</v>
      </c>
      <c r="E14" s="4">
        <f t="shared" si="2"/>
        <v>2.70425949</v>
      </c>
      <c r="F14" s="4">
        <v>6.0</v>
      </c>
      <c r="G14" s="4">
        <f t="shared" si="3"/>
        <v>3.210526316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7">
        <v>7.0</v>
      </c>
      <c r="B15" s="27">
        <v>39.0</v>
      </c>
      <c r="C15" s="29">
        <f t="shared" si="4"/>
        <v>4</v>
      </c>
      <c r="D15" s="7">
        <f t="shared" si="1"/>
        <v>42.21052632</v>
      </c>
      <c r="E15" s="4">
        <f t="shared" si="2"/>
        <v>2.92093409</v>
      </c>
      <c r="F15" s="4">
        <v>7.0</v>
      </c>
      <c r="G15" s="4">
        <f t="shared" si="3"/>
        <v>3.210526316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7">
        <v>8.0</v>
      </c>
      <c r="B16" s="27">
        <v>41.0</v>
      </c>
      <c r="C16" s="29">
        <f t="shared" si="4"/>
        <v>2</v>
      </c>
      <c r="D16" s="7">
        <f t="shared" si="1"/>
        <v>44.21052632</v>
      </c>
      <c r="E16" s="4">
        <f t="shared" si="2"/>
        <v>3.122609889</v>
      </c>
      <c r="F16" s="4">
        <v>8.0</v>
      </c>
      <c r="G16" s="4">
        <f t="shared" si="3"/>
        <v>3.210526316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7">
        <v>9.0</v>
      </c>
      <c r="B17" s="27">
        <v>43.0</v>
      </c>
      <c r="C17" s="29">
        <f t="shared" si="4"/>
        <v>2</v>
      </c>
      <c r="D17" s="7">
        <f t="shared" si="1"/>
        <v>46.21052632</v>
      </c>
      <c r="E17" s="4">
        <f t="shared" si="2"/>
        <v>3.312027942</v>
      </c>
      <c r="F17" s="4">
        <v>9.0</v>
      </c>
      <c r="G17" s="4">
        <f t="shared" si="3"/>
        <v>3.210526316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7">
        <v>10.0</v>
      </c>
      <c r="B18" s="27">
        <v>47.0</v>
      </c>
      <c r="C18" s="29">
        <f t="shared" si="4"/>
        <v>4</v>
      </c>
      <c r="D18" s="7">
        <f t="shared" si="1"/>
        <v>50.21052632</v>
      </c>
      <c r="E18" s="4">
        <f t="shared" si="2"/>
        <v>3.49118399</v>
      </c>
      <c r="F18" s="4">
        <v>10.0</v>
      </c>
      <c r="G18" s="4">
        <f t="shared" si="3"/>
        <v>3.210526316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7">
        <v>11.0</v>
      </c>
      <c r="B19" s="27">
        <v>53.0</v>
      </c>
      <c r="C19" s="29">
        <f t="shared" si="4"/>
        <v>6</v>
      </c>
      <c r="D19" s="7">
        <f t="shared" si="1"/>
        <v>56.21052632</v>
      </c>
      <c r="E19" s="4">
        <f t="shared" si="2"/>
        <v>3.661584659</v>
      </c>
      <c r="F19" s="4">
        <v>11.0</v>
      </c>
      <c r="G19" s="4">
        <f t="shared" si="3"/>
        <v>3.210526316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7">
        <v>12.0</v>
      </c>
      <c r="B20" s="27">
        <v>55.0</v>
      </c>
      <c r="C20" s="29">
        <f t="shared" si="4"/>
        <v>2</v>
      </c>
      <c r="D20" s="7">
        <f t="shared" si="1"/>
        <v>58.21052632</v>
      </c>
      <c r="E20" s="4">
        <f t="shared" si="2"/>
        <v>3.824400447</v>
      </c>
      <c r="F20" s="4">
        <v>12.0</v>
      </c>
      <c r="G20" s="4">
        <f t="shared" si="3"/>
        <v>3.210526316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7">
        <v>13.0</v>
      </c>
      <c r="B21" s="27">
        <v>58.0</v>
      </c>
      <c r="C21" s="29">
        <f t="shared" si="4"/>
        <v>3</v>
      </c>
      <c r="D21" s="7">
        <f t="shared" si="1"/>
        <v>61.21052632</v>
      </c>
      <c r="E21" s="4">
        <f t="shared" si="2"/>
        <v>3.98056219</v>
      </c>
      <c r="F21" s="4">
        <v>13.0</v>
      </c>
      <c r="G21" s="4">
        <f t="shared" si="3"/>
        <v>3.210526316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7">
        <v>14.0</v>
      </c>
      <c r="B22" s="27">
        <v>60.0</v>
      </c>
      <c r="C22" s="29">
        <f t="shared" si="4"/>
        <v>2</v>
      </c>
      <c r="D22" s="7">
        <f t="shared" si="1"/>
        <v>63.21052632</v>
      </c>
      <c r="E22" s="4">
        <f t="shared" si="2"/>
        <v>4.130824604</v>
      </c>
      <c r="F22" s="4">
        <v>14.0</v>
      </c>
      <c r="G22" s="4">
        <f t="shared" si="3"/>
        <v>3.210526316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7">
        <v>15.0</v>
      </c>
      <c r="B23" s="27">
        <v>64.0</v>
      </c>
      <c r="C23" s="29">
        <f t="shared" si="4"/>
        <v>4</v>
      </c>
      <c r="D23" s="7">
        <f t="shared" si="1"/>
        <v>67.21052632</v>
      </c>
      <c r="E23" s="4">
        <f t="shared" si="2"/>
        <v>4.275809687</v>
      </c>
      <c r="F23" s="4">
        <v>15.0</v>
      </c>
      <c r="G23" s="4">
        <f t="shared" si="3"/>
        <v>3.210526316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7">
        <v>16.0</v>
      </c>
      <c r="B24" s="27">
        <v>66.0</v>
      </c>
      <c r="C24" s="29">
        <f t="shared" si="4"/>
        <v>2</v>
      </c>
      <c r="D24" s="7">
        <f t="shared" si="1"/>
        <v>69.21052632</v>
      </c>
      <c r="E24" s="4">
        <f t="shared" si="2"/>
        <v>4.416037255</v>
      </c>
      <c r="F24" s="4">
        <v>16.0</v>
      </c>
      <c r="G24" s="4">
        <f t="shared" si="3"/>
        <v>3.210526316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7">
        <v>17.0</v>
      </c>
      <c r="B25" s="27">
        <v>69.0</v>
      </c>
      <c r="C25" s="29">
        <f t="shared" si="4"/>
        <v>3</v>
      </c>
      <c r="D25" s="7">
        <f t="shared" si="1"/>
        <v>72.21052632</v>
      </c>
      <c r="E25" s="4">
        <f t="shared" si="2"/>
        <v>4.551947013</v>
      </c>
      <c r="F25" s="4">
        <v>17.0</v>
      </c>
      <c r="G25" s="4">
        <f t="shared" si="3"/>
        <v>3.210526316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7">
        <v>18.0</v>
      </c>
      <c r="B26" s="27">
        <v>72.0</v>
      </c>
      <c r="C26" s="29">
        <f t="shared" si="4"/>
        <v>3</v>
      </c>
      <c r="D26" s="7">
        <f t="shared" si="1"/>
        <v>75.21052632</v>
      </c>
      <c r="E26" s="4">
        <f t="shared" si="2"/>
        <v>4.683914834</v>
      </c>
      <c r="F26" s="4">
        <v>18.0</v>
      </c>
      <c r="G26" s="4">
        <f t="shared" si="3"/>
        <v>3.210526316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7">
        <v>19.0</v>
      </c>
      <c r="B27" s="27">
        <v>75.0</v>
      </c>
      <c r="C27" s="29">
        <f t="shared" si="4"/>
        <v>3</v>
      </c>
      <c r="D27" s="7">
        <f t="shared" si="1"/>
        <v>78.21052632</v>
      </c>
      <c r="E27" s="4">
        <f t="shared" si="2"/>
        <v>4.812265032</v>
      </c>
      <c r="F27" s="4">
        <v>19.0</v>
      </c>
      <c r="G27" s="4">
        <f t="shared" si="3"/>
        <v>3.210526316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0">
        <v>20.0</v>
      </c>
      <c r="B28" s="30">
        <v>79.0</v>
      </c>
      <c r="C28" s="31">
        <f t="shared" si="4"/>
        <v>4</v>
      </c>
      <c r="D28" s="8">
        <f t="shared" si="1"/>
        <v>82.21052632</v>
      </c>
      <c r="E28" s="3">
        <f t="shared" si="2"/>
        <v>4.937279747</v>
      </c>
      <c r="F28" s="3">
        <v>20.0</v>
      </c>
      <c r="G28" s="4">
        <f t="shared" si="3"/>
        <v>3.210526316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2">
        <v>21.0</v>
      </c>
      <c r="B29" s="2"/>
      <c r="C29" s="1"/>
      <c r="D29" s="16">
        <f>B28+$C$3</f>
        <v>82.21052632</v>
      </c>
      <c r="E29" s="4">
        <f t="shared" si="2"/>
        <v>1.104009314</v>
      </c>
      <c r="F29" s="4">
        <v>1.0</v>
      </c>
      <c r="G29" s="2"/>
      <c r="H29" s="2"/>
      <c r="I29" s="33">
        <v>82.21052631578948</v>
      </c>
      <c r="J29" s="2"/>
      <c r="K29" s="7">
        <v>82.21052631578948</v>
      </c>
      <c r="L29" s="7">
        <v>85.42105263157896</v>
      </c>
      <c r="M29" s="7">
        <v>88.63157894736844</v>
      </c>
      <c r="N29" s="7">
        <v>91.84210526315792</v>
      </c>
      <c r="O29" s="7">
        <v>95.0526315789474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2">
        <v>22.0</v>
      </c>
      <c r="B30" s="2"/>
      <c r="C30" s="1"/>
      <c r="D30" s="16">
        <f t="shared" ref="D30:D33" si="5">D29+$C$3</f>
        <v>85.42105263</v>
      </c>
      <c r="E30" s="4">
        <f t="shared" si="2"/>
        <v>1.561304945</v>
      </c>
      <c r="F30" s="4">
        <v>2.0</v>
      </c>
      <c r="G30" s="2"/>
      <c r="H30" s="2"/>
      <c r="I30" s="4">
        <v>85.42105263157896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2">
        <v>23.0</v>
      </c>
      <c r="B31" s="2"/>
      <c r="C31" s="1"/>
      <c r="D31" s="16">
        <f t="shared" si="5"/>
        <v>88.63157895</v>
      </c>
      <c r="E31" s="4">
        <f t="shared" si="2"/>
        <v>1.912200224</v>
      </c>
      <c r="F31" s="4">
        <v>3.0</v>
      </c>
      <c r="G31" s="2"/>
      <c r="H31" s="2"/>
      <c r="I31" s="4">
        <v>88.63157894736844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2">
        <v>24.0</v>
      </c>
      <c r="B32" s="2"/>
      <c r="C32" s="1"/>
      <c r="D32" s="16">
        <f t="shared" si="5"/>
        <v>91.84210526</v>
      </c>
      <c r="E32" s="4">
        <f t="shared" si="2"/>
        <v>2.208018628</v>
      </c>
      <c r="F32" s="4">
        <v>4.0</v>
      </c>
      <c r="G32" s="2"/>
      <c r="H32" s="2"/>
      <c r="I32" s="4">
        <v>91.84210526315792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2">
        <v>25.0</v>
      </c>
      <c r="B33" s="2"/>
      <c r="C33" s="1"/>
      <c r="D33" s="16">
        <f t="shared" si="5"/>
        <v>95.05263158</v>
      </c>
      <c r="E33" s="4">
        <f t="shared" si="2"/>
        <v>2.468639874</v>
      </c>
      <c r="F33" s="4">
        <v>5.0</v>
      </c>
      <c r="G33" s="2"/>
      <c r="H33" s="2"/>
      <c r="I33" s="4">
        <v>95.0526315789474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 t="s">
        <v>0</v>
      </c>
      <c r="B36" s="34">
        <f>AVERAGE(G9:G18)</f>
        <v>3.210526316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 t="s">
        <v>17</v>
      </c>
      <c r="B37" s="34">
        <f>AVERAGE(G19:G28)</f>
        <v>3.210526316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1:C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6</v>
      </c>
      <c r="B1" s="20">
        <f>AVERAGE(B6:B25)</f>
        <v>47.95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7</v>
      </c>
      <c r="B2" s="20">
        <f>MEDIAN(B6:B25)</f>
        <v>47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8</v>
      </c>
      <c r="B3" s="20">
        <f>_xlfn.STDEV.P(B6:B25)</f>
        <v>10.47127022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/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0" t="s">
        <v>9</v>
      </c>
      <c r="B5" s="10" t="s">
        <v>24</v>
      </c>
      <c r="C5" s="11" t="s">
        <v>11</v>
      </c>
      <c r="D5" s="11" t="s">
        <v>12</v>
      </c>
      <c r="E5" s="11" t="s">
        <v>13</v>
      </c>
      <c r="F5" s="11" t="s">
        <v>14</v>
      </c>
      <c r="G5" s="11" t="s">
        <v>15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2">
        <v>1.0</v>
      </c>
      <c r="B6" s="4">
        <v>55.0</v>
      </c>
      <c r="C6" s="2" t="s">
        <v>16</v>
      </c>
      <c r="D6" s="20">
        <f t="shared" ref="D6:D25" si="1">B6+$B$1</f>
        <v>102.95</v>
      </c>
      <c r="E6" s="7">
        <f t="shared" ref="E6:E25" si="2">$B$3*SQRT(A6)</f>
        <v>10.47127022</v>
      </c>
      <c r="F6" s="2"/>
      <c r="G6" s="4">
        <f t="shared" ref="G6:G25" si="3">ABS(D6-B6)</f>
        <v>47.95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2">
        <v>2.0</v>
      </c>
      <c r="B7" s="4">
        <v>46.0</v>
      </c>
      <c r="C7" s="4">
        <f t="shared" ref="C7:C25" si="4">B7-B6</f>
        <v>-9</v>
      </c>
      <c r="D7" s="20">
        <f t="shared" si="1"/>
        <v>93.95</v>
      </c>
      <c r="E7" s="7">
        <f t="shared" si="2"/>
        <v>14.80861236</v>
      </c>
      <c r="F7" s="2"/>
      <c r="G7" s="4">
        <f t="shared" si="3"/>
        <v>47.95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2">
        <v>3.0</v>
      </c>
      <c r="B8" s="4">
        <v>58.0</v>
      </c>
      <c r="C8" s="4">
        <f t="shared" si="4"/>
        <v>12</v>
      </c>
      <c r="D8" s="20">
        <f t="shared" si="1"/>
        <v>105.95</v>
      </c>
      <c r="E8" s="7">
        <f t="shared" si="2"/>
        <v>18.13677204</v>
      </c>
      <c r="F8" s="2"/>
      <c r="G8" s="4">
        <f t="shared" si="3"/>
        <v>47.95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>
        <v>4.0</v>
      </c>
      <c r="B9" s="4">
        <v>37.0</v>
      </c>
      <c r="C9" s="4">
        <f t="shared" si="4"/>
        <v>-21</v>
      </c>
      <c r="D9" s="20">
        <f t="shared" si="1"/>
        <v>84.95</v>
      </c>
      <c r="E9" s="7">
        <f t="shared" si="2"/>
        <v>20.94254044</v>
      </c>
      <c r="F9" s="2"/>
      <c r="G9" s="4">
        <f t="shared" si="3"/>
        <v>47.95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2">
        <v>5.0</v>
      </c>
      <c r="B10" s="4">
        <v>32.0</v>
      </c>
      <c r="C10" s="4">
        <f t="shared" si="4"/>
        <v>-5</v>
      </c>
      <c r="D10" s="20">
        <f t="shared" si="1"/>
        <v>79.95</v>
      </c>
      <c r="E10" s="7">
        <f t="shared" si="2"/>
        <v>23.41447202</v>
      </c>
      <c r="F10" s="2"/>
      <c r="G10" s="4">
        <f t="shared" si="3"/>
        <v>47.95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6.0</v>
      </c>
      <c r="B11" s="4">
        <v>48.0</v>
      </c>
      <c r="C11" s="4">
        <f t="shared" si="4"/>
        <v>16</v>
      </c>
      <c r="D11" s="20">
        <f t="shared" si="1"/>
        <v>95.95</v>
      </c>
      <c r="E11" s="7">
        <f t="shared" si="2"/>
        <v>25.649269</v>
      </c>
      <c r="F11" s="2"/>
      <c r="G11" s="4">
        <f t="shared" si="3"/>
        <v>47.95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>
        <v>7.0</v>
      </c>
      <c r="B12" s="4">
        <v>67.0</v>
      </c>
      <c r="C12" s="4">
        <f t="shared" si="4"/>
        <v>19</v>
      </c>
      <c r="D12" s="20">
        <f t="shared" si="1"/>
        <v>114.95</v>
      </c>
      <c r="E12" s="7">
        <f t="shared" si="2"/>
        <v>27.70437691</v>
      </c>
      <c r="F12" s="2"/>
      <c r="G12" s="4">
        <f t="shared" si="3"/>
        <v>47.95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2">
        <v>8.0</v>
      </c>
      <c r="B13" s="4">
        <v>68.0</v>
      </c>
      <c r="C13" s="4">
        <f t="shared" si="4"/>
        <v>1</v>
      </c>
      <c r="D13" s="20">
        <f t="shared" si="1"/>
        <v>115.95</v>
      </c>
      <c r="E13" s="7">
        <f t="shared" si="2"/>
        <v>29.61722472</v>
      </c>
      <c r="F13" s="2"/>
      <c r="G13" s="4">
        <f t="shared" si="3"/>
        <v>47.95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>
        <v>9.0</v>
      </c>
      <c r="B14" s="4">
        <v>52.0</v>
      </c>
      <c r="C14" s="4">
        <f t="shared" si="4"/>
        <v>-16</v>
      </c>
      <c r="D14" s="20">
        <f t="shared" si="1"/>
        <v>99.95</v>
      </c>
      <c r="E14" s="7">
        <f t="shared" si="2"/>
        <v>31.41381066</v>
      </c>
      <c r="F14" s="2"/>
      <c r="G14" s="4">
        <f t="shared" si="3"/>
        <v>47.95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>
        <v>10.0</v>
      </c>
      <c r="B15" s="4">
        <v>42.0</v>
      </c>
      <c r="C15" s="4">
        <f t="shared" si="4"/>
        <v>-10</v>
      </c>
      <c r="D15" s="20">
        <f t="shared" si="1"/>
        <v>89.95</v>
      </c>
      <c r="E15" s="7">
        <f t="shared" si="2"/>
        <v>33.11306389</v>
      </c>
      <c r="F15" s="2"/>
      <c r="G15" s="4">
        <f t="shared" si="3"/>
        <v>47.95</v>
      </c>
      <c r="H15" s="4">
        <f>AVERAGE(G6:G15)</f>
        <v>47.95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2">
        <v>11.0</v>
      </c>
      <c r="B16" s="4">
        <v>32.0</v>
      </c>
      <c r="C16" s="4">
        <f t="shared" si="4"/>
        <v>-10</v>
      </c>
      <c r="D16" s="20">
        <f t="shared" si="1"/>
        <v>79.95</v>
      </c>
      <c r="E16" s="7">
        <f t="shared" si="2"/>
        <v>34.72927439</v>
      </c>
      <c r="F16" s="2"/>
      <c r="G16" s="4">
        <f t="shared" si="3"/>
        <v>47.95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2">
        <v>12.0</v>
      </c>
      <c r="B17" s="4">
        <v>43.0</v>
      </c>
      <c r="C17" s="4">
        <f t="shared" si="4"/>
        <v>11</v>
      </c>
      <c r="D17" s="20">
        <f t="shared" si="1"/>
        <v>90.95</v>
      </c>
      <c r="E17" s="7">
        <f t="shared" si="2"/>
        <v>36.27354408</v>
      </c>
      <c r="F17" s="2"/>
      <c r="G17" s="4">
        <f t="shared" si="3"/>
        <v>47.95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2">
        <v>13.0</v>
      </c>
      <c r="B18" s="4">
        <v>37.0</v>
      </c>
      <c r="C18" s="4">
        <f t="shared" si="4"/>
        <v>-6</v>
      </c>
      <c r="D18" s="20">
        <f t="shared" si="1"/>
        <v>84.95</v>
      </c>
      <c r="E18" s="7">
        <f t="shared" si="2"/>
        <v>37.75470169</v>
      </c>
      <c r="F18" s="2"/>
      <c r="G18" s="4">
        <f t="shared" si="3"/>
        <v>47.95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2">
        <v>14.0</v>
      </c>
      <c r="B19" s="4">
        <v>61.0</v>
      </c>
      <c r="C19" s="4">
        <f t="shared" si="4"/>
        <v>24</v>
      </c>
      <c r="D19" s="20">
        <f t="shared" si="1"/>
        <v>108.95</v>
      </c>
      <c r="E19" s="7">
        <f t="shared" si="2"/>
        <v>39.17990556</v>
      </c>
      <c r="F19" s="2"/>
      <c r="G19" s="4">
        <f t="shared" si="3"/>
        <v>47.95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>
        <v>15.0</v>
      </c>
      <c r="B20" s="4">
        <v>45.0</v>
      </c>
      <c r="C20" s="4">
        <f t="shared" si="4"/>
        <v>-16</v>
      </c>
      <c r="D20" s="20">
        <f t="shared" si="1"/>
        <v>92.95</v>
      </c>
      <c r="E20" s="7">
        <f t="shared" si="2"/>
        <v>40.55505517</v>
      </c>
      <c r="F20" s="2"/>
      <c r="G20" s="4">
        <f t="shared" si="3"/>
        <v>47.95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2">
        <v>16.0</v>
      </c>
      <c r="B21" s="4">
        <v>48.0</v>
      </c>
      <c r="C21" s="4">
        <f t="shared" si="4"/>
        <v>3</v>
      </c>
      <c r="D21" s="20">
        <f t="shared" si="1"/>
        <v>95.95</v>
      </c>
      <c r="E21" s="7">
        <f t="shared" si="2"/>
        <v>41.88508088</v>
      </c>
      <c r="F21" s="2"/>
      <c r="G21" s="4">
        <f t="shared" si="3"/>
        <v>47.95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2">
        <v>17.0</v>
      </c>
      <c r="B22" s="4">
        <v>53.0</v>
      </c>
      <c r="C22" s="4">
        <f t="shared" si="4"/>
        <v>5</v>
      </c>
      <c r="D22" s="20">
        <f t="shared" si="1"/>
        <v>100.95</v>
      </c>
      <c r="E22" s="7">
        <f t="shared" si="2"/>
        <v>43.17415315</v>
      </c>
      <c r="F22" s="2"/>
      <c r="G22" s="4">
        <f t="shared" si="3"/>
        <v>47.95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2">
        <v>18.0</v>
      </c>
      <c r="B23" s="4">
        <v>38.0</v>
      </c>
      <c r="C23" s="4">
        <f t="shared" si="4"/>
        <v>-15</v>
      </c>
      <c r="D23" s="20">
        <f t="shared" si="1"/>
        <v>85.95</v>
      </c>
      <c r="E23" s="7">
        <f t="shared" si="2"/>
        <v>44.42583708</v>
      </c>
      <c r="F23" s="2"/>
      <c r="G23" s="4">
        <f t="shared" si="3"/>
        <v>47.95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2">
        <v>19.0</v>
      </c>
      <c r="B24" s="4">
        <v>57.0</v>
      </c>
      <c r="C24" s="4">
        <f t="shared" si="4"/>
        <v>19</v>
      </c>
      <c r="D24" s="20">
        <f t="shared" si="1"/>
        <v>104.95</v>
      </c>
      <c r="E24" s="7">
        <f t="shared" si="2"/>
        <v>45.6432087</v>
      </c>
      <c r="F24" s="2"/>
      <c r="G24" s="4">
        <f t="shared" si="3"/>
        <v>47.95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4">
        <v>20.0</v>
      </c>
      <c r="B25" s="4">
        <v>40.0</v>
      </c>
      <c r="C25" s="4">
        <f t="shared" si="4"/>
        <v>-17</v>
      </c>
      <c r="D25" s="23">
        <f t="shared" si="1"/>
        <v>87.95</v>
      </c>
      <c r="E25" s="7">
        <f t="shared" si="2"/>
        <v>46.82894404</v>
      </c>
      <c r="F25" s="2"/>
      <c r="G25" s="3">
        <f t="shared" si="3"/>
        <v>47.95</v>
      </c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5">
        <v>21.0</v>
      </c>
      <c r="B26" s="2"/>
      <c r="C26" s="1"/>
      <c r="D26" s="24">
        <f>B25+$B$1</f>
        <v>87.95</v>
      </c>
      <c r="E26" s="7">
        <f t="shared" ref="E26:E30" si="5">$B$3*SQRT(F26)</f>
        <v>10.47127022</v>
      </c>
      <c r="F26" s="3">
        <v>1.0</v>
      </c>
      <c r="G26" s="17">
        <f>AVERAGE(G6:G25)</f>
        <v>47.95</v>
      </c>
      <c r="H26" s="18" t="s">
        <v>15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5">
        <v>22.0</v>
      </c>
      <c r="B27" s="2"/>
      <c r="C27" s="1"/>
      <c r="D27" s="24">
        <f t="shared" ref="D27:D30" si="6">D26+$B$1</f>
        <v>135.9</v>
      </c>
      <c r="E27" s="7">
        <f t="shared" si="5"/>
        <v>14.80861236</v>
      </c>
      <c r="F27" s="4">
        <v>2.0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5">
        <v>23.0</v>
      </c>
      <c r="B28" s="2"/>
      <c r="C28" s="1"/>
      <c r="D28" s="24">
        <f t="shared" si="6"/>
        <v>183.85</v>
      </c>
      <c r="E28" s="7">
        <f t="shared" si="5"/>
        <v>18.13677204</v>
      </c>
      <c r="F28" s="4">
        <v>3.0</v>
      </c>
      <c r="G28" s="2"/>
      <c r="H28" s="2"/>
      <c r="I28" s="2"/>
      <c r="J28" s="4">
        <v>87.95</v>
      </c>
      <c r="K28" s="2"/>
      <c r="L28" s="4">
        <v>87.95</v>
      </c>
      <c r="M28" s="4">
        <v>135.9</v>
      </c>
      <c r="N28" s="4">
        <v>183.85000000000002</v>
      </c>
      <c r="O28" s="4">
        <v>231.8</v>
      </c>
      <c r="P28" s="4">
        <v>279.75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5">
        <v>24.0</v>
      </c>
      <c r="B29" s="2"/>
      <c r="C29" s="1"/>
      <c r="D29" s="24">
        <f t="shared" si="6"/>
        <v>231.8</v>
      </c>
      <c r="E29" s="7">
        <f t="shared" si="5"/>
        <v>20.94254044</v>
      </c>
      <c r="F29" s="4">
        <v>4.0</v>
      </c>
      <c r="G29" s="2"/>
      <c r="H29" s="2"/>
      <c r="I29" s="2"/>
      <c r="J29" s="4">
        <v>135.9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5">
        <v>25.0</v>
      </c>
      <c r="B30" s="2"/>
      <c r="C30" s="1"/>
      <c r="D30" s="24">
        <f t="shared" si="6"/>
        <v>279.75</v>
      </c>
      <c r="E30" s="7">
        <f t="shared" si="5"/>
        <v>23.41447202</v>
      </c>
      <c r="F30" s="4">
        <v>5.0</v>
      </c>
      <c r="G30" s="2"/>
      <c r="H30" s="2"/>
      <c r="I30" s="2"/>
      <c r="J30" s="4">
        <v>183.85000000000002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4">
        <v>231.8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4">
        <v>279.75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5"/>
      <c r="G34" s="25"/>
      <c r="H34" s="25"/>
      <c r="I34" s="25"/>
      <c r="J34" s="2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7.38"/>
    <col customWidth="1" min="3" max="3" width="21.63"/>
    <col customWidth="1" min="4" max="4" width="10.5"/>
    <col customWidth="1" min="5" max="26" width="7.63"/>
  </cols>
  <sheetData>
    <row r="1">
      <c r="A1" s="35" t="s">
        <v>25</v>
      </c>
      <c r="B1" s="35" t="s">
        <v>26</v>
      </c>
      <c r="C1" s="35" t="s">
        <v>27</v>
      </c>
      <c r="D1" s="35" t="s">
        <v>15</v>
      </c>
    </row>
    <row r="2">
      <c r="A2" s="36">
        <v>1.0</v>
      </c>
      <c r="B2" s="36">
        <v>140.0</v>
      </c>
      <c r="C2" s="36" t="e">
        <v>#N/A</v>
      </c>
      <c r="D2" s="36"/>
    </row>
    <row r="3">
      <c r="A3" s="36">
        <v>2.0</v>
      </c>
      <c r="B3" s="36">
        <v>155.0</v>
      </c>
      <c r="C3" s="36">
        <f>B2</f>
        <v>140</v>
      </c>
      <c r="D3" s="36">
        <f t="shared" ref="D3:D21" si="1">ABS(B3-C3)</f>
        <v>15</v>
      </c>
    </row>
    <row r="4">
      <c r="A4" s="36">
        <v>3.0</v>
      </c>
      <c r="B4" s="36">
        <v>145.0</v>
      </c>
      <c r="C4" s="36">
        <f t="shared" ref="C4:C21" si="2">0.2*B3+0.8*C3</f>
        <v>143</v>
      </c>
      <c r="D4" s="36">
        <f t="shared" si="1"/>
        <v>2</v>
      </c>
    </row>
    <row r="5">
      <c r="A5" s="36">
        <v>4.0</v>
      </c>
      <c r="B5" s="36">
        <v>152.0</v>
      </c>
      <c r="C5" s="37">
        <f t="shared" si="2"/>
        <v>143.4</v>
      </c>
      <c r="D5" s="37">
        <f t="shared" si="1"/>
        <v>8.6</v>
      </c>
    </row>
    <row r="6">
      <c r="A6" s="36">
        <v>5.0</v>
      </c>
      <c r="B6" s="36">
        <v>155.0</v>
      </c>
      <c r="C6" s="37">
        <f t="shared" si="2"/>
        <v>145.12</v>
      </c>
      <c r="D6" s="37">
        <f t="shared" si="1"/>
        <v>9.88</v>
      </c>
    </row>
    <row r="7">
      <c r="A7" s="36">
        <v>6.0</v>
      </c>
      <c r="B7" s="36">
        <v>145.0</v>
      </c>
      <c r="C7" s="37">
        <f t="shared" si="2"/>
        <v>147.096</v>
      </c>
      <c r="D7" s="37">
        <f t="shared" si="1"/>
        <v>2.096</v>
      </c>
    </row>
    <row r="8">
      <c r="A8" s="36">
        <v>7.0</v>
      </c>
      <c r="B8" s="36">
        <v>147.0</v>
      </c>
      <c r="C8" s="37">
        <f t="shared" si="2"/>
        <v>146.6768</v>
      </c>
      <c r="D8" s="37">
        <f t="shared" si="1"/>
        <v>0.3232</v>
      </c>
    </row>
    <row r="9">
      <c r="A9" s="36">
        <v>8.0</v>
      </c>
      <c r="B9" s="36">
        <v>135.0</v>
      </c>
      <c r="C9" s="37">
        <f t="shared" si="2"/>
        <v>146.74144</v>
      </c>
      <c r="D9" s="37">
        <f t="shared" si="1"/>
        <v>11.74144</v>
      </c>
    </row>
    <row r="10">
      <c r="A10" s="36">
        <v>9.0</v>
      </c>
      <c r="B10" s="36">
        <v>137.0</v>
      </c>
      <c r="C10" s="37">
        <f t="shared" si="2"/>
        <v>144.393152</v>
      </c>
      <c r="D10" s="37">
        <f t="shared" si="1"/>
        <v>7.393152</v>
      </c>
    </row>
    <row r="11">
      <c r="A11" s="36">
        <v>10.0</v>
      </c>
      <c r="B11" s="36">
        <v>140.0</v>
      </c>
      <c r="C11" s="37">
        <f t="shared" si="2"/>
        <v>142.9145216</v>
      </c>
      <c r="D11" s="37">
        <f t="shared" si="1"/>
        <v>2.9145216</v>
      </c>
    </row>
    <row r="12">
      <c r="A12" s="36">
        <v>11.0</v>
      </c>
      <c r="B12" s="36">
        <v>120.0</v>
      </c>
      <c r="C12" s="37">
        <f t="shared" si="2"/>
        <v>142.3316173</v>
      </c>
      <c r="D12" s="37">
        <f t="shared" si="1"/>
        <v>22.33161728</v>
      </c>
    </row>
    <row r="13">
      <c r="A13" s="36">
        <v>12.0</v>
      </c>
      <c r="B13" s="36">
        <v>150.0</v>
      </c>
      <c r="C13" s="37">
        <f t="shared" si="2"/>
        <v>137.8652938</v>
      </c>
      <c r="D13" s="37">
        <f t="shared" si="1"/>
        <v>12.13470618</v>
      </c>
    </row>
    <row r="14">
      <c r="A14" s="36">
        <v>13.0</v>
      </c>
      <c r="B14" s="36">
        <v>161.0</v>
      </c>
      <c r="C14" s="37">
        <f t="shared" si="2"/>
        <v>140.2922351</v>
      </c>
      <c r="D14" s="37">
        <f t="shared" si="1"/>
        <v>20.70776494</v>
      </c>
    </row>
    <row r="15">
      <c r="A15" s="36">
        <v>14.0</v>
      </c>
      <c r="B15" s="36">
        <v>143.0</v>
      </c>
      <c r="C15" s="37">
        <f t="shared" si="2"/>
        <v>144.433788</v>
      </c>
      <c r="D15" s="37">
        <f t="shared" si="1"/>
        <v>1.433788047</v>
      </c>
    </row>
    <row r="16">
      <c r="A16" s="36">
        <v>15.0</v>
      </c>
      <c r="B16" s="36">
        <v>149.0</v>
      </c>
      <c r="C16" s="37">
        <f t="shared" si="2"/>
        <v>144.1470304</v>
      </c>
      <c r="D16" s="37">
        <f t="shared" si="1"/>
        <v>4.852969562</v>
      </c>
    </row>
    <row r="17">
      <c r="A17" s="36">
        <v>16.0</v>
      </c>
      <c r="B17" s="36">
        <v>140.0</v>
      </c>
      <c r="C17" s="37">
        <f t="shared" si="2"/>
        <v>145.1176244</v>
      </c>
      <c r="D17" s="37">
        <f t="shared" si="1"/>
        <v>5.11762435</v>
      </c>
    </row>
    <row r="18">
      <c r="A18" s="36">
        <v>17.0</v>
      </c>
      <c r="B18" s="36">
        <v>142.0</v>
      </c>
      <c r="C18" s="37">
        <f t="shared" si="2"/>
        <v>144.0940995</v>
      </c>
      <c r="D18" s="37">
        <f t="shared" si="1"/>
        <v>2.09409948</v>
      </c>
    </row>
    <row r="19">
      <c r="A19" s="36">
        <v>18.0</v>
      </c>
      <c r="B19" s="36">
        <v>157.0</v>
      </c>
      <c r="C19" s="37">
        <f t="shared" si="2"/>
        <v>143.6752796</v>
      </c>
      <c r="D19" s="37">
        <f t="shared" si="1"/>
        <v>13.32472042</v>
      </c>
    </row>
    <row r="20">
      <c r="A20" s="36">
        <v>19.0</v>
      </c>
      <c r="B20" s="36">
        <v>148.0</v>
      </c>
      <c r="C20" s="37">
        <f t="shared" si="2"/>
        <v>146.3402237</v>
      </c>
      <c r="D20" s="37">
        <f t="shared" si="1"/>
        <v>1.659776333</v>
      </c>
    </row>
    <row r="21" ht="15.75" customHeight="1">
      <c r="A21" s="36">
        <v>20.0</v>
      </c>
      <c r="B21" s="36">
        <v>144.0</v>
      </c>
      <c r="C21" s="37">
        <f t="shared" si="2"/>
        <v>146.6721789</v>
      </c>
      <c r="D21" s="37">
        <f t="shared" si="1"/>
        <v>2.672178934</v>
      </c>
    </row>
    <row r="22" ht="15.75" customHeight="1"/>
    <row r="23" ht="15.75" customHeight="1">
      <c r="G23" s="38" t="s">
        <v>28</v>
      </c>
    </row>
    <row r="24" ht="15.75" customHeight="1">
      <c r="C24" s="39" t="s">
        <v>29</v>
      </c>
      <c r="D24" s="37">
        <f>AVERAGE(D12:D21)</f>
        <v>8.632924552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7.25"/>
    <col customWidth="1" min="4" max="4" width="7.63"/>
    <col customWidth="1" min="5" max="5" width="16.38"/>
    <col customWidth="1" min="6" max="21" width="7.63"/>
  </cols>
  <sheetData>
    <row r="1">
      <c r="A1" s="40" t="s">
        <v>30</v>
      </c>
      <c r="B1" s="40" t="s">
        <v>25</v>
      </c>
      <c r="C1" s="40" t="s">
        <v>26</v>
      </c>
      <c r="D1" s="40" t="s">
        <v>31</v>
      </c>
      <c r="E1" s="40" t="s">
        <v>32</v>
      </c>
      <c r="F1" s="40" t="s">
        <v>15</v>
      </c>
      <c r="G1" s="41"/>
      <c r="H1" s="40" t="s">
        <v>33</v>
      </c>
      <c r="I1" s="42">
        <f>INTERCEPT(C2:C21,B2:B21)</f>
        <v>177.2178183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>
      <c r="A2" s="43">
        <v>1.0</v>
      </c>
      <c r="B2" s="42">
        <f t="shared" ref="B2:B10" si="1">IF(A2&lt;=10,A2,MOD(A2,10)+1)</f>
        <v>1</v>
      </c>
      <c r="C2" s="42">
        <v>145.0</v>
      </c>
      <c r="D2" s="44">
        <f t="shared" ref="D2:D21" si="2">$I$1+$I$2*B2</f>
        <v>175.6225886</v>
      </c>
      <c r="E2" s="44">
        <f t="shared" ref="E2:E21" si="3">VLOOKUP(B2,H$5:I$13,2,FALSE)*D2</f>
        <v>151.006466</v>
      </c>
      <c r="F2" s="44">
        <f t="shared" ref="F2:F21" si="4">ABS(C2-E2)</f>
        <v>6.006466022</v>
      </c>
      <c r="G2" s="41"/>
      <c r="H2" s="40" t="s">
        <v>34</v>
      </c>
      <c r="I2" s="42">
        <f>SLOPE(C2:C21,B2:B21)</f>
        <v>-1.595229744</v>
      </c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</row>
    <row r="3">
      <c r="A3" s="43">
        <v>2.0</v>
      </c>
      <c r="B3" s="42">
        <f t="shared" si="1"/>
        <v>2</v>
      </c>
      <c r="C3" s="42">
        <v>164.0</v>
      </c>
      <c r="D3" s="44">
        <f t="shared" si="2"/>
        <v>174.0273588</v>
      </c>
      <c r="E3" s="44">
        <f t="shared" si="3"/>
        <v>166.0331692</v>
      </c>
      <c r="F3" s="44">
        <f t="shared" si="4"/>
        <v>2.033169194</v>
      </c>
      <c r="G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>
      <c r="A4" s="43">
        <v>3.0</v>
      </c>
      <c r="B4" s="42">
        <f t="shared" si="1"/>
        <v>3</v>
      </c>
      <c r="C4" s="42">
        <v>178.0</v>
      </c>
      <c r="D4" s="44">
        <f t="shared" si="2"/>
        <v>172.4321291</v>
      </c>
      <c r="E4" s="44">
        <f t="shared" si="3"/>
        <v>181.7747415</v>
      </c>
      <c r="F4" s="44">
        <f t="shared" si="4"/>
        <v>3.774741489</v>
      </c>
      <c r="G4" s="41"/>
      <c r="H4" s="35" t="s">
        <v>35</v>
      </c>
      <c r="I4" s="35" t="s">
        <v>36</v>
      </c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>
      <c r="A5" s="43">
        <v>4.0</v>
      </c>
      <c r="B5" s="42">
        <f t="shared" si="1"/>
        <v>4</v>
      </c>
      <c r="C5" s="42">
        <v>200.0</v>
      </c>
      <c r="D5" s="44">
        <f t="shared" si="2"/>
        <v>170.8368993</v>
      </c>
      <c r="E5" s="44">
        <f t="shared" si="3"/>
        <v>200.7182651</v>
      </c>
      <c r="F5" s="44">
        <f t="shared" si="4"/>
        <v>0.7182651181</v>
      </c>
      <c r="G5" s="41"/>
      <c r="H5" s="45">
        <v>1.0</v>
      </c>
      <c r="I5" s="37">
        <f t="shared" ref="I5:I13" si="5">AVERAGEIF(B$2:B$21,H5,C$2:C$21)/AVERAGE(C$2:C$21)</f>
        <v>0.8598351001</v>
      </c>
      <c r="L5" s="41"/>
      <c r="M5" s="41"/>
      <c r="N5" s="41"/>
      <c r="O5" s="41"/>
      <c r="P5" s="41"/>
      <c r="Q5" s="41"/>
      <c r="R5" s="41"/>
      <c r="S5" s="41"/>
      <c r="T5" s="41"/>
      <c r="U5" s="41"/>
    </row>
    <row r="6">
      <c r="A6" s="43">
        <v>5.0</v>
      </c>
      <c r="B6" s="42">
        <f t="shared" si="1"/>
        <v>5</v>
      </c>
      <c r="C6" s="42">
        <v>215.0</v>
      </c>
      <c r="D6" s="44">
        <f t="shared" si="2"/>
        <v>169.2416696</v>
      </c>
      <c r="E6" s="44">
        <f t="shared" si="3"/>
        <v>216.7848241</v>
      </c>
      <c r="F6" s="44">
        <f t="shared" si="4"/>
        <v>1.784824121</v>
      </c>
      <c r="G6" s="41"/>
      <c r="H6" s="45">
        <v>2.0</v>
      </c>
      <c r="I6" s="37">
        <f t="shared" si="5"/>
        <v>0.9540636042</v>
      </c>
      <c r="L6" s="41"/>
      <c r="M6" s="41"/>
      <c r="N6" s="41"/>
      <c r="O6" s="41"/>
      <c r="P6" s="41"/>
      <c r="Q6" s="41"/>
      <c r="R6" s="41"/>
      <c r="S6" s="41"/>
      <c r="T6" s="41"/>
      <c r="U6" s="41"/>
    </row>
    <row r="7">
      <c r="A7" s="43">
        <v>6.0</v>
      </c>
      <c r="B7" s="42">
        <f t="shared" si="1"/>
        <v>6</v>
      </c>
      <c r="C7" s="42">
        <v>205.0</v>
      </c>
      <c r="D7" s="44">
        <f t="shared" si="2"/>
        <v>167.6464398</v>
      </c>
      <c r="E7" s="44">
        <f t="shared" si="3"/>
        <v>203.8809766</v>
      </c>
      <c r="F7" s="44">
        <f t="shared" si="4"/>
        <v>1.119023391</v>
      </c>
      <c r="G7" s="41"/>
      <c r="H7" s="45">
        <v>3.0</v>
      </c>
      <c r="I7" s="37">
        <f t="shared" si="5"/>
        <v>1.05418139</v>
      </c>
      <c r="L7" s="41"/>
      <c r="M7" s="41"/>
      <c r="N7" s="41"/>
      <c r="O7" s="41"/>
      <c r="P7" s="41"/>
      <c r="Q7" s="41"/>
      <c r="R7" s="41"/>
      <c r="S7" s="41"/>
      <c r="T7" s="41"/>
      <c r="U7" s="41"/>
    </row>
    <row r="8">
      <c r="A8" s="43">
        <v>7.0</v>
      </c>
      <c r="B8" s="42">
        <f t="shared" si="1"/>
        <v>7</v>
      </c>
      <c r="C8" s="42">
        <v>170.0</v>
      </c>
      <c r="D8" s="44">
        <f t="shared" si="2"/>
        <v>166.0512101</v>
      </c>
      <c r="E8" s="44">
        <f t="shared" si="3"/>
        <v>168.6916004</v>
      </c>
      <c r="F8" s="44">
        <f t="shared" si="4"/>
        <v>1.308399632</v>
      </c>
      <c r="G8" s="41"/>
      <c r="H8" s="45">
        <v>4.0</v>
      </c>
      <c r="I8" s="37">
        <f t="shared" si="5"/>
        <v>1.174911661</v>
      </c>
      <c r="L8" s="41"/>
      <c r="M8" s="41"/>
      <c r="N8" s="41"/>
      <c r="O8" s="41"/>
      <c r="P8" s="41"/>
      <c r="Q8" s="41"/>
      <c r="R8" s="41"/>
      <c r="S8" s="41"/>
      <c r="T8" s="41"/>
      <c r="U8" s="41"/>
    </row>
    <row r="9">
      <c r="A9" s="43">
        <v>8.0</v>
      </c>
      <c r="B9" s="42">
        <f t="shared" si="1"/>
        <v>8</v>
      </c>
      <c r="C9" s="42">
        <v>142.0</v>
      </c>
      <c r="D9" s="44">
        <f t="shared" si="2"/>
        <v>164.4559804</v>
      </c>
      <c r="E9" s="44">
        <f t="shared" si="3"/>
        <v>136.5623865</v>
      </c>
      <c r="F9" s="44">
        <f t="shared" si="4"/>
        <v>5.437613484</v>
      </c>
      <c r="G9" s="41"/>
      <c r="H9" s="45">
        <v>5.0</v>
      </c>
      <c r="I9" s="37">
        <f t="shared" si="5"/>
        <v>1.280918728</v>
      </c>
      <c r="L9" s="41"/>
      <c r="M9" s="41"/>
      <c r="N9" s="41"/>
      <c r="O9" s="41"/>
      <c r="P9" s="41"/>
      <c r="Q9" s="41"/>
      <c r="R9" s="41"/>
      <c r="S9" s="41"/>
      <c r="T9" s="41"/>
      <c r="U9" s="41"/>
    </row>
    <row r="10">
      <c r="A10" s="43">
        <v>9.0</v>
      </c>
      <c r="B10" s="42">
        <f t="shared" si="1"/>
        <v>9</v>
      </c>
      <c r="C10" s="42">
        <v>119.0</v>
      </c>
      <c r="D10" s="44">
        <f t="shared" si="2"/>
        <v>162.8607506</v>
      </c>
      <c r="E10" s="44">
        <f t="shared" si="3"/>
        <v>115.0959368</v>
      </c>
      <c r="F10" s="44">
        <f t="shared" si="4"/>
        <v>3.90406317</v>
      </c>
      <c r="G10" s="41"/>
      <c r="H10" s="45">
        <v>6.0</v>
      </c>
      <c r="I10" s="37">
        <f t="shared" si="5"/>
        <v>1.216136631</v>
      </c>
      <c r="L10" s="41"/>
      <c r="M10" s="41"/>
      <c r="N10" s="41"/>
      <c r="O10" s="41"/>
      <c r="P10" s="41"/>
      <c r="Q10" s="41"/>
      <c r="R10" s="41"/>
      <c r="S10" s="41"/>
      <c r="T10" s="41"/>
      <c r="U10" s="41"/>
    </row>
    <row r="11">
      <c r="A11" s="43">
        <v>10.0</v>
      </c>
      <c r="B11" s="42">
        <v>1.0</v>
      </c>
      <c r="C11" s="42">
        <v>147.0</v>
      </c>
      <c r="D11" s="44">
        <f t="shared" si="2"/>
        <v>175.6225886</v>
      </c>
      <c r="E11" s="44">
        <f t="shared" si="3"/>
        <v>151.006466</v>
      </c>
      <c r="F11" s="44">
        <f t="shared" si="4"/>
        <v>4.006466022</v>
      </c>
      <c r="G11" s="41"/>
      <c r="H11" s="45">
        <v>7.0</v>
      </c>
      <c r="I11" s="37">
        <f t="shared" si="5"/>
        <v>1.01590106</v>
      </c>
      <c r="L11" s="41"/>
      <c r="M11" s="41"/>
      <c r="N11" s="41"/>
      <c r="O11" s="41"/>
      <c r="P11" s="41"/>
      <c r="Q11" s="41"/>
      <c r="R11" s="41"/>
      <c r="S11" s="41"/>
      <c r="T11" s="41"/>
      <c r="U11" s="41"/>
    </row>
    <row r="12">
      <c r="A12" s="43">
        <v>11.0</v>
      </c>
      <c r="B12" s="42">
        <v>2.0</v>
      </c>
      <c r="C12" s="46">
        <v>162.0</v>
      </c>
      <c r="D12" s="44">
        <f t="shared" si="2"/>
        <v>174.0273588</v>
      </c>
      <c r="E12" s="44">
        <f t="shared" si="3"/>
        <v>166.0331692</v>
      </c>
      <c r="F12" s="44">
        <f t="shared" si="4"/>
        <v>4.033169194</v>
      </c>
      <c r="G12" s="41"/>
      <c r="H12" s="45">
        <v>8.0</v>
      </c>
      <c r="I12" s="37">
        <f t="shared" si="5"/>
        <v>0.8303886926</v>
      </c>
      <c r="L12" s="41"/>
      <c r="M12" s="41"/>
      <c r="N12" s="41"/>
      <c r="O12" s="41"/>
      <c r="P12" s="41"/>
      <c r="Q12" s="41"/>
      <c r="R12" s="41"/>
      <c r="S12" s="41"/>
      <c r="T12" s="41"/>
      <c r="U12" s="41"/>
    </row>
    <row r="13">
      <c r="A13" s="43">
        <v>12.0</v>
      </c>
      <c r="B13" s="42">
        <v>3.0</v>
      </c>
      <c r="C13" s="46">
        <v>180.0</v>
      </c>
      <c r="D13" s="44">
        <f t="shared" si="2"/>
        <v>172.4321291</v>
      </c>
      <c r="E13" s="44">
        <f t="shared" si="3"/>
        <v>181.7747415</v>
      </c>
      <c r="F13" s="44">
        <f t="shared" si="4"/>
        <v>1.774741489</v>
      </c>
      <c r="G13" s="41"/>
      <c r="H13" s="45">
        <v>9.0</v>
      </c>
      <c r="I13" s="37">
        <f t="shared" si="5"/>
        <v>0.7067137809</v>
      </c>
      <c r="L13" s="41"/>
      <c r="M13" s="41"/>
      <c r="N13" s="41"/>
      <c r="O13" s="41"/>
      <c r="P13" s="41"/>
      <c r="Q13" s="41"/>
      <c r="R13" s="41"/>
      <c r="S13" s="41"/>
      <c r="T13" s="41"/>
      <c r="U13" s="41"/>
    </row>
    <row r="14">
      <c r="A14" s="43">
        <v>13.0</v>
      </c>
      <c r="B14" s="42">
        <v>4.0</v>
      </c>
      <c r="C14" s="46">
        <v>199.0</v>
      </c>
      <c r="D14" s="44">
        <f t="shared" si="2"/>
        <v>170.8368993</v>
      </c>
      <c r="E14" s="44">
        <f t="shared" si="3"/>
        <v>200.7182651</v>
      </c>
      <c r="F14" s="44">
        <f t="shared" si="4"/>
        <v>1.718265118</v>
      </c>
      <c r="G14" s="47"/>
      <c r="H14" s="41"/>
      <c r="I14" s="41"/>
      <c r="L14" s="41"/>
      <c r="M14" s="41"/>
      <c r="N14" s="41"/>
      <c r="O14" s="41"/>
      <c r="P14" s="41"/>
      <c r="Q14" s="41"/>
      <c r="R14" s="41"/>
      <c r="S14" s="41"/>
      <c r="T14" s="41"/>
      <c r="U14" s="41"/>
    </row>
    <row r="15">
      <c r="A15" s="43">
        <v>14.0</v>
      </c>
      <c r="B15" s="42">
        <v>5.0</v>
      </c>
      <c r="C15" s="46">
        <v>220.0</v>
      </c>
      <c r="D15" s="44">
        <f t="shared" si="2"/>
        <v>169.2416696</v>
      </c>
      <c r="E15" s="44">
        <f t="shared" si="3"/>
        <v>216.7848241</v>
      </c>
      <c r="F15" s="44">
        <f t="shared" si="4"/>
        <v>3.215175879</v>
      </c>
      <c r="G15" s="41"/>
      <c r="H15" s="48"/>
      <c r="I15" s="48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</row>
    <row r="16">
      <c r="A16" s="43">
        <v>15.0</v>
      </c>
      <c r="B16" s="42">
        <v>6.0</v>
      </c>
      <c r="C16" s="46">
        <v>208.0</v>
      </c>
      <c r="D16" s="44">
        <f t="shared" si="2"/>
        <v>167.6464398</v>
      </c>
      <c r="E16" s="44">
        <f t="shared" si="3"/>
        <v>203.8809766</v>
      </c>
      <c r="F16" s="44">
        <f t="shared" si="4"/>
        <v>4.119023391</v>
      </c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</row>
    <row r="17">
      <c r="A17" s="43">
        <v>16.0</v>
      </c>
      <c r="B17" s="42">
        <v>7.0</v>
      </c>
      <c r="C17" s="46">
        <v>175.0</v>
      </c>
      <c r="D17" s="44">
        <f t="shared" si="2"/>
        <v>166.0512101</v>
      </c>
      <c r="E17" s="44">
        <f t="shared" si="3"/>
        <v>168.6916004</v>
      </c>
      <c r="F17" s="44">
        <f t="shared" si="4"/>
        <v>6.308399632</v>
      </c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</row>
    <row r="18">
      <c r="A18" s="43">
        <v>17.0</v>
      </c>
      <c r="B18" s="42">
        <v>8.0</v>
      </c>
      <c r="C18" s="46">
        <v>140.0</v>
      </c>
      <c r="D18" s="44">
        <f t="shared" si="2"/>
        <v>164.4559804</v>
      </c>
      <c r="E18" s="44">
        <f t="shared" si="3"/>
        <v>136.5623865</v>
      </c>
      <c r="F18" s="44">
        <f t="shared" si="4"/>
        <v>3.437613484</v>
      </c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</row>
    <row r="19">
      <c r="A19" s="43">
        <v>18.0</v>
      </c>
      <c r="B19" s="42">
        <v>9.0</v>
      </c>
      <c r="C19" s="46">
        <v>121.0</v>
      </c>
      <c r="D19" s="44">
        <f t="shared" si="2"/>
        <v>162.8607506</v>
      </c>
      <c r="E19" s="44">
        <f t="shared" si="3"/>
        <v>115.0959368</v>
      </c>
      <c r="F19" s="44">
        <f t="shared" si="4"/>
        <v>5.90406317</v>
      </c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</row>
    <row r="20">
      <c r="A20" s="43">
        <v>19.0</v>
      </c>
      <c r="B20" s="42">
        <v>1.0</v>
      </c>
      <c r="C20" s="46">
        <v>146.0</v>
      </c>
      <c r="D20" s="44">
        <f t="shared" si="2"/>
        <v>175.6225886</v>
      </c>
      <c r="E20" s="44">
        <f t="shared" si="3"/>
        <v>151.006466</v>
      </c>
      <c r="F20" s="44">
        <f t="shared" si="4"/>
        <v>5.006466022</v>
      </c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</row>
    <row r="21" ht="15.75" customHeight="1">
      <c r="A21" s="43">
        <v>20.0</v>
      </c>
      <c r="B21" s="42">
        <v>2.0</v>
      </c>
      <c r="C21" s="46">
        <v>160.0</v>
      </c>
      <c r="D21" s="44">
        <f t="shared" si="2"/>
        <v>174.0273588</v>
      </c>
      <c r="E21" s="44">
        <f t="shared" si="3"/>
        <v>166.0331692</v>
      </c>
      <c r="F21" s="44">
        <f t="shared" si="4"/>
        <v>6.033169194</v>
      </c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</row>
    <row r="22" ht="15.75" customHeight="1"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</row>
    <row r="23" ht="15.75" customHeight="1">
      <c r="E23" s="36" t="s">
        <v>29</v>
      </c>
      <c r="F23" s="37">
        <f>AVERAGE(F12:F21)</f>
        <v>4.155008657</v>
      </c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</row>
    <row r="24" ht="15.75" customHeight="1"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</row>
    <row r="25" ht="15.75" customHeight="1">
      <c r="A25" s="49" t="s">
        <v>12</v>
      </c>
      <c r="B25" s="50"/>
      <c r="C25" s="50"/>
      <c r="D25" s="50"/>
      <c r="E25" s="50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</row>
    <row r="26" ht="15.75" customHeight="1">
      <c r="A26" s="51" t="s">
        <v>37</v>
      </c>
      <c r="B26" s="51" t="s">
        <v>25</v>
      </c>
      <c r="C26" s="51"/>
      <c r="D26" s="51" t="s">
        <v>31</v>
      </c>
      <c r="E26" s="51" t="s">
        <v>38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</row>
    <row r="27" ht="15.75" customHeight="1">
      <c r="A27" s="43">
        <v>21.0</v>
      </c>
      <c r="B27" s="42">
        <v>3.0</v>
      </c>
      <c r="C27" s="42"/>
      <c r="D27" s="44">
        <f t="shared" ref="D27:D31" si="6">$I$1+$I$2*B27</f>
        <v>172.4321291</v>
      </c>
      <c r="E27" s="44">
        <f t="shared" ref="E27:E31" si="7">VLOOKUP(B27,H$5:I$13,2,FALSE)*D27</f>
        <v>181.7747415</v>
      </c>
    </row>
    <row r="28" ht="15.75" customHeight="1">
      <c r="A28" s="43">
        <v>22.0</v>
      </c>
      <c r="B28" s="42">
        <v>4.0</v>
      </c>
      <c r="C28" s="42"/>
      <c r="D28" s="44">
        <f t="shared" si="6"/>
        <v>170.8368993</v>
      </c>
      <c r="E28" s="44">
        <f t="shared" si="7"/>
        <v>200.7182651</v>
      </c>
    </row>
    <row r="29" ht="15.75" customHeight="1">
      <c r="A29" s="43">
        <v>23.0</v>
      </c>
      <c r="B29" s="42">
        <v>5.0</v>
      </c>
      <c r="C29" s="42"/>
      <c r="D29" s="44">
        <f t="shared" si="6"/>
        <v>169.2416696</v>
      </c>
      <c r="E29" s="44">
        <f t="shared" si="7"/>
        <v>216.7848241</v>
      </c>
    </row>
    <row r="30" ht="15.75" customHeight="1">
      <c r="A30" s="43">
        <v>24.0</v>
      </c>
      <c r="B30" s="42">
        <v>6.0</v>
      </c>
      <c r="C30" s="42"/>
      <c r="D30" s="44">
        <f t="shared" si="6"/>
        <v>167.6464398</v>
      </c>
      <c r="E30" s="44">
        <f t="shared" si="7"/>
        <v>203.8809766</v>
      </c>
    </row>
    <row r="31" ht="15.75" customHeight="1">
      <c r="A31" s="43">
        <v>25.0</v>
      </c>
      <c r="B31" s="43">
        <v>7.0</v>
      </c>
      <c r="C31" s="43"/>
      <c r="D31" s="44">
        <f t="shared" si="6"/>
        <v>166.0512101</v>
      </c>
      <c r="E31" s="44">
        <f t="shared" si="7"/>
        <v>168.6916004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5:E25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9.5"/>
    <col customWidth="1" min="5" max="26" width="7.63"/>
  </cols>
  <sheetData>
    <row r="1">
      <c r="A1" s="52" t="s">
        <v>39</v>
      </c>
      <c r="B1" s="52" t="s">
        <v>40</v>
      </c>
      <c r="C1" s="52" t="s">
        <v>26</v>
      </c>
      <c r="D1" s="52" t="s">
        <v>41</v>
      </c>
      <c r="E1" s="52" t="s">
        <v>42</v>
      </c>
      <c r="F1" s="52" t="s">
        <v>13</v>
      </c>
      <c r="G1" s="52" t="s">
        <v>43</v>
      </c>
      <c r="H1" s="48"/>
      <c r="I1" s="53" t="s">
        <v>33</v>
      </c>
      <c r="J1" s="54">
        <f>INTERCEPT(D,period)</f>
        <v>80.27894737</v>
      </c>
    </row>
    <row r="2">
      <c r="A2" s="44">
        <v>1.0</v>
      </c>
      <c r="B2" s="44">
        <v>1.0</v>
      </c>
      <c r="C2" s="44">
        <v>100.0</v>
      </c>
      <c r="D2" s="44">
        <f t="shared" ref="D2:D26" si="1">$J$1+$J$2*B2</f>
        <v>80.95714286</v>
      </c>
      <c r="E2" s="44">
        <f>VLOOKUP(A2,sindex,2,FALSE)*D2</f>
        <v>106.3372998</v>
      </c>
      <c r="F2" s="44">
        <f t="shared" ref="F2:F21" si="2">C2-E2</f>
        <v>-6.337299771</v>
      </c>
      <c r="G2" s="44">
        <f t="shared" ref="G2:G21" si="3">ABS(F2)</f>
        <v>6.337299771</v>
      </c>
      <c r="H2" s="48"/>
      <c r="I2" s="53" t="s">
        <v>44</v>
      </c>
      <c r="J2" s="54">
        <f>SLOPE(D,period)</f>
        <v>0.6781954887</v>
      </c>
    </row>
    <row r="3">
      <c r="A3" s="44">
        <v>2.0</v>
      </c>
      <c r="B3" s="44">
        <v>2.0</v>
      </c>
      <c r="C3" s="44">
        <v>82.0</v>
      </c>
      <c r="D3" s="44">
        <f t="shared" si="1"/>
        <v>81.63533835</v>
      </c>
      <c r="E3" s="44">
        <f>VLOOKUP(A3,sindex,2,FALSE)*D3</f>
        <v>83.50342389</v>
      </c>
      <c r="F3" s="44">
        <f t="shared" si="2"/>
        <v>-1.503423892</v>
      </c>
      <c r="G3" s="44">
        <f t="shared" si="3"/>
        <v>1.503423892</v>
      </c>
      <c r="H3" s="48"/>
      <c r="I3" s="48"/>
      <c r="J3" s="48"/>
    </row>
    <row r="4">
      <c r="A4" s="44">
        <v>3.0</v>
      </c>
      <c r="B4" s="44">
        <v>3.0</v>
      </c>
      <c r="C4" s="44">
        <v>70.0</v>
      </c>
      <c r="D4" s="44">
        <f t="shared" si="1"/>
        <v>82.31353383</v>
      </c>
      <c r="E4" s="44">
        <f>VLOOKUP(A4,sindex,2,FALSE)*D4</f>
        <v>74.40239328</v>
      </c>
      <c r="F4" s="44">
        <f t="shared" si="2"/>
        <v>-4.402393283</v>
      </c>
      <c r="G4" s="44">
        <f t="shared" si="3"/>
        <v>4.402393283</v>
      </c>
      <c r="H4" s="48"/>
      <c r="I4" s="53" t="s">
        <v>37</v>
      </c>
      <c r="J4" s="53" t="s">
        <v>45</v>
      </c>
    </row>
    <row r="5">
      <c r="A5" s="44">
        <v>4.0</v>
      </c>
      <c r="B5" s="44">
        <v>4.0</v>
      </c>
      <c r="C5" s="44">
        <v>55.0</v>
      </c>
      <c r="D5" s="44">
        <f t="shared" si="1"/>
        <v>82.99172932</v>
      </c>
      <c r="E5" s="44">
        <f>VLOOKUP(A5,sindex,2,FALSE)*D5</f>
        <v>63.05092479</v>
      </c>
      <c r="F5" s="44">
        <f t="shared" si="2"/>
        <v>-8.050924795</v>
      </c>
      <c r="G5" s="44">
        <f t="shared" si="3"/>
        <v>8.050924795</v>
      </c>
      <c r="H5" s="48"/>
      <c r="I5" s="54">
        <v>1.0</v>
      </c>
      <c r="J5" s="54">
        <f>AVERAGEIF(week,I5,D)/AVERAGE(D)</f>
        <v>1.313501144</v>
      </c>
    </row>
    <row r="6">
      <c r="A6" s="44">
        <v>1.0</v>
      </c>
      <c r="B6" s="44">
        <v>5.0</v>
      </c>
      <c r="C6" s="44">
        <v>110.0</v>
      </c>
      <c r="D6" s="44">
        <f t="shared" si="1"/>
        <v>83.66992481</v>
      </c>
      <c r="E6" s="44">
        <f>VLOOKUP(A6,sindex,2,FALSE)*D6</f>
        <v>109.900542</v>
      </c>
      <c r="F6" s="44">
        <f t="shared" si="2"/>
        <v>0.09945802722</v>
      </c>
      <c r="G6" s="44">
        <f t="shared" si="3"/>
        <v>0.09945802722</v>
      </c>
      <c r="H6" s="48"/>
      <c r="I6" s="54">
        <v>2.0</v>
      </c>
      <c r="J6" s="54">
        <f>AVERAGEIF(week,I6,D)/AVERAGE(D)</f>
        <v>1.022883295</v>
      </c>
    </row>
    <row r="7">
      <c r="A7" s="44">
        <v>2.0</v>
      </c>
      <c r="B7" s="44">
        <v>6.0</v>
      </c>
      <c r="C7" s="44">
        <v>85.0</v>
      </c>
      <c r="D7" s="44">
        <f t="shared" si="1"/>
        <v>84.3481203</v>
      </c>
      <c r="E7" s="44">
        <f>VLOOKUP(A7,sindex,2,FALSE)*D7</f>
        <v>86.27828324</v>
      </c>
      <c r="F7" s="44">
        <f t="shared" si="2"/>
        <v>-1.278283237</v>
      </c>
      <c r="G7" s="44">
        <f t="shared" si="3"/>
        <v>1.278283237</v>
      </c>
      <c r="H7" s="48"/>
      <c r="I7" s="54">
        <v>3.0</v>
      </c>
      <c r="J7" s="54">
        <f>AVERAGEIF(week,I7,D)/AVERAGE(D)</f>
        <v>0.9038901602</v>
      </c>
    </row>
    <row r="8">
      <c r="A8" s="44">
        <v>3.0</v>
      </c>
      <c r="B8" s="44">
        <v>7.0</v>
      </c>
      <c r="C8" s="44">
        <v>74.0</v>
      </c>
      <c r="D8" s="44">
        <f t="shared" si="1"/>
        <v>85.02631579</v>
      </c>
      <c r="E8" s="44">
        <f>VLOOKUP(A8,sindex,2,FALSE)*D8</f>
        <v>76.8544502</v>
      </c>
      <c r="F8" s="44">
        <f t="shared" si="2"/>
        <v>-2.854450199</v>
      </c>
      <c r="G8" s="44">
        <f t="shared" si="3"/>
        <v>2.854450199</v>
      </c>
      <c r="H8" s="48"/>
      <c r="I8" s="54">
        <v>4.0</v>
      </c>
      <c r="J8" s="54">
        <f>AVERAGEIF(week,I8,D)/AVERAGE(D)</f>
        <v>0.7597254005</v>
      </c>
    </row>
    <row r="9">
      <c r="A9" s="44">
        <v>4.0</v>
      </c>
      <c r="B9" s="44">
        <v>8.0</v>
      </c>
      <c r="C9" s="44">
        <v>62.0</v>
      </c>
      <c r="D9" s="44">
        <f t="shared" si="1"/>
        <v>85.70451128</v>
      </c>
      <c r="E9" s="44">
        <f>VLOOKUP(A9,sindex,2,FALSE)*D9</f>
        <v>65.11189415</v>
      </c>
      <c r="F9" s="44">
        <f t="shared" si="2"/>
        <v>-3.111894152</v>
      </c>
      <c r="G9" s="44">
        <f t="shared" si="3"/>
        <v>3.111894152</v>
      </c>
      <c r="H9" s="48"/>
      <c r="I9" s="48"/>
      <c r="J9" s="48"/>
    </row>
    <row r="10">
      <c r="A10" s="44">
        <v>1.0</v>
      </c>
      <c r="B10" s="44">
        <v>9.0</v>
      </c>
      <c r="C10" s="44">
        <v>115.0</v>
      </c>
      <c r="D10" s="44">
        <f t="shared" si="1"/>
        <v>86.38270677</v>
      </c>
      <c r="E10" s="44">
        <f>VLOOKUP(A10,sindex,2,FALSE)*D10</f>
        <v>113.4637842</v>
      </c>
      <c r="F10" s="44">
        <f t="shared" si="2"/>
        <v>1.536215826</v>
      </c>
      <c r="G10" s="44">
        <f t="shared" si="3"/>
        <v>1.536215826</v>
      </c>
      <c r="H10" s="48"/>
      <c r="I10" s="48"/>
      <c r="J10" s="48"/>
    </row>
    <row r="11">
      <c r="A11" s="44">
        <v>2.0</v>
      </c>
      <c r="B11" s="44">
        <v>10.0</v>
      </c>
      <c r="C11" s="44">
        <v>88.0</v>
      </c>
      <c r="D11" s="44">
        <f t="shared" si="1"/>
        <v>87.06090226</v>
      </c>
      <c r="E11" s="44">
        <f>VLOOKUP(A11,sindex,2,FALSE)*D11</f>
        <v>89.05314258</v>
      </c>
      <c r="F11" s="44">
        <f t="shared" si="2"/>
        <v>-1.053142582</v>
      </c>
      <c r="G11" s="44">
        <f t="shared" si="3"/>
        <v>1.053142582</v>
      </c>
      <c r="H11" s="48"/>
      <c r="I11" s="48"/>
      <c r="J11" s="48"/>
    </row>
    <row r="12">
      <c r="A12" s="44">
        <v>3.0</v>
      </c>
      <c r="B12" s="44">
        <v>11.0</v>
      </c>
      <c r="C12" s="44">
        <v>78.0</v>
      </c>
      <c r="D12" s="44">
        <f t="shared" si="1"/>
        <v>87.73909774</v>
      </c>
      <c r="E12" s="44">
        <f>VLOOKUP(A12,sindex,2,FALSE)*D12</f>
        <v>79.30650711</v>
      </c>
      <c r="F12" s="44">
        <f t="shared" si="2"/>
        <v>-1.306507114</v>
      </c>
      <c r="G12" s="44">
        <f t="shared" si="3"/>
        <v>1.306507114</v>
      </c>
      <c r="H12" s="48"/>
      <c r="I12" s="48"/>
      <c r="J12" s="48"/>
    </row>
    <row r="13">
      <c r="A13" s="44">
        <v>4.0</v>
      </c>
      <c r="B13" s="44">
        <v>12.0</v>
      </c>
      <c r="C13" s="44">
        <v>67.0</v>
      </c>
      <c r="D13" s="44">
        <f t="shared" si="1"/>
        <v>88.41729323</v>
      </c>
      <c r="E13" s="44">
        <f>VLOOKUP(A13,sindex,2,FALSE)*D13</f>
        <v>67.17286351</v>
      </c>
      <c r="F13" s="44">
        <f t="shared" si="2"/>
        <v>-0.1728635089</v>
      </c>
      <c r="G13" s="44">
        <f t="shared" si="3"/>
        <v>0.1728635089</v>
      </c>
      <c r="H13" s="48"/>
      <c r="I13" s="48"/>
      <c r="J13" s="48"/>
    </row>
    <row r="14">
      <c r="A14" s="44">
        <v>1.0</v>
      </c>
      <c r="B14" s="44">
        <v>13.0</v>
      </c>
      <c r="C14" s="44">
        <v>121.0</v>
      </c>
      <c r="D14" s="44">
        <f t="shared" si="1"/>
        <v>89.09548872</v>
      </c>
      <c r="E14" s="44">
        <f>VLOOKUP(A14,sindex,2,FALSE)*D14</f>
        <v>117.0270264</v>
      </c>
      <c r="F14" s="44">
        <f t="shared" si="2"/>
        <v>3.972973624</v>
      </c>
      <c r="G14" s="44">
        <f t="shared" si="3"/>
        <v>3.972973624</v>
      </c>
      <c r="H14" s="48"/>
      <c r="I14" s="48"/>
      <c r="J14" s="48"/>
    </row>
    <row r="15">
      <c r="A15" s="44">
        <v>2.0</v>
      </c>
      <c r="B15" s="44">
        <v>14.0</v>
      </c>
      <c r="C15" s="44">
        <v>93.0</v>
      </c>
      <c r="D15" s="44">
        <f t="shared" si="1"/>
        <v>89.77368421</v>
      </c>
      <c r="E15" s="44">
        <f>VLOOKUP(A15,sindex,2,FALSE)*D15</f>
        <v>91.82800193</v>
      </c>
      <c r="F15" s="44">
        <f t="shared" si="2"/>
        <v>1.171998073</v>
      </c>
      <c r="G15" s="44">
        <f t="shared" si="3"/>
        <v>1.171998073</v>
      </c>
      <c r="H15" s="48"/>
      <c r="I15" s="48"/>
      <c r="J15" s="48"/>
    </row>
    <row r="16">
      <c r="A16" s="44">
        <v>3.0</v>
      </c>
      <c r="B16" s="44">
        <v>15.0</v>
      </c>
      <c r="C16" s="44">
        <v>84.0</v>
      </c>
      <c r="D16" s="44">
        <f t="shared" si="1"/>
        <v>90.4518797</v>
      </c>
      <c r="E16" s="44">
        <f>VLOOKUP(A16,sindex,2,FALSE)*D16</f>
        <v>81.75856403</v>
      </c>
      <c r="F16" s="44">
        <f t="shared" si="2"/>
        <v>2.24143597</v>
      </c>
      <c r="G16" s="44">
        <f t="shared" si="3"/>
        <v>2.24143597</v>
      </c>
      <c r="H16" s="48"/>
      <c r="I16" s="48"/>
      <c r="J16" s="48"/>
    </row>
    <row r="17">
      <c r="A17" s="44">
        <v>4.0</v>
      </c>
      <c r="B17" s="44">
        <v>16.0</v>
      </c>
      <c r="C17" s="44">
        <v>71.0</v>
      </c>
      <c r="D17" s="44">
        <f t="shared" si="1"/>
        <v>91.13007519</v>
      </c>
      <c r="E17" s="44">
        <f>VLOOKUP(A17,sindex,2,FALSE)*D17</f>
        <v>69.23383287</v>
      </c>
      <c r="F17" s="44">
        <f t="shared" si="2"/>
        <v>1.766167134</v>
      </c>
      <c r="G17" s="44">
        <f t="shared" si="3"/>
        <v>1.766167134</v>
      </c>
      <c r="H17" s="48"/>
      <c r="I17" s="48"/>
      <c r="J17" s="48"/>
    </row>
    <row r="18">
      <c r="A18" s="44">
        <v>1.0</v>
      </c>
      <c r="B18" s="44">
        <v>17.0</v>
      </c>
      <c r="C18" s="44">
        <v>128.0</v>
      </c>
      <c r="D18" s="44">
        <f t="shared" si="1"/>
        <v>91.80827068</v>
      </c>
      <c r="E18" s="44">
        <f>VLOOKUP(A18,sindex,2,FALSE)*D18</f>
        <v>120.5902686</v>
      </c>
      <c r="F18" s="44">
        <f t="shared" si="2"/>
        <v>7.409731422</v>
      </c>
      <c r="G18" s="44">
        <f t="shared" si="3"/>
        <v>7.409731422</v>
      </c>
      <c r="H18" s="48"/>
      <c r="I18" s="48"/>
      <c r="J18" s="48"/>
    </row>
    <row r="19">
      <c r="A19" s="44">
        <v>2.0</v>
      </c>
      <c r="B19" s="44">
        <v>18.0</v>
      </c>
      <c r="C19" s="44">
        <v>99.0</v>
      </c>
      <c r="D19" s="44">
        <f t="shared" si="1"/>
        <v>92.48646617</v>
      </c>
      <c r="E19" s="44">
        <f>VLOOKUP(A19,sindex,2,FALSE)*D19</f>
        <v>94.60286127</v>
      </c>
      <c r="F19" s="44">
        <f t="shared" si="2"/>
        <v>4.397138728</v>
      </c>
      <c r="G19" s="44">
        <f t="shared" si="3"/>
        <v>4.397138728</v>
      </c>
      <c r="H19" s="48"/>
      <c r="I19" s="48"/>
      <c r="J19" s="48"/>
    </row>
    <row r="20">
      <c r="A20" s="44">
        <v>3.0</v>
      </c>
      <c r="B20" s="44">
        <v>19.0</v>
      </c>
      <c r="C20" s="44">
        <v>89.0</v>
      </c>
      <c r="D20" s="44">
        <f t="shared" si="1"/>
        <v>93.16466165</v>
      </c>
      <c r="E20" s="44">
        <f>VLOOKUP(A20,sindex,2,FALSE)*D20</f>
        <v>84.21062095</v>
      </c>
      <c r="F20" s="44">
        <f t="shared" si="2"/>
        <v>4.789379054</v>
      </c>
      <c r="G20" s="44">
        <f t="shared" si="3"/>
        <v>4.789379054</v>
      </c>
      <c r="H20" s="48"/>
      <c r="I20" s="48"/>
      <c r="J20" s="48"/>
    </row>
    <row r="21" ht="15.75" customHeight="1">
      <c r="A21" s="44">
        <v>4.0</v>
      </c>
      <c r="B21" s="44">
        <v>20.0</v>
      </c>
      <c r="C21" s="44">
        <v>77.0</v>
      </c>
      <c r="D21" s="44">
        <f t="shared" si="1"/>
        <v>93.84285714</v>
      </c>
      <c r="E21" s="44">
        <f>VLOOKUP(A21,sindex,2,FALSE)*D21</f>
        <v>71.29480222</v>
      </c>
      <c r="F21" s="44">
        <f t="shared" si="2"/>
        <v>5.705197777</v>
      </c>
      <c r="G21" s="44">
        <f t="shared" si="3"/>
        <v>5.705197777</v>
      </c>
      <c r="H21" s="48"/>
      <c r="I21" s="48"/>
      <c r="J21" s="48"/>
      <c r="K21" s="48"/>
      <c r="L21" s="48"/>
    </row>
    <row r="22" ht="15.75" customHeight="1">
      <c r="A22" s="54">
        <v>1.0</v>
      </c>
      <c r="B22" s="54">
        <v>21.0</v>
      </c>
      <c r="C22" s="54"/>
      <c r="D22" s="54">
        <f t="shared" si="1"/>
        <v>94.52105263</v>
      </c>
      <c r="E22" s="54">
        <f>VLOOKUP(A22,sindex,2,FALSE)*D22</f>
        <v>124.1535108</v>
      </c>
      <c r="F22" s="44"/>
      <c r="G22" s="44"/>
      <c r="H22" s="48"/>
      <c r="I22" s="48"/>
      <c r="J22" s="48"/>
      <c r="K22" s="48"/>
      <c r="L22" s="48"/>
    </row>
    <row r="23" ht="15.75" customHeight="1">
      <c r="A23" s="54">
        <v>2.0</v>
      </c>
      <c r="B23" s="54">
        <v>22.0</v>
      </c>
      <c r="C23" s="54"/>
      <c r="D23" s="54">
        <f t="shared" si="1"/>
        <v>95.19924812</v>
      </c>
      <c r="E23" s="54">
        <f>VLOOKUP(A23,sindex,2,FALSE)*D23</f>
        <v>97.37772062</v>
      </c>
      <c r="F23" s="54"/>
      <c r="G23" s="54"/>
      <c r="H23" s="48"/>
      <c r="I23" s="48"/>
      <c r="J23" s="48"/>
      <c r="K23" s="48"/>
      <c r="L23" s="48"/>
    </row>
    <row r="24" ht="15.75" customHeight="1">
      <c r="A24" s="54">
        <v>3.0</v>
      </c>
      <c r="B24" s="54">
        <v>23.0</v>
      </c>
      <c r="C24" s="54"/>
      <c r="D24" s="54">
        <f t="shared" si="1"/>
        <v>95.87744361</v>
      </c>
      <c r="E24" s="54">
        <f>VLOOKUP(A24,sindex,2,FALSE)*D24</f>
        <v>86.66267786</v>
      </c>
      <c r="F24" s="44"/>
      <c r="G24" s="44"/>
      <c r="H24" s="48"/>
      <c r="I24" s="48"/>
      <c r="J24" s="48"/>
      <c r="K24" s="48"/>
      <c r="L24" s="48"/>
    </row>
    <row r="25" ht="15.75" customHeight="1">
      <c r="A25" s="54">
        <v>4.0</v>
      </c>
      <c r="B25" s="54">
        <v>24.0</v>
      </c>
      <c r="C25" s="54"/>
      <c r="D25" s="54">
        <f t="shared" si="1"/>
        <v>96.5556391</v>
      </c>
      <c r="E25" s="54">
        <f>VLOOKUP(A25,sindex,2,FALSE)*D25</f>
        <v>73.35577158</v>
      </c>
      <c r="F25" s="44"/>
      <c r="G25" s="44"/>
      <c r="H25" s="48"/>
      <c r="I25" s="48"/>
      <c r="J25" s="48"/>
      <c r="K25" s="48"/>
      <c r="L25" s="48"/>
    </row>
    <row r="26" ht="15.75" customHeight="1">
      <c r="A26" s="54">
        <v>1.0</v>
      </c>
      <c r="B26" s="54">
        <v>25.0</v>
      </c>
      <c r="C26" s="54"/>
      <c r="D26" s="54">
        <f t="shared" si="1"/>
        <v>97.23383459</v>
      </c>
      <c r="E26" s="54">
        <f>VLOOKUP(A26,sindex,2,FALSE)*D26</f>
        <v>127.716753</v>
      </c>
      <c r="F26" s="44"/>
      <c r="G26" s="44"/>
      <c r="H26" s="48"/>
      <c r="I26" s="48"/>
      <c r="J26" s="48"/>
    </row>
    <row r="27" ht="15.75" customHeight="1"/>
    <row r="28" ht="15.75" customHeight="1"/>
    <row r="29" ht="15.75" customHeight="1"/>
    <row r="30" ht="15.75" customHeight="1">
      <c r="F30" s="43" t="s">
        <v>29</v>
      </c>
      <c r="G30" s="44">
        <f>AVERAGE(G11:G21)</f>
        <v>3.089684999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2021-05-04T20:46:49Z</dcterms:created>
  <dc:creator>renu mula</dc:creator>
</cp:coreProperties>
</file>