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The Valuation School Projects\To post\WACC - DMart\"/>
    </mc:Choice>
  </mc:AlternateContent>
  <xr:revisionPtr revIDLastSave="0" documentId="13_ncr:1_{EB4A1460-4001-4069-969C-DD5A202FA84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CF&gt;" sheetId="2" r:id="rId1"/>
    <sheet name="WACC" sheetId="1" r:id="rId2"/>
    <sheet name="Data&gt;" sheetId="3" r:id="rId3"/>
    <sheet name="Beta - Regression" sheetId="4" r:id="rId4"/>
    <sheet name="Beta Comps" sheetId="5" r:id="rId5"/>
    <sheet name="RM" sheetId="6" r:id="rId6"/>
  </sheets>
  <definedNames>
    <definedName name="_xlnm._FilterDatabase" localSheetId="3" hidden="1">'Beta - Regression'!$B$7:$D$113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J13" i="4"/>
  <c r="E27" i="1" l="1"/>
  <c r="G17" i="4"/>
  <c r="G16" i="4"/>
  <c r="G15" i="4"/>
  <c r="G17" i="1"/>
  <c r="G16" i="1"/>
  <c r="G15" i="1"/>
  <c r="G14" i="4"/>
  <c r="G14" i="1"/>
  <c r="D47" i="4"/>
  <c r="G47" i="4"/>
  <c r="D48" i="4"/>
  <c r="G48" i="4"/>
  <c r="D49" i="4"/>
  <c r="G49" i="4"/>
  <c r="D50" i="4"/>
  <c r="G50" i="4"/>
  <c r="D51" i="4"/>
  <c r="G51" i="4"/>
  <c r="D52" i="4"/>
  <c r="G52" i="4"/>
  <c r="D53" i="4"/>
  <c r="G53" i="4"/>
  <c r="D54" i="4"/>
  <c r="G54" i="4"/>
  <c r="D55" i="4"/>
  <c r="G55" i="4"/>
  <c r="D56" i="4"/>
  <c r="G56" i="4"/>
  <c r="D57" i="4"/>
  <c r="G57" i="4"/>
  <c r="D58" i="4"/>
  <c r="G58" i="4"/>
  <c r="D59" i="4"/>
  <c r="G59" i="4"/>
  <c r="D60" i="4"/>
  <c r="G60" i="4"/>
  <c r="D61" i="4"/>
  <c r="G61" i="4"/>
  <c r="D62" i="4"/>
  <c r="G62" i="4"/>
  <c r="D63" i="4"/>
  <c r="G63" i="4"/>
  <c r="D64" i="4"/>
  <c r="G64" i="4"/>
  <c r="D65" i="4"/>
  <c r="G65" i="4"/>
  <c r="D66" i="4"/>
  <c r="G66" i="4"/>
  <c r="D67" i="4"/>
  <c r="G67" i="4"/>
  <c r="D68" i="4"/>
  <c r="G68" i="4"/>
  <c r="D69" i="4"/>
  <c r="G69" i="4"/>
  <c r="D70" i="4"/>
  <c r="G70" i="4"/>
  <c r="D71" i="4"/>
  <c r="G71" i="4"/>
  <c r="D72" i="4"/>
  <c r="G72" i="4"/>
  <c r="D73" i="4"/>
  <c r="G73" i="4"/>
  <c r="D74" i="4"/>
  <c r="G74" i="4"/>
  <c r="D75" i="4"/>
  <c r="G75" i="4"/>
  <c r="D76" i="4"/>
  <c r="G76" i="4"/>
  <c r="D77" i="4"/>
  <c r="G77" i="4"/>
  <c r="D78" i="4"/>
  <c r="G78" i="4"/>
  <c r="D79" i="4"/>
  <c r="G79" i="4"/>
  <c r="D80" i="4"/>
  <c r="G80" i="4"/>
  <c r="D81" i="4"/>
  <c r="G81" i="4"/>
  <c r="D82" i="4"/>
  <c r="G82" i="4"/>
  <c r="D83" i="4"/>
  <c r="G83" i="4"/>
  <c r="D84" i="4"/>
  <c r="G84" i="4"/>
  <c r="D85" i="4"/>
  <c r="G85" i="4"/>
  <c r="D86" i="4"/>
  <c r="G86" i="4"/>
  <c r="D87" i="4"/>
  <c r="G87" i="4"/>
  <c r="D88" i="4"/>
  <c r="G88" i="4"/>
  <c r="D89" i="4"/>
  <c r="G89" i="4"/>
  <c r="D90" i="4"/>
  <c r="G90" i="4"/>
  <c r="D91" i="4"/>
  <c r="G91" i="4"/>
  <c r="D92" i="4"/>
  <c r="G92" i="4"/>
  <c r="K26" i="1"/>
  <c r="G7" i="6"/>
  <c r="G5" i="6"/>
  <c r="C35" i="1"/>
  <c r="J13" i="1"/>
  <c r="F14" i="1"/>
  <c r="F15" i="1"/>
  <c r="F16" i="1"/>
  <c r="F17" i="1"/>
  <c r="E14" i="1"/>
  <c r="E15" i="1"/>
  <c r="E16" i="1"/>
  <c r="E17" i="1"/>
  <c r="E13" i="1"/>
  <c r="H13" i="1" s="1"/>
  <c r="J7" i="4"/>
  <c r="M5" i="4"/>
  <c r="K13" i="1" l="1"/>
  <c r="C34" i="1"/>
  <c r="I13" i="1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3" i="4"/>
  <c r="G12" i="4"/>
  <c r="G11" i="4"/>
  <c r="G10" i="4"/>
  <c r="G9" i="4"/>
  <c r="D11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0" i="4"/>
  <c r="D9" i="4"/>
  <c r="J19" i="1"/>
  <c r="H14" i="1"/>
  <c r="K14" i="1" s="1"/>
  <c r="H16" i="1"/>
  <c r="K16" i="1" s="1"/>
  <c r="J20" i="1"/>
  <c r="C36" i="1"/>
  <c r="D36" i="1" s="1"/>
  <c r="E36" i="1" s="1"/>
  <c r="G20" i="1"/>
  <c r="E26" i="1" s="1"/>
  <c r="K35" i="1" s="1"/>
  <c r="G19" i="1"/>
  <c r="I17" i="1"/>
  <c r="I16" i="1"/>
  <c r="I15" i="1"/>
  <c r="I14" i="1"/>
  <c r="H17" i="1"/>
  <c r="K17" i="1" s="1"/>
  <c r="H15" i="1"/>
  <c r="K15" i="1" s="1"/>
  <c r="K43" i="1" l="1"/>
  <c r="K19" i="1"/>
  <c r="K20" i="1"/>
  <c r="D34" i="1"/>
  <c r="D35" i="1"/>
  <c r="H19" i="1"/>
  <c r="I19" i="1"/>
  <c r="I20" i="1"/>
  <c r="E34" i="1" s="1"/>
  <c r="K44" i="1" s="1"/>
  <c r="H20" i="1"/>
  <c r="E35" i="1" l="1"/>
  <c r="K41" i="1" s="1"/>
  <c r="D38" i="1"/>
  <c r="K33" i="1"/>
  <c r="E38" i="1" l="1"/>
  <c r="K34" i="1" s="1"/>
  <c r="K36" i="1" s="1"/>
  <c r="K27" i="1" s="1"/>
  <c r="K28" i="1" s="1"/>
  <c r="K40" i="1" s="1"/>
  <c r="K46" i="1" s="1"/>
</calcChain>
</file>

<file path=xl/sharedStrings.xml><?xml version="1.0" encoding="utf-8"?>
<sst xmlns="http://schemas.openxmlformats.org/spreadsheetml/2006/main" count="118" uniqueCount="99">
  <si>
    <t>Weighted Average Cost of Capital</t>
  </si>
  <si>
    <t>All figures are in INR unless stated otherwise</t>
  </si>
  <si>
    <t>Peer Comps</t>
  </si>
  <si>
    <t>Name of the Comp</t>
  </si>
  <si>
    <t>Country</t>
  </si>
  <si>
    <t>Total Debt</t>
  </si>
  <si>
    <t>Total Equity</t>
  </si>
  <si>
    <t>Tax Rate</t>
  </si>
  <si>
    <r>
      <t xml:space="preserve">Tax Rate </t>
    </r>
    <r>
      <rPr>
        <vertAlign val="superscript"/>
        <sz val="11"/>
        <color theme="1"/>
        <rFont val="Calibri"/>
        <family val="2"/>
        <scheme val="minor"/>
      </rPr>
      <t>1</t>
    </r>
  </si>
  <si>
    <t>Debt/</t>
  </si>
  <si>
    <t>Equity</t>
  </si>
  <si>
    <t>Capital</t>
  </si>
  <si>
    <t>Levered</t>
  </si>
  <si>
    <t>Unlevered</t>
  </si>
  <si>
    <r>
      <t xml:space="preserve">Beta </t>
    </r>
    <r>
      <rPr>
        <vertAlign val="superscript"/>
        <sz val="11"/>
        <color theme="1"/>
        <rFont val="Calibri"/>
        <family val="2"/>
        <scheme val="minor"/>
      </rPr>
      <t>2</t>
    </r>
  </si>
  <si>
    <r>
      <t xml:space="preserve">Beta </t>
    </r>
    <r>
      <rPr>
        <vertAlign val="superscript"/>
        <sz val="11"/>
        <color theme="1"/>
        <rFont val="Calibri"/>
        <family val="2"/>
        <scheme val="minor"/>
      </rPr>
      <t>3</t>
    </r>
  </si>
  <si>
    <t>India</t>
  </si>
  <si>
    <t>Average</t>
  </si>
  <si>
    <t>Median</t>
  </si>
  <si>
    <t>Cost of Debt</t>
  </si>
  <si>
    <t>Pre Tax Cost of Debt</t>
  </si>
  <si>
    <t>Post Tax Cost of Debt</t>
  </si>
  <si>
    <t>Cost of Equity</t>
  </si>
  <si>
    <t>Risk Free Rate</t>
  </si>
  <si>
    <t>Equity Risk Premium</t>
  </si>
  <si>
    <r>
      <t xml:space="preserve">Levered Beta </t>
    </r>
    <r>
      <rPr>
        <vertAlign val="superscript"/>
        <sz val="11"/>
        <color theme="1"/>
        <rFont val="Calibri"/>
        <family val="2"/>
        <scheme val="minor"/>
      </rPr>
      <t>4</t>
    </r>
  </si>
  <si>
    <t>Capital Structure</t>
  </si>
  <si>
    <t>Current</t>
  </si>
  <si>
    <t>Target</t>
  </si>
  <si>
    <t>Total Capital</t>
  </si>
  <si>
    <t>Levered Beta</t>
  </si>
  <si>
    <t>Comps Median Unlevered Beta</t>
  </si>
  <si>
    <t>Debt/Equity</t>
  </si>
  <si>
    <t>Weighted Average Cost of Cpaital</t>
  </si>
  <si>
    <t>Target Debt/Equity</t>
  </si>
  <si>
    <t>Notes:</t>
  </si>
  <si>
    <t>1. Tax Rate considered as Marginal Tax Rate for the country</t>
  </si>
  <si>
    <t>2. Levered Beta is based on 5 Yeay Monthly Data</t>
  </si>
  <si>
    <t>3. Unlevered Beta = Levered Beta/(1+(1-Tax Rate)*Debt/Equity)</t>
  </si>
  <si>
    <t>4. Levered Beta = Unlevered Beta*(1+(1-Tax Rate)*Debt/Equity)</t>
  </si>
  <si>
    <t>Date</t>
  </si>
  <si>
    <t>Closing Price</t>
  </si>
  <si>
    <t>Avenue Supermarts Weekly Return</t>
  </si>
  <si>
    <t>Return</t>
  </si>
  <si>
    <t>NIFTY Returns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</si>
  <si>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</si>
  <si>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</si>
  <si>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</si>
  <si>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</si>
  <si>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</si>
  <si>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</si>
  <si>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</si>
  <si>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</si>
  <si>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</si>
  <si>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</si>
  <si>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</si>
  <si>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</si>
  <si>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</si>
  <si>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</si>
  <si>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</si>
  <si>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</si>
  <si>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</si>
  <si>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</si>
  <si>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</si>
  <si>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</si>
  <si>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</si>
  <si>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</si>
  <si>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</si>
  <si>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</si>
  <si>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</si>
  <si>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 xml:space="preserve">Beta Drifting </t>
  </si>
  <si>
    <t>Levered Raw Beta</t>
  </si>
  <si>
    <t>Raw Beta Weight</t>
  </si>
  <si>
    <t>Market Beta Weight</t>
  </si>
  <si>
    <t xml:space="preserve">Market Beta </t>
  </si>
  <si>
    <t>Adjusted Beta</t>
  </si>
  <si>
    <t>Regression Beta - 2 Years Weekly</t>
  </si>
  <si>
    <t xml:space="preserve">Beta </t>
  </si>
  <si>
    <t>S.No.</t>
  </si>
  <si>
    <t>Name</t>
  </si>
  <si>
    <t>CMP Rs.</t>
  </si>
  <si>
    <t xml:space="preserve">Mar Cap Rs.Cr. </t>
  </si>
  <si>
    <t>Debt Rs.Cr.</t>
  </si>
  <si>
    <t>Debt / Eq</t>
  </si>
  <si>
    <t>Trent</t>
  </si>
  <si>
    <t>Redtape</t>
  </si>
  <si>
    <t>Avenue Supermart</t>
  </si>
  <si>
    <t>Aditya Birla Fashion</t>
  </si>
  <si>
    <t>Brainbees Solution</t>
  </si>
  <si>
    <t>Year</t>
  </si>
  <si>
    <t>Annual</t>
  </si>
  <si>
    <t>Return on Markets</t>
  </si>
  <si>
    <t>Average Return</t>
  </si>
  <si>
    <t>Dividend Yield</t>
  </si>
  <si>
    <t>Total Market Return</t>
  </si>
  <si>
    <t>Equity Weight</t>
  </si>
  <si>
    <t>Debt Weight</t>
  </si>
  <si>
    <t>WACC</t>
  </si>
  <si>
    <t>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</si>
</sst>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3333FF"/>
      <name val="calibri"/>
      <family val="2"/>
    </font>
    <font>
      <sz val="11"/>
      <color rgb="FF3333FF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7" fillId="0" borderId="0" xfId="0" applyFont="1"/>
    <xf numFmtId="10" fontId="7" fillId="0" borderId="0" xfId="0" applyNumberFormat="1" applyFont="1" applyAlignment="1">
      <alignment vertical="top"/>
    </xf>
    <xf numFmtId="10" fontId="0" fillId="0" borderId="0" xfId="1" applyNumberFormat="1" applyFont="1"/>
    <xf numFmtId="10" fontId="0" fillId="0" borderId="0" xfId="1" applyNumberFormat="1" applyFont="1" applyBorder="1"/>
    <xf numFmtId="10" fontId="0" fillId="3" borderId="0" xfId="1" applyNumberFormat="1" applyFont="1" applyFill="1"/>
    <xf numFmtId="2" fontId="7" fillId="0" borderId="0" xfId="0" applyNumberFormat="1" applyFont="1"/>
    <xf numFmtId="2" fontId="0" fillId="0" borderId="0" xfId="0" applyNumberFormat="1"/>
    <xf numFmtId="2" fontId="0" fillId="3" borderId="0" xfId="0" applyNumberFormat="1" applyFill="1"/>
    <xf numFmtId="0" fontId="3" fillId="0" borderId="1" xfId="0" applyFont="1" applyBorder="1"/>
    <xf numFmtId="0" fontId="3" fillId="0" borderId="2" xfId="0" applyFont="1" applyBorder="1"/>
    <xf numFmtId="10" fontId="0" fillId="0" borderId="1" xfId="0" applyNumberFormat="1" applyBorder="1"/>
    <xf numFmtId="10" fontId="0" fillId="0" borderId="2" xfId="0" applyNumberFormat="1" applyBorder="1"/>
    <xf numFmtId="2" fontId="0" fillId="0" borderId="1" xfId="0" applyNumberFormat="1" applyBorder="1"/>
    <xf numFmtId="2" fontId="0" fillId="0" borderId="2" xfId="0" applyNumberFormat="1" applyBorder="1"/>
    <xf numFmtId="10" fontId="0" fillId="0" borderId="0" xfId="0" applyNumberFormat="1"/>
    <xf numFmtId="9" fontId="0" fillId="0" borderId="0" xfId="0" applyNumberFormat="1"/>
    <xf numFmtId="0" fontId="0" fillId="0" borderId="3" xfId="0" applyBorder="1"/>
    <xf numFmtId="10" fontId="0" fillId="0" borderId="3" xfId="0" applyNumberFormat="1" applyBorder="1"/>
    <xf numFmtId="10" fontId="0" fillId="3" borderId="3" xfId="0" applyNumberFormat="1" applyFill="1" applyBorder="1"/>
    <xf numFmtId="0" fontId="3" fillId="0" borderId="2" xfId="0" applyFont="1" applyBorder="1" applyAlignment="1">
      <alignment horizontal="right"/>
    </xf>
    <xf numFmtId="10" fontId="8" fillId="0" borderId="0" xfId="0" applyNumberFormat="1" applyFont="1"/>
    <xf numFmtId="10" fontId="0" fillId="0" borderId="3" xfId="1" applyNumberFormat="1" applyFont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0" fontId="0" fillId="0" borderId="2" xfId="1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2" fontId="0" fillId="3" borderId="3" xfId="0" applyNumberFormat="1" applyFill="1" applyBorder="1"/>
    <xf numFmtId="164" fontId="0" fillId="0" borderId="3" xfId="0" applyNumberFormat="1" applyBorder="1"/>
    <xf numFmtId="0" fontId="9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0" fillId="5" borderId="0" xfId="0" applyFill="1"/>
    <xf numFmtId="0" fontId="10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0" fontId="0" fillId="0" borderId="0" xfId="1" applyNumberFormat="1" applyFont="1" applyAlignment="1"/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3" fillId="0" borderId="4" xfId="0" applyFont="1" applyBorder="1"/>
    <xf numFmtId="4" fontId="11" fillId="0" borderId="0" xfId="0" applyNumberFormat="1" applyFont="1" applyAlignment="1">
      <alignment horizontal="right"/>
    </xf>
    <xf numFmtId="0" fontId="3" fillId="5" borderId="0" xfId="0" applyFont="1" applyFill="1"/>
    <xf numFmtId="0" fontId="0" fillId="0" borderId="5" xfId="0" applyBorder="1"/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Continuous"/>
    </xf>
    <xf numFmtId="10" fontId="0" fillId="0" borderId="0" xfId="1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6" borderId="0" xfId="0" applyFont="1" applyFill="1"/>
    <xf numFmtId="10" fontId="3" fillId="6" borderId="0" xfId="0" applyNumberFormat="1" applyFont="1" applyFill="1"/>
    <xf numFmtId="10" fontId="0" fillId="5" borderId="0" xfId="0" applyNumberFormat="1" applyFill="1"/>
    <xf numFmtId="10" fontId="0" fillId="5" borderId="0" xfId="1" applyNumberFormat="1" applyFont="1" applyFill="1" applyBorder="1"/>
    <xf numFmtId="10" fontId="0" fillId="5" borderId="0" xfId="0" applyNumberFormat="1" applyFill="1" applyAlignment="1">
      <alignment horizontal="right"/>
    </xf>
    <xf numFmtId="0" fontId="0" fillId="5" borderId="0" xfId="0" applyFill="1" applyAlignment="1">
      <alignment horizontal="right"/>
    </xf>
    <xf numFmtId="0" fontId="3" fillId="3" borderId="0" xfId="0" applyFont="1" applyFill="1"/>
    <xf numFmtId="10" fontId="3" fillId="3" borderId="0" xfId="0" applyNumberFormat="1" applyFont="1" applyFill="1"/>
    <xf numFmtId="2" fontId="3" fillId="6" borderId="0" xfId="0" applyNumberFormat="1" applyFont="1" applyFill="1"/>
    <xf numFmtId="164" fontId="1" fillId="0" borderId="0" xfId="0" applyNumberFormat="1" applyFont="1"/>
    <xf numFmtId="0" fontId="1" fillId="0" borderId="0" xfId="0" applyFont="1"/>
    <xf numFmtId="4" fontId="1" fillId="0" borderId="0" xfId="0" applyNumberFormat="1" applyFont="1" applyAlignment="1">
      <alignment horizontal="right"/>
    </xf>
    <xf numFmtId="10" fontId="1" fillId="0" borderId="0" xfId="0" applyNumberFormat="1" applyFont="1" applyAlignment="1">
      <alignment vertical="top"/>
    </xf>
    <xf numFmtId="10" fontId="1" fillId="0" borderId="0" xfId="1" applyNumberFormat="1" applyFont="1" applyAlignment="1"/>
    <xf numFmtId="164" fontId="0" fillId="0" borderId="0" xfId="0" applyNumberFormat="1"/>
    <xf numFmtId="0" fontId="10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2</xdr:col>
      <xdr:colOff>797399</xdr:colOff>
      <xdr:row>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E4AE36-DD03-DDF4-132E-9C2EC68E6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0"/>
          <a:ext cx="1651927" cy="52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119927</xdr:colOff>
      <xdr:row>1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A98EB2-E13E-AED1-3A45-34B74119C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85127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D94B-464E-4C1F-9CF7-0FDDB0AEF327}">
  <sheetPr codeName="Sheet1">
    <tabColor rgb="FF00206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4:K46"/>
  <sheetViews>
    <sheetView showGridLines="0" tabSelected="1" zoomScale="84" zoomScaleNormal="70" workbookViewId="0">
      <selection activeCell="F13" sqref="F13"/>
    </sheetView>
  </sheetViews>
  <sheetFormatPr defaultRowHeight="14.5" x14ac:dyDescent="0.35"/>
  <cols>
    <col min="1" max="1" width="1.81640625" customWidth="1"/>
    <col min="2" max="2" width="12" customWidth="1"/>
    <col min="3" max="3" width="12.81640625" customWidth="1"/>
    <col min="4" max="4" width="8.453125" bestFit="1" customWidth="1"/>
    <col min="5" max="6" width="10.6328125" bestFit="1" customWidth="1"/>
    <col min="7" max="7" width="10" customWidth="1"/>
    <col min="8" max="8" width="8.453125" customWidth="1"/>
    <col min="9" max="9" width="8.26953125" customWidth="1"/>
    <col min="10" max="10" width="7.36328125" bestFit="1" customWidth="1"/>
    <col min="11" max="11" width="9.36328125" bestFit="1" customWidth="1"/>
  </cols>
  <sheetData>
    <row r="4" spans="2:11" ht="18.5" x14ac:dyDescent="0.45">
      <c r="B4" s="2" t="s">
        <v>0</v>
      </c>
      <c r="C4" s="3"/>
      <c r="D4" s="3"/>
      <c r="E4" s="3"/>
      <c r="F4" s="3"/>
      <c r="G4" s="3"/>
      <c r="H4" s="3"/>
      <c r="I4" s="3"/>
      <c r="J4" s="3"/>
      <c r="K4" s="3"/>
    </row>
    <row r="6" spans="2:11" x14ac:dyDescent="0.35">
      <c r="B6" s="4" t="s">
        <v>1</v>
      </c>
    </row>
    <row r="8" spans="2:11" x14ac:dyDescent="0.35">
      <c r="B8" s="1" t="s">
        <v>2</v>
      </c>
    </row>
    <row r="10" spans="2:11" x14ac:dyDescent="0.35">
      <c r="B10" s="5"/>
      <c r="C10" s="5"/>
      <c r="D10" s="5"/>
      <c r="E10" s="5"/>
      <c r="F10" s="5"/>
      <c r="G10" s="29"/>
      <c r="H10" s="29" t="s">
        <v>9</v>
      </c>
      <c r="I10" s="29" t="s">
        <v>9</v>
      </c>
      <c r="J10" s="29" t="s">
        <v>12</v>
      </c>
      <c r="K10" s="29" t="s">
        <v>13</v>
      </c>
    </row>
    <row r="11" spans="2:11" ht="16.5" x14ac:dyDescent="0.35">
      <c r="B11" s="6" t="s">
        <v>3</v>
      </c>
      <c r="C11" s="6"/>
      <c r="D11" s="30" t="s">
        <v>4</v>
      </c>
      <c r="E11" s="30" t="s">
        <v>5</v>
      </c>
      <c r="F11" s="30" t="s">
        <v>6</v>
      </c>
      <c r="G11" s="30" t="s">
        <v>8</v>
      </c>
      <c r="H11" s="30" t="s">
        <v>10</v>
      </c>
      <c r="I11" s="31" t="s">
        <v>11</v>
      </c>
      <c r="J11" s="30" t="s">
        <v>14</v>
      </c>
      <c r="K11" s="30" t="s">
        <v>15</v>
      </c>
    </row>
    <row r="12" spans="2:11" x14ac:dyDescent="0.35">
      <c r="I12" s="10"/>
    </row>
    <row r="13" spans="2:11" x14ac:dyDescent="0.35">
      <c r="B13" s="7" t="s">
        <v>86</v>
      </c>
      <c r="C13" s="7"/>
      <c r="D13" s="32" t="s">
        <v>16</v>
      </c>
      <c r="E13" s="63">
        <f>'Beta Comps'!F3</f>
        <v>592.16</v>
      </c>
      <c r="F13" s="63">
        <f>'Beta Comps'!E3</f>
        <v>302291.53999999998</v>
      </c>
      <c r="G13" s="8">
        <v>0.3</v>
      </c>
      <c r="H13" s="11">
        <f>E13/F13</f>
        <v>1.9589036464599703E-3</v>
      </c>
      <c r="I13" s="11">
        <f>E13/(E13+F13)</f>
        <v>1.9550738451755579E-3</v>
      </c>
      <c r="J13" s="12">
        <f>'Beta - Regression'!M5</f>
        <v>0.71536925416863562</v>
      </c>
      <c r="K13" s="14">
        <f>J13/(1+(1-G13)*H13)</f>
        <v>0.71438965981191649</v>
      </c>
    </row>
    <row r="14" spans="2:11" x14ac:dyDescent="0.35">
      <c r="B14" s="7" t="s">
        <v>84</v>
      </c>
      <c r="C14" s="7"/>
      <c r="D14" s="32" t="s">
        <v>16</v>
      </c>
      <c r="E14" s="63">
        <f>'Beta Comps'!F4</f>
        <v>1752.99</v>
      </c>
      <c r="F14" s="63">
        <f>'Beta Comps'!E4</f>
        <v>292240.90999999997</v>
      </c>
      <c r="G14" s="66">
        <f>$G$13</f>
        <v>0.3</v>
      </c>
      <c r="H14" s="11">
        <f>E14/F14</f>
        <v>5.9984414913025015E-3</v>
      </c>
      <c r="I14" s="11">
        <f t="shared" ref="I14:I17" si="0">E14/(E14+F14)</f>
        <v>5.9626747357683276E-3</v>
      </c>
      <c r="J14" s="12">
        <v>0.72899999999999998</v>
      </c>
      <c r="K14" s="14">
        <f>J14/(1+(1-G14)*H14)</f>
        <v>0.72595179444486146</v>
      </c>
    </row>
    <row r="15" spans="2:11" x14ac:dyDescent="0.35">
      <c r="B15" s="7" t="s">
        <v>87</v>
      </c>
      <c r="C15" s="7"/>
      <c r="D15" s="32" t="s">
        <v>16</v>
      </c>
      <c r="E15" s="63">
        <f>'Beta Comps'!F5</f>
        <v>9451.4</v>
      </c>
      <c r="F15" s="63">
        <f>'Beta Comps'!E5</f>
        <v>36547.120000000003</v>
      </c>
      <c r="G15" s="66">
        <f t="shared" ref="G15:G17" si="1">$G$13</f>
        <v>0.3</v>
      </c>
      <c r="H15" s="11">
        <f t="shared" ref="H15:H17" si="2">E15/F15</f>
        <v>0.2586086126622289</v>
      </c>
      <c r="I15" s="11">
        <f t="shared" si="0"/>
        <v>0.20547182822403848</v>
      </c>
      <c r="J15" s="12">
        <v>1.33</v>
      </c>
      <c r="K15" s="14">
        <f>J15/(1+(1-G15)*H15)</f>
        <v>1.1261394478153794</v>
      </c>
    </row>
    <row r="16" spans="2:11" x14ac:dyDescent="0.35">
      <c r="B16" s="7" t="s">
        <v>88</v>
      </c>
      <c r="C16" s="7"/>
      <c r="D16" s="32" t="s">
        <v>16</v>
      </c>
      <c r="E16" s="63">
        <f>'Beta Comps'!F6</f>
        <v>1429.59</v>
      </c>
      <c r="F16" s="63">
        <f>'Beta Comps'!E6</f>
        <v>33297.879999999997</v>
      </c>
      <c r="G16" s="66">
        <f t="shared" si="1"/>
        <v>0.3</v>
      </c>
      <c r="H16" s="11">
        <f>E16/F16</f>
        <v>4.2933363925871555E-2</v>
      </c>
      <c r="I16" s="11">
        <f t="shared" si="0"/>
        <v>4.116597033990671E-2</v>
      </c>
      <c r="J16" s="12">
        <v>0.15</v>
      </c>
      <c r="K16" s="14">
        <f t="shared" ref="K16" si="3">J16/(1+(1-G16)*H16)</f>
        <v>0.14562352455682365</v>
      </c>
    </row>
    <row r="17" spans="2:11" x14ac:dyDescent="0.35">
      <c r="B17" s="7" t="s">
        <v>85</v>
      </c>
      <c r="C17" s="7"/>
      <c r="D17" s="32" t="s">
        <v>16</v>
      </c>
      <c r="E17" s="63">
        <f>'Beta Comps'!F7</f>
        <v>480.06</v>
      </c>
      <c r="F17" s="63">
        <f>'Beta Comps'!E7</f>
        <v>10957.34</v>
      </c>
      <c r="G17" s="66">
        <f t="shared" si="1"/>
        <v>0.3</v>
      </c>
      <c r="H17" s="11">
        <f t="shared" si="2"/>
        <v>4.3811728028882925E-2</v>
      </c>
      <c r="I17" s="11">
        <f t="shared" si="0"/>
        <v>4.1972825991921245E-2</v>
      </c>
      <c r="J17" s="12">
        <v>0.187</v>
      </c>
      <c r="K17" s="14">
        <f>J17/(1+(1-G17)*H17)</f>
        <v>0.18143569216024041</v>
      </c>
    </row>
    <row r="19" spans="2:11" x14ac:dyDescent="0.35">
      <c r="F19" s="15" t="s">
        <v>17</v>
      </c>
      <c r="G19" s="17">
        <f>AVERAGE(G13:G17)</f>
        <v>0.3</v>
      </c>
      <c r="H19" s="17">
        <f>AVERAGE(H13:H17)</f>
        <v>7.066220995094917E-2</v>
      </c>
      <c r="I19" s="17">
        <f>AVERAGE(I13:I17)</f>
        <v>5.9305674627362061E-2</v>
      </c>
      <c r="J19" s="19">
        <f>AVERAGE(J13:J17)</f>
        <v>0.6222738508337271</v>
      </c>
      <c r="K19" s="19">
        <f>AVERAGE(K13:K17)</f>
        <v>0.57870802375784436</v>
      </c>
    </row>
    <row r="20" spans="2:11" x14ac:dyDescent="0.35">
      <c r="F20" s="16" t="s">
        <v>18</v>
      </c>
      <c r="G20" s="18">
        <f>MEDIAN(G13:G17)</f>
        <v>0.3</v>
      </c>
      <c r="H20" s="18">
        <f>MEDIAN(H13:H17)</f>
        <v>4.2933363925871555E-2</v>
      </c>
      <c r="I20" s="18">
        <f>MEDIAN(I13:I17)</f>
        <v>4.116597033990671E-2</v>
      </c>
      <c r="J20" s="20">
        <f>MEDIAN(J13:J17)</f>
        <v>0.71536925416863562</v>
      </c>
      <c r="K20" s="20">
        <f>MEDIAN(K13:K17)</f>
        <v>0.71438965981191649</v>
      </c>
    </row>
    <row r="21" spans="2:11" x14ac:dyDescent="0.35">
      <c r="F21" s="1"/>
      <c r="G21" s="21"/>
      <c r="H21" s="21"/>
      <c r="I21" s="21"/>
      <c r="J21" s="13"/>
      <c r="K21" s="13"/>
    </row>
    <row r="23" spans="2:11" x14ac:dyDescent="0.35">
      <c r="B23" s="16" t="s">
        <v>19</v>
      </c>
      <c r="C23" s="16"/>
      <c r="D23" s="16"/>
      <c r="E23" s="16"/>
      <c r="G23" s="16" t="s">
        <v>22</v>
      </c>
      <c r="H23" s="16"/>
      <c r="I23" s="16"/>
      <c r="J23" s="16"/>
      <c r="K23" s="16"/>
    </row>
    <row r="25" spans="2:11" x14ac:dyDescent="0.35">
      <c r="B25" t="s">
        <v>20</v>
      </c>
      <c r="E25" s="27">
        <v>0.1013</v>
      </c>
      <c r="G25" t="s">
        <v>23</v>
      </c>
      <c r="I25" s="21"/>
      <c r="K25" s="27">
        <v>6.8809999999999996E-2</v>
      </c>
    </row>
    <row r="26" spans="2:11" x14ac:dyDescent="0.35">
      <c r="B26" t="s">
        <v>7</v>
      </c>
      <c r="E26" s="21">
        <f>G20</f>
        <v>0.3</v>
      </c>
      <c r="G26" t="s">
        <v>24</v>
      </c>
      <c r="I26" s="22"/>
      <c r="K26" s="21">
        <f>RM!G7-WACC!K25</f>
        <v>9.9781666666666671E-2</v>
      </c>
    </row>
    <row r="27" spans="2:11" ht="16.5" x14ac:dyDescent="0.35">
      <c r="B27" s="23" t="s">
        <v>21</v>
      </c>
      <c r="C27" s="23"/>
      <c r="D27" s="23"/>
      <c r="E27" s="25">
        <f>E25*(1-E26)</f>
        <v>7.0910000000000001E-2</v>
      </c>
      <c r="G27" t="s">
        <v>25</v>
      </c>
      <c r="I27" s="21"/>
      <c r="K27" s="13">
        <f>K36</f>
        <v>0.73585946568662575</v>
      </c>
    </row>
    <row r="28" spans="2:11" x14ac:dyDescent="0.35">
      <c r="G28" s="23" t="s">
        <v>22</v>
      </c>
      <c r="H28" s="23"/>
      <c r="I28" s="23"/>
      <c r="J28" s="23"/>
      <c r="K28" s="25">
        <f>K25+(K26*K27)</f>
        <v>0.14223528391865431</v>
      </c>
    </row>
    <row r="31" spans="2:11" x14ac:dyDescent="0.35">
      <c r="B31" s="16" t="s">
        <v>26</v>
      </c>
      <c r="C31" s="16"/>
      <c r="D31" s="16"/>
      <c r="E31" s="16"/>
      <c r="G31" s="16" t="s">
        <v>30</v>
      </c>
      <c r="H31" s="16"/>
      <c r="I31" s="16"/>
      <c r="J31" s="16"/>
      <c r="K31" s="6"/>
    </row>
    <row r="33" spans="2:11" x14ac:dyDescent="0.35">
      <c r="D33" s="26" t="s">
        <v>27</v>
      </c>
      <c r="E33" s="26" t="s">
        <v>28</v>
      </c>
      <c r="G33" t="s">
        <v>31</v>
      </c>
      <c r="K33" s="13">
        <f>K20</f>
        <v>0.71438965981191649</v>
      </c>
    </row>
    <row r="34" spans="2:11" x14ac:dyDescent="0.35">
      <c r="B34" t="s">
        <v>5</v>
      </c>
      <c r="C34" s="68">
        <f>E13</f>
        <v>592.16</v>
      </c>
      <c r="D34" s="9">
        <f>C34/$C$36</f>
        <v>1.9550738451755579E-3</v>
      </c>
      <c r="E34" s="21">
        <f>I20</f>
        <v>4.116597033990671E-2</v>
      </c>
      <c r="G34" t="s">
        <v>34</v>
      </c>
      <c r="K34" s="21">
        <f>E38</f>
        <v>4.2933363925871562E-2</v>
      </c>
    </row>
    <row r="35" spans="2:11" x14ac:dyDescent="0.35">
      <c r="B35" t="s">
        <v>98</v>
      </c>
      <c r="C35" s="68">
        <f>F13</f>
        <v>302291.53999999998</v>
      </c>
      <c r="D35" s="9">
        <f>C35/$C$36</f>
        <v>0.99804492615482454</v>
      </c>
      <c r="E35" s="21">
        <f>E36-E34</f>
        <v>0.95883402966009323</v>
      </c>
      <c r="G35" t="s">
        <v>7</v>
      </c>
      <c r="K35" s="22">
        <f>E26</f>
        <v>0.3</v>
      </c>
    </row>
    <row r="36" spans="2:11" x14ac:dyDescent="0.35">
      <c r="B36" s="23" t="s">
        <v>29</v>
      </c>
      <c r="C36" s="34">
        <f>SUM(C34:C35)</f>
        <v>302883.69999999995</v>
      </c>
      <c r="D36" s="28">
        <f>C36/$C$36</f>
        <v>1</v>
      </c>
      <c r="E36" s="24">
        <f>D36</f>
        <v>1</v>
      </c>
      <c r="G36" s="23" t="s">
        <v>30</v>
      </c>
      <c r="H36" s="23"/>
      <c r="I36" s="23"/>
      <c r="J36" s="23"/>
      <c r="K36" s="33">
        <f>K33*(1+(1-K35)*K34)</f>
        <v>0.73585946568662575</v>
      </c>
    </row>
    <row r="38" spans="2:11" x14ac:dyDescent="0.35">
      <c r="B38" t="s">
        <v>32</v>
      </c>
      <c r="D38" s="11">
        <f>D34/D35</f>
        <v>1.9589036464599707E-3</v>
      </c>
      <c r="E38" s="11">
        <f>E34/E35</f>
        <v>4.2933363925871562E-2</v>
      </c>
      <c r="G38" s="16" t="s">
        <v>33</v>
      </c>
      <c r="H38" s="16"/>
      <c r="I38" s="16"/>
      <c r="J38" s="16"/>
      <c r="K38" s="6"/>
    </row>
    <row r="40" spans="2:11" x14ac:dyDescent="0.35">
      <c r="G40" s="40" t="s">
        <v>22</v>
      </c>
      <c r="H40" s="40"/>
      <c r="I40" s="40"/>
      <c r="J40" s="59"/>
      <c r="K40" s="58">
        <f>K28</f>
        <v>0.14223528391865431</v>
      </c>
    </row>
    <row r="41" spans="2:11" x14ac:dyDescent="0.35">
      <c r="G41" s="40" t="s">
        <v>95</v>
      </c>
      <c r="H41" s="40"/>
      <c r="I41" s="40"/>
      <c r="J41" s="56"/>
      <c r="K41" s="56">
        <f>E35</f>
        <v>0.95883402966009323</v>
      </c>
    </row>
    <row r="42" spans="2:11" x14ac:dyDescent="0.35">
      <c r="B42" s="35" t="s">
        <v>35</v>
      </c>
      <c r="G42" s="40"/>
      <c r="H42" s="40"/>
      <c r="I42" s="40"/>
      <c r="J42" s="56"/>
      <c r="K42" s="56"/>
    </row>
    <row r="43" spans="2:11" x14ac:dyDescent="0.35">
      <c r="B43" s="36" t="s">
        <v>36</v>
      </c>
      <c r="C43" s="36"/>
      <c r="D43" s="36"/>
      <c r="E43" s="35"/>
      <c r="G43" s="40" t="s">
        <v>19</v>
      </c>
      <c r="H43" s="40"/>
      <c r="I43" s="40"/>
      <c r="J43" s="40"/>
      <c r="K43" s="57">
        <f>E27</f>
        <v>7.0910000000000001E-2</v>
      </c>
    </row>
    <row r="44" spans="2:11" x14ac:dyDescent="0.35">
      <c r="B44" s="36" t="s">
        <v>37</v>
      </c>
      <c r="C44" s="36"/>
      <c r="D44" s="36"/>
      <c r="E44" s="35"/>
      <c r="G44" s="40" t="s">
        <v>96</v>
      </c>
      <c r="H44" s="40"/>
      <c r="I44" s="40"/>
      <c r="J44" s="40"/>
      <c r="K44" s="56">
        <f>E34</f>
        <v>4.116597033990671E-2</v>
      </c>
    </row>
    <row r="45" spans="2:11" x14ac:dyDescent="0.35">
      <c r="B45" s="36" t="s">
        <v>38</v>
      </c>
      <c r="C45" s="36"/>
      <c r="D45" s="36"/>
      <c r="E45" s="35"/>
    </row>
    <row r="46" spans="2:11" x14ac:dyDescent="0.35">
      <c r="B46" s="36" t="s">
        <v>39</v>
      </c>
      <c r="C46" s="36"/>
      <c r="D46" s="36"/>
      <c r="E46" s="35"/>
      <c r="G46" s="60" t="s">
        <v>97</v>
      </c>
      <c r="H46" s="60"/>
      <c r="I46" s="60"/>
      <c r="J46" s="60"/>
      <c r="K46" s="61">
        <f>(K40*K41)+(K43*K44)</f>
        <v>0.13929910939637358</v>
      </c>
    </row>
  </sheetData>
  <phoneticPr fontId="13" type="noConversion"/>
  <pageMargins left="0.7" right="0.7" top="0.75" bottom="0.75" header="0.3" footer="0.3"/>
  <pageSetup paperSize="9" scale="88" fitToHeight="0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EFF03-1F37-4B3A-ADC4-6D5021D11C53}">
  <sheetPr codeName="Sheet3">
    <tabColor rgb="FF00206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F8AD8-48E6-44EF-A49B-623EA5F31173}">
  <sheetPr codeName="Sheet4">
    <pageSetUpPr fitToPage="1"/>
  </sheetPr>
  <dimension ref="A3:T113"/>
  <sheetViews>
    <sheetView showGridLines="0" topLeftCell="A4" zoomScale="84" zoomScaleNormal="84" workbookViewId="0">
      <selection activeCell="J14" sqref="J14"/>
    </sheetView>
  </sheetViews>
  <sheetFormatPr defaultRowHeight="14.5" x14ac:dyDescent="0.35"/>
  <cols>
    <col min="1" max="1" width="1.81640625" customWidth="1"/>
    <col min="2" max="2" width="12" customWidth="1"/>
    <col min="3" max="3" width="11.7265625" bestFit="1" customWidth="1"/>
    <col min="4" max="4" width="8" bestFit="1" customWidth="1"/>
    <col min="6" max="6" width="11.453125" bestFit="1" customWidth="1"/>
    <col min="9" max="9" width="17.54296875" bestFit="1" customWidth="1"/>
    <col min="12" max="12" width="17.54296875" bestFit="1" customWidth="1"/>
    <col min="13" max="13" width="12.6328125" bestFit="1" customWidth="1"/>
    <col min="14" max="14" width="13.6328125" bestFit="1" customWidth="1"/>
    <col min="15" max="15" width="12.6328125" bestFit="1" customWidth="1"/>
    <col min="16" max="16" width="12" bestFit="1" customWidth="1"/>
    <col min="17" max="17" width="12.6328125" bestFit="1" customWidth="1"/>
    <col min="18" max="18" width="12" bestFit="1" customWidth="1"/>
    <col min="19" max="19" width="12.6328125" bestFit="1" customWidth="1"/>
    <col min="20" max="20" width="12" bestFit="1" customWidth="1"/>
  </cols>
  <sheetData>
    <row r="3" spans="1:17" x14ac:dyDescent="0.35">
      <c r="B3" s="71" t="s">
        <v>76</v>
      </c>
      <c r="C3" s="71"/>
      <c r="D3" s="71"/>
    </row>
    <row r="4" spans="1:17" x14ac:dyDescent="0.35">
      <c r="B4" s="1"/>
    </row>
    <row r="5" spans="1:17" x14ac:dyDescent="0.35">
      <c r="B5" s="69" t="s">
        <v>42</v>
      </c>
      <c r="C5" s="70"/>
      <c r="D5" s="70"/>
      <c r="F5" s="69" t="s">
        <v>44</v>
      </c>
      <c r="G5" s="69"/>
      <c r="H5" s="48"/>
      <c r="I5" s="69" t="s">
        <v>70</v>
      </c>
      <c r="J5" s="69"/>
      <c r="L5" t="s">
        <v>77</v>
      </c>
      <c r="M5">
        <f>M23</f>
        <v>0.71536925416863562</v>
      </c>
    </row>
    <row r="6" spans="1:17" x14ac:dyDescent="0.35">
      <c r="A6" s="40"/>
      <c r="B6" s="41"/>
      <c r="C6" s="42"/>
      <c r="D6" s="42"/>
    </row>
    <row r="7" spans="1:17" ht="15" thickBot="1" x14ac:dyDescent="0.4">
      <c r="B7" s="44" t="s">
        <v>40</v>
      </c>
      <c r="C7" s="45" t="s">
        <v>41</v>
      </c>
      <c r="D7" s="45" t="s">
        <v>43</v>
      </c>
      <c r="F7" s="45" t="s">
        <v>41</v>
      </c>
      <c r="G7" s="46" t="s">
        <v>43</v>
      </c>
      <c r="I7" t="s">
        <v>71</v>
      </c>
      <c r="J7" s="13">
        <f>M5</f>
        <v>0.71536925416863562</v>
      </c>
      <c r="L7" t="s">
        <v>45</v>
      </c>
    </row>
    <row r="8" spans="1:17" x14ac:dyDescent="0.35">
      <c r="B8" s="38">
        <v>44844</v>
      </c>
      <c r="C8" s="39">
        <v>4306.1499999999996</v>
      </c>
      <c r="F8" s="47">
        <v>17185.7</v>
      </c>
      <c r="I8" t="s">
        <v>72</v>
      </c>
      <c r="J8" s="43">
        <v>0.75</v>
      </c>
      <c r="L8" s="51" t="s">
        <v>46</v>
      </c>
      <c r="M8" s="51"/>
    </row>
    <row r="9" spans="1:17" x14ac:dyDescent="0.35">
      <c r="B9" s="38">
        <v>44851</v>
      </c>
      <c r="C9" s="39">
        <v>4215.55</v>
      </c>
      <c r="D9" s="43">
        <f t="shared" ref="D9:D40" si="0">C9/C8-1</f>
        <v>-2.1039675812500547E-2</v>
      </c>
      <c r="F9" s="47">
        <v>17576.3</v>
      </c>
      <c r="G9" s="43">
        <f>F9/F8-1</f>
        <v>2.2728198444055048E-2</v>
      </c>
      <c r="J9" s="13"/>
      <c r="L9" t="s">
        <v>47</v>
      </c>
      <c r="M9">
        <v>0.23950245110575255</v>
      </c>
    </row>
    <row r="10" spans="1:17" x14ac:dyDescent="0.35">
      <c r="B10" s="38">
        <v>44857</v>
      </c>
      <c r="C10" s="39">
        <v>3665.45</v>
      </c>
      <c r="D10" s="43">
        <f t="shared" si="0"/>
        <v>-0.13049305547318868</v>
      </c>
      <c r="F10" s="47">
        <v>17786.8</v>
      </c>
      <c r="G10" s="43">
        <f t="shared" ref="G10:G73" si="1">F10/F9-1</f>
        <v>1.1976354522851729E-2</v>
      </c>
      <c r="I10" t="s">
        <v>74</v>
      </c>
      <c r="J10" s="13">
        <v>1</v>
      </c>
      <c r="L10" t="s">
        <v>48</v>
      </c>
      <c r="M10">
        <v>5.7361424085663394E-2</v>
      </c>
    </row>
    <row r="11" spans="1:17" x14ac:dyDescent="0.35">
      <c r="B11" s="38">
        <v>44858</v>
      </c>
      <c r="C11" s="39">
        <v>4307.3500000000004</v>
      </c>
      <c r="D11" s="43">
        <f t="shared" si="0"/>
        <v>0.17512174494264032</v>
      </c>
      <c r="F11" s="47">
        <v>18117.150000000001</v>
      </c>
      <c r="G11" s="43">
        <f t="shared" si="1"/>
        <v>1.8572761823374861E-2</v>
      </c>
      <c r="I11" t="s">
        <v>73</v>
      </c>
      <c r="J11" s="43">
        <v>0.25</v>
      </c>
      <c r="L11" t="s">
        <v>49</v>
      </c>
      <c r="M11">
        <v>4.8209593251543621E-2</v>
      </c>
    </row>
    <row r="12" spans="1:17" x14ac:dyDescent="0.35">
      <c r="B12" s="38">
        <v>44865</v>
      </c>
      <c r="C12" s="39">
        <v>4167.3500000000004</v>
      </c>
      <c r="D12" s="43">
        <f t="shared" si="0"/>
        <v>-3.250258279452567E-2</v>
      </c>
      <c r="F12" s="47">
        <v>18349.7</v>
      </c>
      <c r="G12" s="43">
        <f t="shared" si="1"/>
        <v>1.2835904101914375E-2</v>
      </c>
      <c r="L12" t="s">
        <v>50</v>
      </c>
      <c r="M12">
        <v>4.2680152844273171E-2</v>
      </c>
    </row>
    <row r="13" spans="1:17" ht="15" thickBot="1" x14ac:dyDescent="0.4">
      <c r="B13" s="38">
        <v>44872</v>
      </c>
      <c r="C13" s="39">
        <v>4128.3500000000004</v>
      </c>
      <c r="D13" s="43">
        <f t="shared" si="0"/>
        <v>-9.3584652117052469E-3</v>
      </c>
      <c r="E13" s="64"/>
      <c r="F13" s="65">
        <v>18307.650000000001</v>
      </c>
      <c r="G13" s="43">
        <f t="shared" si="1"/>
        <v>-2.2915905982113793E-3</v>
      </c>
      <c r="I13" s="54" t="s">
        <v>75</v>
      </c>
      <c r="J13" s="62">
        <f>(J7*J8)+(J10*J11)</f>
        <v>0.78652694062647677</v>
      </c>
      <c r="L13" s="49" t="s">
        <v>51</v>
      </c>
      <c r="M13" s="49">
        <v>105</v>
      </c>
    </row>
    <row r="14" spans="1:17" x14ac:dyDescent="0.35">
      <c r="B14" s="38">
        <v>44879</v>
      </c>
      <c r="C14" s="39">
        <v>3910.6</v>
      </c>
      <c r="D14" s="43">
        <f t="shared" si="0"/>
        <v>-5.2745043419283877E-2</v>
      </c>
      <c r="E14" s="64"/>
      <c r="F14" s="65">
        <v>18512.75</v>
      </c>
      <c r="G14" s="67">
        <f>$G$13</f>
        <v>-2.2915905982113793E-3</v>
      </c>
    </row>
    <row r="15" spans="1:17" ht="15" thickBot="1" x14ac:dyDescent="0.4">
      <c r="B15" s="38">
        <v>44886</v>
      </c>
      <c r="C15" s="39">
        <v>3904.45</v>
      </c>
      <c r="D15" s="43">
        <f t="shared" si="0"/>
        <v>-1.5726486984094512E-3</v>
      </c>
      <c r="E15" s="64"/>
      <c r="F15" s="65">
        <v>18696.099999999999</v>
      </c>
      <c r="G15" s="67">
        <f t="shared" ref="G15:G17" si="2">$G$13</f>
        <v>-2.2915905982113793E-3</v>
      </c>
      <c r="L15" t="s">
        <v>52</v>
      </c>
    </row>
    <row r="16" spans="1:17" x14ac:dyDescent="0.35">
      <c r="B16" s="38">
        <v>44893</v>
      </c>
      <c r="C16" s="39">
        <v>4005.75</v>
      </c>
      <c r="D16" s="43">
        <f t="shared" si="0"/>
        <v>2.5944755343262127E-2</v>
      </c>
      <c r="E16" s="64"/>
      <c r="F16" s="65">
        <v>18496.599999999999</v>
      </c>
      <c r="G16" s="67">
        <f t="shared" si="2"/>
        <v>-2.2915905982113793E-3</v>
      </c>
      <c r="L16" s="50"/>
      <c r="M16" s="50" t="s">
        <v>57</v>
      </c>
      <c r="N16" s="50" t="s">
        <v>58</v>
      </c>
      <c r="O16" s="50" t="s">
        <v>59</v>
      </c>
      <c r="P16" s="50" t="s">
        <v>60</v>
      </c>
      <c r="Q16" s="50" t="s">
        <v>61</v>
      </c>
    </row>
    <row r="17" spans="2:20" x14ac:dyDescent="0.35">
      <c r="B17" s="38">
        <v>44900</v>
      </c>
      <c r="C17" s="39">
        <v>4002.4</v>
      </c>
      <c r="D17" s="43">
        <f t="shared" si="0"/>
        <v>-8.3629782188099355E-4</v>
      </c>
      <c r="E17" s="64"/>
      <c r="F17" s="65">
        <v>18269</v>
      </c>
      <c r="G17" s="67">
        <f t="shared" si="2"/>
        <v>-2.2915905982113793E-3</v>
      </c>
      <c r="L17" t="s">
        <v>53</v>
      </c>
      <c r="M17">
        <v>1</v>
      </c>
      <c r="N17">
        <v>1.1417312101908134E-2</v>
      </c>
      <c r="O17">
        <v>1.1417312101908134E-2</v>
      </c>
      <c r="P17">
        <v>6.2677539746264817</v>
      </c>
      <c r="Q17">
        <v>1.3865936582720893E-2</v>
      </c>
    </row>
    <row r="18" spans="2:20" x14ac:dyDescent="0.35">
      <c r="B18" s="38">
        <v>44907</v>
      </c>
      <c r="C18" s="39">
        <v>3990</v>
      </c>
      <c r="D18" s="43">
        <f t="shared" si="0"/>
        <v>-3.0981411153307992E-3</v>
      </c>
      <c r="F18" s="47">
        <v>17806.8</v>
      </c>
      <c r="G18" s="43">
        <f t="shared" si="1"/>
        <v>-2.5299687996058973E-2</v>
      </c>
      <c r="L18" t="s">
        <v>54</v>
      </c>
      <c r="M18">
        <v>103</v>
      </c>
      <c r="N18">
        <v>0.18762433102148349</v>
      </c>
      <c r="O18">
        <v>1.8215954468105192E-3</v>
      </c>
    </row>
    <row r="19" spans="2:20" ht="15" thickBot="1" x14ac:dyDescent="0.4">
      <c r="B19" s="38">
        <v>44914</v>
      </c>
      <c r="C19" s="39">
        <v>3875.6</v>
      </c>
      <c r="D19" s="43">
        <f t="shared" si="0"/>
        <v>-2.8671679197994959E-2</v>
      </c>
      <c r="F19" s="47">
        <v>18105.3</v>
      </c>
      <c r="G19" s="43">
        <f t="shared" si="1"/>
        <v>1.6763258979715534E-2</v>
      </c>
      <c r="L19" s="49" t="s">
        <v>55</v>
      </c>
      <c r="M19" s="49">
        <v>104</v>
      </c>
      <c r="N19" s="49">
        <v>0.19904164312339162</v>
      </c>
      <c r="O19" s="49"/>
      <c r="P19" s="49"/>
      <c r="Q19" s="49"/>
    </row>
    <row r="20" spans="2:20" ht="15" thickBot="1" x14ac:dyDescent="0.4">
      <c r="B20" s="38">
        <v>44921</v>
      </c>
      <c r="C20" s="39">
        <v>4068.75</v>
      </c>
      <c r="D20" s="43">
        <f t="shared" si="0"/>
        <v>4.9837444524718721E-2</v>
      </c>
      <c r="F20" s="47">
        <v>17859.45</v>
      </c>
      <c r="G20" s="43">
        <f t="shared" si="1"/>
        <v>-1.3578896787128536E-2</v>
      </c>
    </row>
    <row r="21" spans="2:20" x14ac:dyDescent="0.35">
      <c r="B21" s="38">
        <v>44928</v>
      </c>
      <c r="C21" s="39">
        <v>3842.5</v>
      </c>
      <c r="D21" s="43">
        <f t="shared" si="0"/>
        <v>-5.5606758832565273E-2</v>
      </c>
      <c r="F21" s="47">
        <v>17956.599999999999</v>
      </c>
      <c r="G21" s="43">
        <f t="shared" si="1"/>
        <v>5.4396971911228054E-3</v>
      </c>
      <c r="L21" s="50"/>
      <c r="M21" s="50" t="s">
        <v>62</v>
      </c>
      <c r="N21" s="50" t="s">
        <v>50</v>
      </c>
      <c r="O21" s="50" t="s">
        <v>63</v>
      </c>
      <c r="P21" s="50" t="s">
        <v>64</v>
      </c>
      <c r="Q21" s="50" t="s">
        <v>65</v>
      </c>
      <c r="R21" s="50" t="s">
        <v>66</v>
      </c>
      <c r="S21" s="50" t="s">
        <v>67</v>
      </c>
      <c r="T21" s="50" t="s">
        <v>68</v>
      </c>
    </row>
    <row r="22" spans="2:20" x14ac:dyDescent="0.35">
      <c r="B22" s="38">
        <v>44935</v>
      </c>
      <c r="C22" s="39">
        <v>3863.7</v>
      </c>
      <c r="D22" s="43">
        <f t="shared" si="0"/>
        <v>5.5172413793103114E-3</v>
      </c>
      <c r="F22" s="47">
        <v>18027.650000000001</v>
      </c>
      <c r="G22" s="43">
        <f t="shared" si="1"/>
        <v>3.9567624160476988E-3</v>
      </c>
      <c r="L22" t="s">
        <v>56</v>
      </c>
      <c r="M22">
        <v>-9.7099854561909726E-4</v>
      </c>
      <c r="N22">
        <v>4.2955163102116022E-3</v>
      </c>
      <c r="O22">
        <v>-0.22604932108179207</v>
      </c>
      <c r="P22">
        <v>0.82161102098685712</v>
      </c>
      <c r="Q22">
        <v>-9.4901420269513613E-3</v>
      </c>
      <c r="R22">
        <v>7.5481449357131664E-3</v>
      </c>
      <c r="S22">
        <v>-9.4901420269513613E-3</v>
      </c>
      <c r="T22">
        <v>7.5481449357131664E-3</v>
      </c>
    </row>
    <row r="23" spans="2:20" ht="15" thickBot="1" x14ac:dyDescent="0.4">
      <c r="B23" s="38">
        <v>44942</v>
      </c>
      <c r="C23" s="39">
        <v>3513.75</v>
      </c>
      <c r="D23" s="43">
        <f t="shared" si="0"/>
        <v>-9.0573802313844154E-2</v>
      </c>
      <c r="F23" s="47">
        <v>17604.349999999999</v>
      </c>
      <c r="G23" s="43">
        <f t="shared" si="1"/>
        <v>-2.3480597859399488E-2</v>
      </c>
      <c r="L23" s="49" t="s">
        <v>69</v>
      </c>
      <c r="M23" s="49">
        <v>0.71536925416863562</v>
      </c>
      <c r="N23" s="49">
        <v>0.28574214477004811</v>
      </c>
      <c r="O23" s="49">
        <v>2.5035482768715522</v>
      </c>
      <c r="P23" s="49">
        <v>1.3865936582720605E-2</v>
      </c>
      <c r="Q23" s="49">
        <v>0.14866710379553183</v>
      </c>
      <c r="R23" s="49">
        <v>1.2820714045417394</v>
      </c>
      <c r="S23" s="49">
        <v>0.14866710379553183</v>
      </c>
      <c r="T23" s="49">
        <v>1.2820714045417394</v>
      </c>
    </row>
    <row r="24" spans="2:20" x14ac:dyDescent="0.35">
      <c r="B24" s="38">
        <v>44949</v>
      </c>
      <c r="C24" s="39">
        <v>3562.35</v>
      </c>
      <c r="D24" s="43">
        <f t="shared" si="0"/>
        <v>1.3831376734258161E-2</v>
      </c>
      <c r="F24" s="47">
        <v>17854.05</v>
      </c>
      <c r="G24" s="43">
        <f t="shared" si="1"/>
        <v>1.4183994296864233E-2</v>
      </c>
    </row>
    <row r="25" spans="2:20" x14ac:dyDescent="0.35">
      <c r="B25" s="38">
        <v>44956</v>
      </c>
      <c r="C25" s="39">
        <v>3470.35</v>
      </c>
      <c r="D25" s="43">
        <f t="shared" si="0"/>
        <v>-2.5825648799247647E-2</v>
      </c>
      <c r="F25" s="47">
        <v>17856.5</v>
      </c>
      <c r="G25" s="43">
        <f t="shared" si="1"/>
        <v>1.372237671564136E-4</v>
      </c>
    </row>
    <row r="26" spans="2:20" x14ac:dyDescent="0.35">
      <c r="B26" s="38">
        <v>44963</v>
      </c>
      <c r="C26" s="39">
        <v>3498.85</v>
      </c>
      <c r="D26" s="43">
        <f t="shared" si="0"/>
        <v>8.2124281412536693E-3</v>
      </c>
      <c r="F26" s="47">
        <v>17944.2</v>
      </c>
      <c r="G26" s="43">
        <f t="shared" si="1"/>
        <v>4.9113768095652155E-3</v>
      </c>
    </row>
    <row r="27" spans="2:20" x14ac:dyDescent="0.35">
      <c r="B27" s="38">
        <v>44970</v>
      </c>
      <c r="C27" s="39">
        <v>3545</v>
      </c>
      <c r="D27" s="43">
        <f t="shared" si="0"/>
        <v>1.3190048158680634E-2</v>
      </c>
      <c r="F27" s="47">
        <v>17465.8</v>
      </c>
      <c r="G27" s="43">
        <f t="shared" si="1"/>
        <v>-2.6660425095574092E-2</v>
      </c>
    </row>
    <row r="28" spans="2:20" x14ac:dyDescent="0.35">
      <c r="B28" s="38">
        <v>44977</v>
      </c>
      <c r="C28" s="39">
        <v>3499.2</v>
      </c>
      <c r="D28" s="43">
        <f t="shared" si="0"/>
        <v>-1.2919605077574059E-2</v>
      </c>
      <c r="F28" s="47">
        <v>17594.349999999999</v>
      </c>
      <c r="G28" s="43">
        <f t="shared" si="1"/>
        <v>7.360098020130712E-3</v>
      </c>
    </row>
    <row r="29" spans="2:20" x14ac:dyDescent="0.35">
      <c r="B29" s="38">
        <v>44984</v>
      </c>
      <c r="C29" s="39">
        <v>3463.25</v>
      </c>
      <c r="D29" s="43">
        <f t="shared" si="0"/>
        <v>-1.0273776863283013E-2</v>
      </c>
      <c r="F29" s="47">
        <v>17412.900000000001</v>
      </c>
      <c r="G29" s="43">
        <f t="shared" si="1"/>
        <v>-1.0312969788596749E-2</v>
      </c>
    </row>
    <row r="30" spans="2:20" x14ac:dyDescent="0.35">
      <c r="B30" s="38">
        <v>44991</v>
      </c>
      <c r="C30" s="39">
        <v>3391.85</v>
      </c>
      <c r="D30" s="43">
        <f t="shared" si="0"/>
        <v>-2.061647296614455E-2</v>
      </c>
      <c r="F30" s="47">
        <v>17100.05</v>
      </c>
      <c r="G30" s="43">
        <f t="shared" si="1"/>
        <v>-1.796656501788918E-2</v>
      </c>
    </row>
    <row r="31" spans="2:20" x14ac:dyDescent="0.35">
      <c r="B31" s="38">
        <v>44998</v>
      </c>
      <c r="C31" s="39">
        <v>3311.3</v>
      </c>
      <c r="D31" s="43">
        <f t="shared" si="0"/>
        <v>-2.3748102068192778E-2</v>
      </c>
      <c r="F31" s="47">
        <v>16945.05</v>
      </c>
      <c r="G31" s="43">
        <f t="shared" si="1"/>
        <v>-9.0643009815760678E-3</v>
      </c>
    </row>
    <row r="32" spans="2:20" x14ac:dyDescent="0.35">
      <c r="B32" s="38">
        <v>45005</v>
      </c>
      <c r="C32" s="39">
        <v>3358.4</v>
      </c>
      <c r="D32" s="43">
        <f t="shared" si="0"/>
        <v>1.4224020777338087E-2</v>
      </c>
      <c r="F32" s="47">
        <v>17359.75</v>
      </c>
      <c r="G32" s="43">
        <f t="shared" si="1"/>
        <v>2.4473223743807226E-2</v>
      </c>
    </row>
    <row r="33" spans="2:7" x14ac:dyDescent="0.35">
      <c r="B33" s="38">
        <v>45012</v>
      </c>
      <c r="C33" s="39">
        <v>3401.05</v>
      </c>
      <c r="D33" s="43">
        <f t="shared" si="0"/>
        <v>1.26994997617913E-2</v>
      </c>
      <c r="F33" s="47">
        <v>17599.150000000001</v>
      </c>
      <c r="G33" s="43">
        <f t="shared" si="1"/>
        <v>1.3790521176860304E-2</v>
      </c>
    </row>
    <row r="34" spans="2:7" x14ac:dyDescent="0.35">
      <c r="B34" s="38">
        <v>45019</v>
      </c>
      <c r="C34" s="39">
        <v>3496.1</v>
      </c>
      <c r="D34" s="43">
        <f t="shared" si="0"/>
        <v>2.7947251584069521E-2</v>
      </c>
      <c r="F34" s="47">
        <v>17828</v>
      </c>
      <c r="G34" s="43">
        <f t="shared" si="1"/>
        <v>1.3003468917532901E-2</v>
      </c>
    </row>
    <row r="35" spans="2:7" x14ac:dyDescent="0.35">
      <c r="B35" s="38">
        <v>45026</v>
      </c>
      <c r="C35" s="39">
        <v>3501.05</v>
      </c>
      <c r="D35" s="43">
        <f t="shared" si="0"/>
        <v>1.4158633906353746E-3</v>
      </c>
      <c r="F35" s="47">
        <v>17624.05</v>
      </c>
      <c r="G35" s="43">
        <f t="shared" si="1"/>
        <v>-1.143986986762402E-2</v>
      </c>
    </row>
    <row r="36" spans="2:7" x14ac:dyDescent="0.35">
      <c r="B36" s="38">
        <v>45033</v>
      </c>
      <c r="C36" s="39">
        <v>3455.9</v>
      </c>
      <c r="D36" s="43">
        <f t="shared" si="0"/>
        <v>-1.2896131160651803E-2</v>
      </c>
      <c r="F36" s="47">
        <v>18065</v>
      </c>
      <c r="G36" s="43">
        <f t="shared" si="1"/>
        <v>2.5019788300645995E-2</v>
      </c>
    </row>
    <row r="37" spans="2:7" x14ac:dyDescent="0.35">
      <c r="B37" s="38">
        <v>45040</v>
      </c>
      <c r="C37" s="39">
        <v>3511.95</v>
      </c>
      <c r="D37" s="43">
        <f t="shared" si="0"/>
        <v>1.6218640585665023E-2</v>
      </c>
      <c r="F37" s="47">
        <v>18069</v>
      </c>
      <c r="G37" s="43">
        <f t="shared" si="1"/>
        <v>2.2142264046509652E-4</v>
      </c>
    </row>
    <row r="38" spans="2:7" x14ac:dyDescent="0.35">
      <c r="B38" s="38">
        <v>45047</v>
      </c>
      <c r="C38" s="39">
        <v>3598.2</v>
      </c>
      <c r="D38" s="43">
        <f t="shared" si="0"/>
        <v>2.4559005680604873E-2</v>
      </c>
      <c r="F38" s="47">
        <v>18314.8</v>
      </c>
      <c r="G38" s="43">
        <f t="shared" si="1"/>
        <v>1.3603409153799317E-2</v>
      </c>
    </row>
    <row r="39" spans="2:7" x14ac:dyDescent="0.35">
      <c r="B39" s="38">
        <v>45054</v>
      </c>
      <c r="C39" s="39">
        <v>3677.55</v>
      </c>
      <c r="D39" s="43">
        <f t="shared" si="0"/>
        <v>2.2052693013173252E-2</v>
      </c>
      <c r="F39" s="47">
        <v>18203.400000000001</v>
      </c>
      <c r="G39" s="43">
        <f t="shared" si="1"/>
        <v>-6.0825125035489647E-3</v>
      </c>
    </row>
    <row r="40" spans="2:7" x14ac:dyDescent="0.35">
      <c r="B40" s="38">
        <v>45061</v>
      </c>
      <c r="C40" s="39">
        <v>3395.25</v>
      </c>
      <c r="D40" s="43">
        <f t="shared" si="0"/>
        <v>-7.6763062364889723E-2</v>
      </c>
      <c r="F40" s="47">
        <v>18499.349999999999</v>
      </c>
      <c r="G40" s="43">
        <f t="shared" si="1"/>
        <v>1.6257951811200044E-2</v>
      </c>
    </row>
    <row r="41" spans="2:7" x14ac:dyDescent="0.35">
      <c r="B41" s="38">
        <v>45068</v>
      </c>
      <c r="C41" s="39">
        <v>3501.75</v>
      </c>
      <c r="D41" s="43">
        <f t="shared" ref="D41:D72" si="3">C41/C40-1</f>
        <v>3.1367351446874414E-2</v>
      </c>
      <c r="F41" s="47">
        <v>18534.099999999999</v>
      </c>
      <c r="G41" s="43">
        <f t="shared" si="1"/>
        <v>1.8784443777755122E-3</v>
      </c>
    </row>
    <row r="42" spans="2:7" x14ac:dyDescent="0.35">
      <c r="B42" s="38">
        <v>45075</v>
      </c>
      <c r="C42" s="39">
        <v>3531.6</v>
      </c>
      <c r="D42" s="43">
        <f t="shared" si="3"/>
        <v>8.5243092739344384E-3</v>
      </c>
      <c r="F42" s="47">
        <v>18563.400000000001</v>
      </c>
      <c r="G42" s="43">
        <f t="shared" si="1"/>
        <v>1.5808698561032841E-3</v>
      </c>
    </row>
    <row r="43" spans="2:7" x14ac:dyDescent="0.35">
      <c r="B43" s="38">
        <v>45079</v>
      </c>
      <c r="C43" s="39">
        <v>4085.6</v>
      </c>
      <c r="D43" s="43">
        <f t="shared" si="3"/>
        <v>0.15686940763393364</v>
      </c>
      <c r="F43" s="47">
        <v>18826</v>
      </c>
      <c r="G43" s="43">
        <f t="shared" si="1"/>
        <v>1.4146115474535925E-2</v>
      </c>
    </row>
    <row r="44" spans="2:7" x14ac:dyDescent="0.35">
      <c r="B44" s="38">
        <v>45082</v>
      </c>
      <c r="C44" s="39">
        <v>3632.1</v>
      </c>
      <c r="D44" s="43">
        <f t="shared" si="3"/>
        <v>-0.11099960838065404</v>
      </c>
      <c r="F44" s="47">
        <v>18665.5</v>
      </c>
      <c r="G44" s="43">
        <f t="shared" si="1"/>
        <v>-8.5254435355359703E-3</v>
      </c>
    </row>
    <row r="45" spans="2:7" x14ac:dyDescent="0.35">
      <c r="B45" s="38">
        <v>45096</v>
      </c>
      <c r="C45" s="39">
        <v>3744.05</v>
      </c>
      <c r="D45" s="43">
        <f t="shared" si="3"/>
        <v>3.0822389251397242E-2</v>
      </c>
      <c r="F45" s="47">
        <v>19189.05</v>
      </c>
      <c r="G45" s="43">
        <f t="shared" si="1"/>
        <v>2.8049074495727355E-2</v>
      </c>
    </row>
    <row r="46" spans="2:7" x14ac:dyDescent="0.35">
      <c r="B46" s="38">
        <v>45103</v>
      </c>
      <c r="C46" s="39">
        <v>3889.2</v>
      </c>
      <c r="D46" s="43">
        <f t="shared" si="3"/>
        <v>3.8768178843765266E-2</v>
      </c>
      <c r="F46" s="47">
        <v>19331.8</v>
      </c>
      <c r="G46" s="43">
        <f t="shared" si="1"/>
        <v>7.4391384669902916E-3</v>
      </c>
    </row>
    <row r="47" spans="2:7" x14ac:dyDescent="0.35">
      <c r="B47" s="38">
        <v>45110</v>
      </c>
      <c r="C47" s="39">
        <v>3808.95</v>
      </c>
      <c r="D47" s="43">
        <f t="shared" si="3"/>
        <v>-2.0634063560629468E-2</v>
      </c>
      <c r="F47" s="47">
        <v>19564.5</v>
      </c>
      <c r="G47" s="43">
        <f t="shared" si="1"/>
        <v>1.2037161567986399E-2</v>
      </c>
    </row>
    <row r="48" spans="2:7" x14ac:dyDescent="0.35">
      <c r="B48" s="38">
        <v>45117</v>
      </c>
      <c r="C48" s="39">
        <v>3838.75</v>
      </c>
      <c r="D48" s="43">
        <f t="shared" si="3"/>
        <v>7.8236784415652849E-3</v>
      </c>
      <c r="F48" s="47">
        <v>19745</v>
      </c>
      <c r="G48" s="43">
        <f t="shared" si="1"/>
        <v>9.225893838329613E-3</v>
      </c>
    </row>
    <row r="49" spans="2:7" x14ac:dyDescent="0.35">
      <c r="B49" s="38">
        <v>45124</v>
      </c>
      <c r="C49" s="39">
        <v>3675.7</v>
      </c>
      <c r="D49" s="43">
        <f t="shared" si="3"/>
        <v>-4.2474763920547054E-2</v>
      </c>
      <c r="F49" s="47">
        <v>19646.05</v>
      </c>
      <c r="G49" s="43">
        <f t="shared" si="1"/>
        <v>-5.0113952899468739E-3</v>
      </c>
    </row>
    <row r="50" spans="2:7" x14ac:dyDescent="0.35">
      <c r="B50" s="38">
        <v>45131</v>
      </c>
      <c r="C50" s="39">
        <v>3713.9</v>
      </c>
      <c r="D50" s="43">
        <f t="shared" si="3"/>
        <v>1.0392578284408538E-2</v>
      </c>
      <c r="F50" s="47">
        <v>19517</v>
      </c>
      <c r="G50" s="43">
        <f t="shared" si="1"/>
        <v>-6.568750461288575E-3</v>
      </c>
    </row>
    <row r="51" spans="2:7" x14ac:dyDescent="0.35">
      <c r="B51" s="38">
        <v>45138</v>
      </c>
      <c r="C51" s="39">
        <v>3652.1</v>
      </c>
      <c r="D51" s="43">
        <f t="shared" si="3"/>
        <v>-1.6640189558146501E-2</v>
      </c>
      <c r="F51" s="47">
        <v>19428.3</v>
      </c>
      <c r="G51" s="43">
        <f t="shared" si="1"/>
        <v>-4.5447558538710409E-3</v>
      </c>
    </row>
    <row r="52" spans="2:7" x14ac:dyDescent="0.35">
      <c r="B52" s="38">
        <v>45145</v>
      </c>
      <c r="C52" s="39">
        <v>3550.05</v>
      </c>
      <c r="D52" s="43">
        <f t="shared" si="3"/>
        <v>-2.7942827414364269E-2</v>
      </c>
      <c r="F52" s="47">
        <v>19310.150000000001</v>
      </c>
      <c r="G52" s="43">
        <f t="shared" si="1"/>
        <v>-6.0813349598265454E-3</v>
      </c>
    </row>
    <row r="53" spans="2:7" x14ac:dyDescent="0.35">
      <c r="B53" s="38">
        <v>45152</v>
      </c>
      <c r="C53" s="39">
        <v>3540.95</v>
      </c>
      <c r="D53" s="43">
        <f t="shared" si="3"/>
        <v>-2.5633441782511035E-3</v>
      </c>
      <c r="F53" s="47">
        <v>19265.8</v>
      </c>
      <c r="G53" s="43">
        <f t="shared" si="1"/>
        <v>-2.2967196008317758E-3</v>
      </c>
    </row>
    <row r="54" spans="2:7" x14ac:dyDescent="0.35">
      <c r="B54" s="38">
        <v>45159</v>
      </c>
      <c r="C54" s="39">
        <v>3534.6</v>
      </c>
      <c r="D54" s="43">
        <f t="shared" si="3"/>
        <v>-1.7933040568208769E-3</v>
      </c>
      <c r="F54" s="47">
        <v>19435.3</v>
      </c>
      <c r="G54" s="43">
        <f t="shared" si="1"/>
        <v>8.7979736112697715E-3</v>
      </c>
    </row>
    <row r="55" spans="2:7" x14ac:dyDescent="0.35">
      <c r="B55" s="38">
        <v>45166</v>
      </c>
      <c r="C55" s="39">
        <v>3761.05</v>
      </c>
      <c r="D55" s="43">
        <f t="shared" si="3"/>
        <v>6.4066655349968915E-2</v>
      </c>
      <c r="F55" s="47">
        <v>19819.95</v>
      </c>
      <c r="G55" s="43">
        <f t="shared" si="1"/>
        <v>1.9791307569216876E-2</v>
      </c>
    </row>
    <row r="56" spans="2:7" x14ac:dyDescent="0.35">
      <c r="B56" s="38">
        <v>45173</v>
      </c>
      <c r="C56" s="39">
        <v>3782.4</v>
      </c>
      <c r="D56" s="43">
        <f t="shared" si="3"/>
        <v>5.6766062668669459E-3</v>
      </c>
      <c r="F56" s="47">
        <v>20192.349999999999</v>
      </c>
      <c r="G56" s="43">
        <f t="shared" si="1"/>
        <v>1.8789149316723597E-2</v>
      </c>
    </row>
    <row r="57" spans="2:7" x14ac:dyDescent="0.35">
      <c r="B57" s="38">
        <v>45180</v>
      </c>
      <c r="C57" s="39">
        <v>3796</v>
      </c>
      <c r="D57" s="43">
        <f t="shared" si="3"/>
        <v>3.5956006768189663E-3</v>
      </c>
      <c r="F57" s="47">
        <v>19674.25</v>
      </c>
      <c r="G57" s="43">
        <f t="shared" si="1"/>
        <v>-2.5658231954180599E-2</v>
      </c>
    </row>
    <row r="58" spans="2:7" x14ac:dyDescent="0.35">
      <c r="B58" s="38">
        <v>45187</v>
      </c>
      <c r="C58" s="39">
        <v>3689.1</v>
      </c>
      <c r="D58" s="43">
        <f t="shared" si="3"/>
        <v>-2.8161222339304515E-2</v>
      </c>
      <c r="F58" s="47">
        <v>19638.3</v>
      </c>
      <c r="G58" s="43">
        <f t="shared" si="1"/>
        <v>-1.8272615220402688E-3</v>
      </c>
    </row>
    <row r="59" spans="2:7" x14ac:dyDescent="0.35">
      <c r="B59" s="38">
        <v>45194</v>
      </c>
      <c r="C59" s="39">
        <v>3675.6</v>
      </c>
      <c r="D59" s="43">
        <f t="shared" si="3"/>
        <v>-3.6594291290558134E-3</v>
      </c>
      <c r="F59" s="47">
        <v>19653.5</v>
      </c>
      <c r="G59" s="43">
        <f t="shared" si="1"/>
        <v>7.7399774929598486E-4</v>
      </c>
    </row>
    <row r="60" spans="2:7" x14ac:dyDescent="0.35">
      <c r="B60" s="38">
        <v>45201</v>
      </c>
      <c r="C60" s="39">
        <v>3833.95</v>
      </c>
      <c r="D60" s="43">
        <f t="shared" si="3"/>
        <v>4.3081401675916897E-2</v>
      </c>
      <c r="F60" s="47">
        <v>19751.05</v>
      </c>
      <c r="G60" s="43">
        <f t="shared" si="1"/>
        <v>4.9634925076957881E-3</v>
      </c>
    </row>
    <row r="61" spans="2:7" x14ac:dyDescent="0.35">
      <c r="B61" s="38">
        <v>45208</v>
      </c>
      <c r="C61" s="39">
        <v>3935.85</v>
      </c>
      <c r="D61" s="43">
        <f t="shared" si="3"/>
        <v>2.6578333050770064E-2</v>
      </c>
      <c r="F61" s="47">
        <v>19542.650000000001</v>
      </c>
      <c r="G61" s="43">
        <f t="shared" si="1"/>
        <v>-1.0551337776978809E-2</v>
      </c>
    </row>
    <row r="62" spans="2:7" x14ac:dyDescent="0.35">
      <c r="B62" s="38">
        <v>45215</v>
      </c>
      <c r="C62" s="39">
        <v>3749.5</v>
      </c>
      <c r="D62" s="43">
        <f t="shared" si="3"/>
        <v>-4.7346824701144596E-2</v>
      </c>
      <c r="F62" s="47">
        <v>19047.25</v>
      </c>
      <c r="G62" s="43">
        <f t="shared" si="1"/>
        <v>-2.5349683896503383E-2</v>
      </c>
    </row>
    <row r="63" spans="2:7" x14ac:dyDescent="0.35">
      <c r="B63" s="38">
        <v>45229</v>
      </c>
      <c r="C63" s="39">
        <v>3649.7</v>
      </c>
      <c r="D63" s="43">
        <f t="shared" si="3"/>
        <v>-2.6616882250966811E-2</v>
      </c>
      <c r="F63" s="47">
        <v>19230.599999999999</v>
      </c>
      <c r="G63" s="43">
        <f t="shared" si="1"/>
        <v>9.6260615049414966E-3</v>
      </c>
    </row>
    <row r="64" spans="2:7" x14ac:dyDescent="0.35">
      <c r="B64" s="38">
        <v>45236</v>
      </c>
      <c r="C64" s="39">
        <v>3798.4</v>
      </c>
      <c r="D64" s="43">
        <f t="shared" si="3"/>
        <v>4.0743074773269106E-2</v>
      </c>
      <c r="F64" s="47">
        <v>19318</v>
      </c>
      <c r="G64" s="43">
        <f t="shared" si="1"/>
        <v>4.5448399945919871E-3</v>
      </c>
    </row>
    <row r="65" spans="2:7" x14ac:dyDescent="0.35">
      <c r="B65" s="38">
        <v>45243</v>
      </c>
      <c r="C65" s="39">
        <v>3810.9</v>
      </c>
      <c r="D65" s="43">
        <f t="shared" si="3"/>
        <v>3.2908593091827143E-3</v>
      </c>
      <c r="F65" s="47">
        <v>19425.349999999999</v>
      </c>
      <c r="G65" s="43">
        <f t="shared" si="1"/>
        <v>5.5569934775856478E-3</v>
      </c>
    </row>
    <row r="66" spans="2:7" x14ac:dyDescent="0.35">
      <c r="B66" s="38">
        <v>45250</v>
      </c>
      <c r="C66" s="39">
        <v>3842.9</v>
      </c>
      <c r="D66" s="43">
        <f t="shared" si="3"/>
        <v>8.3969665958172346E-3</v>
      </c>
      <c r="F66" s="47">
        <v>19941</v>
      </c>
      <c r="G66" s="43">
        <f t="shared" si="1"/>
        <v>2.6545210253611895E-2</v>
      </c>
    </row>
    <row r="67" spans="2:7" x14ac:dyDescent="0.35">
      <c r="B67" s="38">
        <v>45257</v>
      </c>
      <c r="C67" s="39">
        <v>3988.4</v>
      </c>
      <c r="D67" s="43">
        <f t="shared" si="3"/>
        <v>3.7862031278461661E-2</v>
      </c>
      <c r="F67" s="47">
        <v>20267.900000000001</v>
      </c>
      <c r="G67" s="43">
        <f t="shared" si="1"/>
        <v>1.6393360413219149E-2</v>
      </c>
    </row>
    <row r="68" spans="2:7" x14ac:dyDescent="0.35">
      <c r="B68" s="38">
        <v>45264</v>
      </c>
      <c r="C68" s="39">
        <v>4070.65</v>
      </c>
      <c r="D68" s="43">
        <f t="shared" si="3"/>
        <v>2.0622304683582282E-2</v>
      </c>
      <c r="F68" s="47">
        <v>20969.400000000001</v>
      </c>
      <c r="G68" s="43">
        <f t="shared" si="1"/>
        <v>3.4611380557433069E-2</v>
      </c>
    </row>
    <row r="69" spans="2:7" x14ac:dyDescent="0.35">
      <c r="B69" s="38">
        <v>45271</v>
      </c>
      <c r="C69" s="39">
        <v>4045.65</v>
      </c>
      <c r="D69" s="43">
        <f t="shared" si="3"/>
        <v>-6.1415253092258482E-3</v>
      </c>
      <c r="F69" s="47">
        <v>21456.65</v>
      </c>
      <c r="G69" s="43">
        <f t="shared" si="1"/>
        <v>2.3236239472755438E-2</v>
      </c>
    </row>
    <row r="70" spans="2:7" x14ac:dyDescent="0.35">
      <c r="B70" s="38">
        <v>45278</v>
      </c>
      <c r="C70" s="39">
        <v>4007.95</v>
      </c>
      <c r="D70" s="43">
        <f t="shared" si="3"/>
        <v>-9.3186508966421888E-3</v>
      </c>
      <c r="F70" s="47">
        <v>21349.4</v>
      </c>
      <c r="G70" s="43">
        <f t="shared" si="1"/>
        <v>-4.9984503638732525E-3</v>
      </c>
    </row>
    <row r="71" spans="2:7" x14ac:dyDescent="0.35">
      <c r="B71" s="38">
        <v>45285</v>
      </c>
      <c r="C71" s="39">
        <v>4082.65</v>
      </c>
      <c r="D71" s="43">
        <f t="shared" si="3"/>
        <v>1.8637957060342547E-2</v>
      </c>
      <c r="F71" s="47">
        <v>21731.4</v>
      </c>
      <c r="G71" s="43">
        <f t="shared" si="1"/>
        <v>1.7892774504201459E-2</v>
      </c>
    </row>
    <row r="72" spans="2:7" x14ac:dyDescent="0.35">
      <c r="B72" s="38">
        <v>45292</v>
      </c>
      <c r="C72" s="39">
        <v>3863.5</v>
      </c>
      <c r="D72" s="43">
        <f t="shared" si="3"/>
        <v>-5.3678370666111475E-2</v>
      </c>
      <c r="F72" s="47">
        <v>21710.799999999999</v>
      </c>
      <c r="G72" s="43">
        <f t="shared" si="1"/>
        <v>-9.479370864280412E-4</v>
      </c>
    </row>
    <row r="73" spans="2:7" x14ac:dyDescent="0.35">
      <c r="B73" s="38">
        <v>45299</v>
      </c>
      <c r="C73" s="39">
        <v>3841</v>
      </c>
      <c r="D73" s="43">
        <f t="shared" ref="D73:D104" si="4">C73/C72-1</f>
        <v>-5.8237349553513784E-3</v>
      </c>
      <c r="F73" s="47">
        <v>21894.55</v>
      </c>
      <c r="G73" s="43">
        <f t="shared" si="1"/>
        <v>8.4635296718684749E-3</v>
      </c>
    </row>
    <row r="74" spans="2:7" x14ac:dyDescent="0.35">
      <c r="B74" s="38">
        <v>45306</v>
      </c>
      <c r="C74" s="39">
        <v>3731.7</v>
      </c>
      <c r="D74" s="43">
        <f t="shared" si="4"/>
        <v>-2.8456131215829239E-2</v>
      </c>
      <c r="F74" s="47">
        <v>21622.400000000001</v>
      </c>
      <c r="G74" s="43">
        <f t="shared" ref="G74:G113" si="5">F74/F73-1</f>
        <v>-1.2430033958222397E-2</v>
      </c>
    </row>
    <row r="75" spans="2:7" x14ac:dyDescent="0.35">
      <c r="B75" s="38">
        <v>45313</v>
      </c>
      <c r="C75" s="39">
        <v>3734.25</v>
      </c>
      <c r="D75" s="43">
        <f t="shared" si="4"/>
        <v>6.8333467320536023E-4</v>
      </c>
      <c r="F75" s="47">
        <v>21352.6</v>
      </c>
      <c r="G75" s="43">
        <f t="shared" si="5"/>
        <v>-1.2477800799171379E-2</v>
      </c>
    </row>
    <row r="76" spans="2:7" x14ac:dyDescent="0.35">
      <c r="B76" s="38">
        <v>45320</v>
      </c>
      <c r="C76" s="39">
        <v>3784.3</v>
      </c>
      <c r="D76" s="43">
        <f t="shared" si="4"/>
        <v>1.3402959094865219E-2</v>
      </c>
      <c r="F76" s="47">
        <v>21853.8</v>
      </c>
      <c r="G76" s="43">
        <f t="shared" si="5"/>
        <v>2.3472551352060167E-2</v>
      </c>
    </row>
    <row r="77" spans="2:7" x14ac:dyDescent="0.35">
      <c r="B77" s="38">
        <v>45327</v>
      </c>
      <c r="C77" s="39">
        <v>3719.2</v>
      </c>
      <c r="D77" s="43">
        <f t="shared" si="4"/>
        <v>-1.720265306661739E-2</v>
      </c>
      <c r="F77" s="47">
        <v>21782.5</v>
      </c>
      <c r="G77" s="43">
        <f t="shared" si="5"/>
        <v>-3.2625904876955047E-3</v>
      </c>
    </row>
    <row r="78" spans="2:7" x14ac:dyDescent="0.35">
      <c r="B78" s="38">
        <v>45334</v>
      </c>
      <c r="C78" s="39">
        <v>3693.3</v>
      </c>
      <c r="D78" s="43">
        <f t="shared" si="4"/>
        <v>-6.9638631963861997E-3</v>
      </c>
      <c r="F78" s="47">
        <v>22104.07</v>
      </c>
      <c r="G78" s="43">
        <f t="shared" si="5"/>
        <v>1.4762768277286842E-2</v>
      </c>
    </row>
    <row r="79" spans="2:7" x14ac:dyDescent="0.35">
      <c r="B79" s="38">
        <v>45341</v>
      </c>
      <c r="C79" s="39">
        <v>3840.55</v>
      </c>
      <c r="D79" s="43">
        <f t="shared" si="4"/>
        <v>3.9869493406980094E-2</v>
      </c>
      <c r="F79" s="47">
        <v>22212.7</v>
      </c>
      <c r="G79" s="43">
        <f t="shared" si="5"/>
        <v>4.9144795505986494E-3</v>
      </c>
    </row>
    <row r="80" spans="2:7" x14ac:dyDescent="0.35">
      <c r="B80" s="38">
        <v>45348</v>
      </c>
      <c r="C80" s="39">
        <v>3884.15</v>
      </c>
      <c r="D80" s="43">
        <f t="shared" si="4"/>
        <v>1.1352540651729637E-2</v>
      </c>
      <c r="F80" s="47">
        <v>22338.75</v>
      </c>
      <c r="G80" s="43">
        <f t="shared" si="5"/>
        <v>5.6746816010659895E-3</v>
      </c>
    </row>
    <row r="81" spans="2:7" x14ac:dyDescent="0.35">
      <c r="B81" s="38">
        <v>45355</v>
      </c>
      <c r="C81" s="39">
        <v>3925.95</v>
      </c>
      <c r="D81" s="43">
        <f t="shared" si="4"/>
        <v>1.076168531081434E-2</v>
      </c>
      <c r="F81" s="47">
        <v>22493.55</v>
      </c>
      <c r="G81" s="43">
        <f t="shared" si="5"/>
        <v>6.929662581836471E-3</v>
      </c>
    </row>
    <row r="82" spans="2:7" x14ac:dyDescent="0.35">
      <c r="B82" s="38">
        <v>45362</v>
      </c>
      <c r="C82" s="39">
        <v>3932.1</v>
      </c>
      <c r="D82" s="43">
        <f t="shared" si="4"/>
        <v>1.5664998280671139E-3</v>
      </c>
      <c r="F82" s="47">
        <v>22023.35</v>
      </c>
      <c r="G82" s="43">
        <f t="shared" si="5"/>
        <v>-2.0903770191899484E-2</v>
      </c>
    </row>
    <row r="83" spans="2:7" x14ac:dyDescent="0.35">
      <c r="B83" s="38">
        <v>45369</v>
      </c>
      <c r="C83" s="39">
        <v>4297.6000000000004</v>
      </c>
      <c r="D83" s="43">
        <f t="shared" si="4"/>
        <v>9.2952875054042483E-2</v>
      </c>
      <c r="F83" s="47">
        <v>22096.75</v>
      </c>
      <c r="G83" s="43">
        <f t="shared" si="5"/>
        <v>3.3328262957270649E-3</v>
      </c>
    </row>
    <row r="84" spans="2:7" x14ac:dyDescent="0.35">
      <c r="B84" s="38">
        <v>45376</v>
      </c>
      <c r="C84" s="39">
        <v>4525.6000000000004</v>
      </c>
      <c r="D84" s="43">
        <f t="shared" si="4"/>
        <v>5.3052866716306823E-2</v>
      </c>
      <c r="F84" s="47">
        <v>22326.9</v>
      </c>
      <c r="G84" s="43">
        <f t="shared" si="5"/>
        <v>1.0415558849152129E-2</v>
      </c>
    </row>
    <row r="85" spans="2:7" x14ac:dyDescent="0.35">
      <c r="B85" s="38">
        <v>45383</v>
      </c>
      <c r="C85" s="39">
        <v>4619.25</v>
      </c>
      <c r="D85" s="43">
        <f t="shared" si="4"/>
        <v>2.0693388721937378E-2</v>
      </c>
      <c r="F85" s="47">
        <v>22513.7</v>
      </c>
      <c r="G85" s="43">
        <f t="shared" si="5"/>
        <v>8.3665891816597782E-3</v>
      </c>
    </row>
    <row r="86" spans="2:7" x14ac:dyDescent="0.35">
      <c r="B86" s="38">
        <v>45390</v>
      </c>
      <c r="C86" s="39">
        <v>4765.05</v>
      </c>
      <c r="D86" s="43">
        <f t="shared" si="4"/>
        <v>3.1563565513882175E-2</v>
      </c>
      <c r="F86" s="47">
        <v>22519.4</v>
      </c>
      <c r="G86" s="43">
        <f t="shared" si="5"/>
        <v>2.5317917534661838E-4</v>
      </c>
    </row>
    <row r="87" spans="2:7" x14ac:dyDescent="0.35">
      <c r="B87" s="38">
        <v>45397</v>
      </c>
      <c r="C87" s="39">
        <v>4696</v>
      </c>
      <c r="D87" s="43">
        <f t="shared" si="4"/>
        <v>-1.4490928741566211E-2</v>
      </c>
      <c r="F87" s="47">
        <v>22147</v>
      </c>
      <c r="G87" s="43">
        <f t="shared" si="5"/>
        <v>-1.6536852669254087E-2</v>
      </c>
    </row>
    <row r="88" spans="2:7" x14ac:dyDescent="0.35">
      <c r="B88" s="38">
        <v>45404</v>
      </c>
      <c r="C88" s="39">
        <v>4553.1499999999996</v>
      </c>
      <c r="D88" s="43">
        <f t="shared" si="4"/>
        <v>-3.0419505962521409E-2</v>
      </c>
      <c r="F88" s="47">
        <v>22419.95</v>
      </c>
      <c r="G88" s="43">
        <f t="shared" si="5"/>
        <v>1.2324468325281002E-2</v>
      </c>
    </row>
    <row r="89" spans="2:7" x14ac:dyDescent="0.35">
      <c r="B89" s="38">
        <v>45411</v>
      </c>
      <c r="C89" s="39">
        <v>4612.3500000000004</v>
      </c>
      <c r="D89" s="43">
        <f t="shared" si="4"/>
        <v>1.300198763493432E-2</v>
      </c>
      <c r="F89" s="47">
        <v>22475.85</v>
      </c>
      <c r="G89" s="43">
        <f t="shared" si="5"/>
        <v>2.4933151055197555E-3</v>
      </c>
    </row>
    <row r="90" spans="2:7" x14ac:dyDescent="0.35">
      <c r="B90" s="38">
        <v>45418</v>
      </c>
      <c r="C90" s="39">
        <v>4796.8</v>
      </c>
      <c r="D90" s="43">
        <f t="shared" si="4"/>
        <v>3.9990460394375926E-2</v>
      </c>
      <c r="F90" s="47">
        <v>22055.200000000001</v>
      </c>
      <c r="G90" s="43">
        <f t="shared" si="5"/>
        <v>-1.8715643679771743E-2</v>
      </c>
    </row>
    <row r="91" spans="2:7" x14ac:dyDescent="0.35">
      <c r="B91" s="38">
        <v>45425</v>
      </c>
      <c r="C91" s="39">
        <v>4670.6499999999996</v>
      </c>
      <c r="D91" s="43">
        <f t="shared" si="4"/>
        <v>-2.6298782521681274E-2</v>
      </c>
      <c r="F91" s="47">
        <v>22466.1</v>
      </c>
      <c r="G91" s="43">
        <f t="shared" si="5"/>
        <v>1.8630527041241907E-2</v>
      </c>
    </row>
    <row r="92" spans="2:7" x14ac:dyDescent="0.35">
      <c r="B92" s="38">
        <v>45432</v>
      </c>
      <c r="C92" s="39">
        <v>4684.5</v>
      </c>
      <c r="D92" s="43">
        <f t="shared" si="4"/>
        <v>2.9653260252855418E-3</v>
      </c>
      <c r="F92" s="47">
        <v>22957.1</v>
      </c>
      <c r="G92" s="43">
        <f t="shared" si="5"/>
        <v>2.1855150649200406E-2</v>
      </c>
    </row>
    <row r="93" spans="2:7" x14ac:dyDescent="0.35">
      <c r="B93" s="38">
        <v>45439</v>
      </c>
      <c r="C93" s="39">
        <v>4302.1499999999996</v>
      </c>
      <c r="D93" s="43">
        <f t="shared" si="4"/>
        <v>-8.1620236951649106E-2</v>
      </c>
      <c r="F93" s="47">
        <v>22530.7</v>
      </c>
      <c r="G93" s="43">
        <f t="shared" si="5"/>
        <v>-1.8573774562117951E-2</v>
      </c>
    </row>
    <row r="94" spans="2:7" x14ac:dyDescent="0.35">
      <c r="B94" s="38">
        <v>45446</v>
      </c>
      <c r="C94" s="39">
        <v>4747.25</v>
      </c>
      <c r="D94" s="43">
        <f t="shared" si="4"/>
        <v>0.10345989795799793</v>
      </c>
      <c r="F94" s="47">
        <v>23290.15</v>
      </c>
      <c r="G94" s="43">
        <f t="shared" si="5"/>
        <v>3.3707341538434354E-2</v>
      </c>
    </row>
    <row r="95" spans="2:7" x14ac:dyDescent="0.35">
      <c r="B95" s="38">
        <v>45453</v>
      </c>
      <c r="C95" s="39">
        <v>4739.95</v>
      </c>
      <c r="D95" s="43">
        <f t="shared" si="4"/>
        <v>-1.5377323713728908E-3</v>
      </c>
      <c r="F95" s="47">
        <v>23465.599999999999</v>
      </c>
      <c r="G95" s="43">
        <f t="shared" si="5"/>
        <v>7.5332275661599279E-3</v>
      </c>
    </row>
    <row r="96" spans="2:7" x14ac:dyDescent="0.35">
      <c r="B96" s="38">
        <v>45460</v>
      </c>
      <c r="C96" s="39">
        <v>4804.8500000000004</v>
      </c>
      <c r="D96" s="43">
        <f t="shared" si="4"/>
        <v>1.3692127554088218E-2</v>
      </c>
      <c r="F96" s="47">
        <v>23501.1</v>
      </c>
      <c r="G96" s="43">
        <f t="shared" si="5"/>
        <v>1.5128528569481325E-3</v>
      </c>
    </row>
    <row r="97" spans="2:7" x14ac:dyDescent="0.35">
      <c r="B97" s="38">
        <v>45467</v>
      </c>
      <c r="C97" s="39">
        <v>4716.75</v>
      </c>
      <c r="D97" s="43">
        <f t="shared" si="4"/>
        <v>-1.8335640030386013E-2</v>
      </c>
      <c r="F97" s="47">
        <v>24010.6</v>
      </c>
      <c r="G97" s="43">
        <f t="shared" si="5"/>
        <v>2.1679836262983532E-2</v>
      </c>
    </row>
    <row r="98" spans="2:7" x14ac:dyDescent="0.35">
      <c r="B98" s="38">
        <v>45474</v>
      </c>
      <c r="C98" s="39">
        <v>4853.1000000000004</v>
      </c>
      <c r="D98" s="43">
        <f t="shared" si="4"/>
        <v>2.8907616473207165E-2</v>
      </c>
      <c r="F98" s="47">
        <v>24323.85</v>
      </c>
      <c r="G98" s="43">
        <f t="shared" si="5"/>
        <v>1.3046321208133094E-2</v>
      </c>
    </row>
    <row r="99" spans="2:7" x14ac:dyDescent="0.35">
      <c r="B99" s="38">
        <v>45481</v>
      </c>
      <c r="C99" s="39">
        <v>4943.6499999999996</v>
      </c>
      <c r="D99" s="43">
        <f t="shared" si="4"/>
        <v>1.865817724753227E-2</v>
      </c>
      <c r="F99" s="47">
        <v>24502.15</v>
      </c>
      <c r="G99" s="43">
        <f t="shared" si="5"/>
        <v>7.3302540510651326E-3</v>
      </c>
    </row>
    <row r="100" spans="2:7" x14ac:dyDescent="0.35">
      <c r="B100" s="38">
        <v>45488</v>
      </c>
      <c r="C100" s="39">
        <v>5010.7</v>
      </c>
      <c r="D100" s="43">
        <f t="shared" si="4"/>
        <v>1.3562853357337312E-2</v>
      </c>
      <c r="F100" s="47">
        <v>24530.9</v>
      </c>
      <c r="G100" s="43">
        <f t="shared" si="5"/>
        <v>1.1733664188653403E-3</v>
      </c>
    </row>
    <row r="101" spans="2:7" x14ac:dyDescent="0.35">
      <c r="B101" s="38">
        <v>45495</v>
      </c>
      <c r="C101" s="39">
        <v>5071.6000000000004</v>
      </c>
      <c r="D101" s="43">
        <f t="shared" si="4"/>
        <v>1.2153990460414876E-2</v>
      </c>
      <c r="F101" s="47">
        <v>24834.85</v>
      </c>
      <c r="G101" s="43">
        <f t="shared" si="5"/>
        <v>1.2390495252925682E-2</v>
      </c>
    </row>
    <row r="102" spans="2:7" x14ac:dyDescent="0.35">
      <c r="B102" s="38">
        <v>45502</v>
      </c>
      <c r="C102" s="39">
        <v>4909.7</v>
      </c>
      <c r="D102" s="43">
        <f t="shared" si="4"/>
        <v>-3.1922864579225552E-2</v>
      </c>
      <c r="F102" s="47">
        <v>24717.7</v>
      </c>
      <c r="G102" s="43">
        <f t="shared" si="5"/>
        <v>-4.7171615693268887E-3</v>
      </c>
    </row>
    <row r="103" spans="2:7" x14ac:dyDescent="0.35">
      <c r="B103" s="38">
        <v>45509</v>
      </c>
      <c r="C103" s="39">
        <v>4989.95</v>
      </c>
      <c r="D103" s="43">
        <f t="shared" si="4"/>
        <v>1.6345194207385338E-2</v>
      </c>
      <c r="F103" s="47">
        <v>24367.5</v>
      </c>
      <c r="G103" s="43">
        <f t="shared" si="5"/>
        <v>-1.4167984885325113E-2</v>
      </c>
    </row>
    <row r="104" spans="2:7" x14ac:dyDescent="0.35">
      <c r="B104" s="38">
        <v>45516</v>
      </c>
      <c r="C104" s="39">
        <v>5021.3</v>
      </c>
      <c r="D104" s="43">
        <f t="shared" si="4"/>
        <v>6.2826280824457292E-3</v>
      </c>
      <c r="F104" s="47">
        <v>24541.15</v>
      </c>
      <c r="G104" s="43">
        <f t="shared" si="5"/>
        <v>7.1262952703396998E-3</v>
      </c>
    </row>
    <row r="105" spans="2:7" x14ac:dyDescent="0.35">
      <c r="B105" s="38">
        <v>45523</v>
      </c>
      <c r="C105" s="39">
        <v>4901.5</v>
      </c>
      <c r="D105" s="43">
        <f t="shared" ref="D105:D113" si="6">C105/C104-1</f>
        <v>-2.3858363372035174E-2</v>
      </c>
      <c r="F105" s="47">
        <v>24823.15</v>
      </c>
      <c r="G105" s="43">
        <f t="shared" si="5"/>
        <v>1.1490904052988471E-2</v>
      </c>
    </row>
    <row r="106" spans="2:7" x14ac:dyDescent="0.35">
      <c r="B106" s="38">
        <v>45530</v>
      </c>
      <c r="C106" s="39">
        <v>4927.45</v>
      </c>
      <c r="D106" s="43">
        <f t="shared" si="6"/>
        <v>5.2942976639804851E-3</v>
      </c>
      <c r="F106" s="47">
        <v>25235.9</v>
      </c>
      <c r="G106" s="43">
        <f t="shared" si="5"/>
        <v>1.6627623810837822E-2</v>
      </c>
    </row>
    <row r="107" spans="2:7" x14ac:dyDescent="0.35">
      <c r="B107" s="38">
        <v>45537</v>
      </c>
      <c r="C107" s="39">
        <v>5303.45</v>
      </c>
      <c r="D107" s="43">
        <f t="shared" si="6"/>
        <v>7.630721772925142E-2</v>
      </c>
      <c r="F107" s="47">
        <v>24852.15</v>
      </c>
      <c r="G107" s="43">
        <f t="shared" si="5"/>
        <v>-1.5206511358818231E-2</v>
      </c>
    </row>
    <row r="108" spans="2:7" x14ac:dyDescent="0.35">
      <c r="B108" s="38">
        <v>45544</v>
      </c>
      <c r="C108" s="39">
        <v>5187.05</v>
      </c>
      <c r="D108" s="43">
        <f t="shared" si="6"/>
        <v>-2.194797726008535E-2</v>
      </c>
      <c r="F108" s="47">
        <v>25356.5</v>
      </c>
      <c r="G108" s="43">
        <f t="shared" si="5"/>
        <v>2.0294018827344829E-2</v>
      </c>
    </row>
    <row r="109" spans="2:7" x14ac:dyDescent="0.35">
      <c r="B109" s="38">
        <v>45551</v>
      </c>
      <c r="C109" s="39">
        <v>5320.55</v>
      </c>
      <c r="D109" s="43">
        <f t="shared" si="6"/>
        <v>2.5737172381218532E-2</v>
      </c>
      <c r="F109" s="47">
        <v>25790.95</v>
      </c>
      <c r="G109" s="43">
        <f t="shared" si="5"/>
        <v>1.7133673811448702E-2</v>
      </c>
    </row>
    <row r="110" spans="2:7" x14ac:dyDescent="0.35">
      <c r="B110" s="38">
        <v>45558</v>
      </c>
      <c r="C110" s="39">
        <v>5102.3</v>
      </c>
      <c r="D110" s="43">
        <f t="shared" si="6"/>
        <v>-4.102019528056311E-2</v>
      </c>
      <c r="F110" s="47">
        <v>26178.95</v>
      </c>
      <c r="G110" s="43">
        <f t="shared" si="5"/>
        <v>1.5044036764834123E-2</v>
      </c>
    </row>
    <row r="111" spans="2:7" x14ac:dyDescent="0.35">
      <c r="B111" s="38">
        <v>45565</v>
      </c>
      <c r="C111" s="39">
        <v>4737.55</v>
      </c>
      <c r="D111" s="43">
        <f t="shared" si="6"/>
        <v>-7.148736844168313E-2</v>
      </c>
      <c r="F111" s="47">
        <v>25014.6</v>
      </c>
      <c r="G111" s="43">
        <f t="shared" si="5"/>
        <v>-4.4476573735768743E-2</v>
      </c>
    </row>
    <row r="112" spans="2:7" x14ac:dyDescent="0.35">
      <c r="B112" s="38">
        <v>45572</v>
      </c>
      <c r="C112" s="39">
        <v>4465.45</v>
      </c>
      <c r="D112" s="43">
        <f t="shared" si="6"/>
        <v>-5.743475002902354E-2</v>
      </c>
      <c r="F112" s="47">
        <v>25013.15</v>
      </c>
      <c r="G112" s="43">
        <f t="shared" si="5"/>
        <v>-5.7966147769539234E-5</v>
      </c>
    </row>
    <row r="113" spans="2:7" x14ac:dyDescent="0.35">
      <c r="B113" s="38">
        <v>45574</v>
      </c>
      <c r="C113" s="39">
        <v>4645.3999999999996</v>
      </c>
      <c r="D113" s="43">
        <f t="shared" si="6"/>
        <v>4.0298290205914356E-2</v>
      </c>
      <c r="F113" s="47">
        <v>24981.95</v>
      </c>
      <c r="G113" s="43">
        <f t="shared" si="5"/>
        <v>-1.2473438971101203E-3</v>
      </c>
    </row>
  </sheetData>
  <mergeCells count="4">
    <mergeCell ref="B5:D5"/>
    <mergeCell ref="F5:G5"/>
    <mergeCell ref="I5:J5"/>
    <mergeCell ref="B3:D3"/>
  </mergeCells>
  <pageMargins left="0.7" right="0.7" top="0.75" bottom="0.75" header="0.3" footer="0.3"/>
  <pageSetup paperSize="9" scale="38" fitToHeight="0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EF3B-0A14-4A9D-818C-9A0B7C2E472C}">
  <dimension ref="B2:G7"/>
  <sheetViews>
    <sheetView showGridLines="0" workbookViewId="0">
      <selection activeCell="E3" sqref="E3"/>
    </sheetView>
  </sheetViews>
  <sheetFormatPr defaultRowHeight="14.5" x14ac:dyDescent="0.35"/>
  <cols>
    <col min="1" max="1" width="1.81640625" customWidth="1"/>
    <col min="3" max="3" width="17.36328125" bestFit="1" customWidth="1"/>
    <col min="4" max="4" width="7.81640625" bestFit="1" customWidth="1"/>
    <col min="5" max="5" width="13.7265625" bestFit="1" customWidth="1"/>
    <col min="6" max="6" width="10.08984375" bestFit="1" customWidth="1"/>
    <col min="7" max="7" width="8.6328125" bestFit="1" customWidth="1"/>
    <col min="17" max="17" width="17" bestFit="1" customWidth="1"/>
    <col min="18" max="18" width="7.81640625" bestFit="1" customWidth="1"/>
    <col min="19" max="19" width="13.7265625" bestFit="1" customWidth="1"/>
    <col min="20" max="20" width="10.08984375" bestFit="1" customWidth="1"/>
    <col min="21" max="21" width="8.6328125" bestFit="1" customWidth="1"/>
  </cols>
  <sheetData>
    <row r="2" spans="2:7" x14ac:dyDescent="0.35">
      <c r="B2" s="37" t="s">
        <v>78</v>
      </c>
      <c r="C2" t="s">
        <v>79</v>
      </c>
      <c r="D2" t="s">
        <v>80</v>
      </c>
      <c r="E2" t="s">
        <v>81</v>
      </c>
      <c r="F2" t="s">
        <v>82</v>
      </c>
      <c r="G2" t="s">
        <v>83</v>
      </c>
    </row>
    <row r="3" spans="2:7" x14ac:dyDescent="0.35">
      <c r="B3" s="37">
        <v>1</v>
      </c>
      <c r="C3" t="s">
        <v>86</v>
      </c>
      <c r="D3">
        <v>4645.3999999999996</v>
      </c>
      <c r="E3">
        <v>302291.53999999998</v>
      </c>
      <c r="F3">
        <v>592.16</v>
      </c>
      <c r="G3">
        <v>0.03</v>
      </c>
    </row>
    <row r="4" spans="2:7" x14ac:dyDescent="0.35">
      <c r="B4" s="37">
        <v>2</v>
      </c>
      <c r="C4" t="s">
        <v>84</v>
      </c>
      <c r="D4">
        <v>8220.85</v>
      </c>
      <c r="E4">
        <v>292240.90999999997</v>
      </c>
      <c r="F4">
        <v>1752.99</v>
      </c>
      <c r="G4">
        <v>0.43</v>
      </c>
    </row>
    <row r="5" spans="2:7" x14ac:dyDescent="0.35">
      <c r="B5" s="37">
        <v>3</v>
      </c>
      <c r="C5" t="s">
        <v>87</v>
      </c>
      <c r="D5">
        <v>341.2</v>
      </c>
      <c r="E5">
        <v>36547.120000000003</v>
      </c>
      <c r="F5">
        <v>9451.4</v>
      </c>
      <c r="G5">
        <v>2.34</v>
      </c>
    </row>
    <row r="6" spans="2:7" x14ac:dyDescent="0.35">
      <c r="B6" s="37">
        <v>4</v>
      </c>
      <c r="C6" t="s">
        <v>88</v>
      </c>
      <c r="D6">
        <v>641.35</v>
      </c>
      <c r="E6">
        <v>33297.879999999997</v>
      </c>
      <c r="F6">
        <v>1429.59</v>
      </c>
      <c r="G6">
        <v>0.45</v>
      </c>
    </row>
    <row r="7" spans="2:7" x14ac:dyDescent="0.35">
      <c r="B7" s="37">
        <v>5</v>
      </c>
      <c r="C7" t="s">
        <v>85</v>
      </c>
      <c r="D7">
        <v>792.85</v>
      </c>
      <c r="E7">
        <v>10957.34</v>
      </c>
      <c r="F7">
        <v>480.06</v>
      </c>
      <c r="G7">
        <v>0.74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1D57-C1AC-467A-BD83-B68DEB730689}">
  <dimension ref="B2:G28"/>
  <sheetViews>
    <sheetView showGridLines="0" workbookViewId="0">
      <selection activeCell="G7" sqref="G7"/>
    </sheetView>
  </sheetViews>
  <sheetFormatPr defaultRowHeight="14.5" x14ac:dyDescent="0.35"/>
  <cols>
    <col min="1" max="1" width="1.81640625" customWidth="1"/>
    <col min="5" max="5" width="9.08984375" customWidth="1"/>
  </cols>
  <sheetData>
    <row r="2" spans="2:7" x14ac:dyDescent="0.35">
      <c r="B2" s="69" t="s">
        <v>91</v>
      </c>
      <c r="C2" s="69"/>
    </row>
    <row r="4" spans="2:7" x14ac:dyDescent="0.35">
      <c r="B4" s="1" t="s">
        <v>89</v>
      </c>
      <c r="C4" s="53" t="s">
        <v>90</v>
      </c>
    </row>
    <row r="5" spans="2:7" x14ac:dyDescent="0.35">
      <c r="B5" s="37">
        <v>2000</v>
      </c>
      <c r="C5" s="52">
        <v>-0.14649999999999999</v>
      </c>
      <c r="E5" t="s">
        <v>92</v>
      </c>
      <c r="G5" s="21">
        <f>AVERAGE(C5:C28)</f>
        <v>0.15609166666666666</v>
      </c>
    </row>
    <row r="6" spans="2:7" x14ac:dyDescent="0.35">
      <c r="B6" s="37">
        <v>2001</v>
      </c>
      <c r="C6" s="52">
        <v>-0.1618</v>
      </c>
      <c r="E6" t="s">
        <v>93</v>
      </c>
      <c r="G6" s="9">
        <v>1.2500000000000001E-2</v>
      </c>
    </row>
    <row r="7" spans="2:7" x14ac:dyDescent="0.35">
      <c r="B7" s="37">
        <v>2002</v>
      </c>
      <c r="C7" s="52">
        <v>3.2500000000000001E-2</v>
      </c>
      <c r="E7" s="54" t="s">
        <v>94</v>
      </c>
      <c r="F7" s="54"/>
      <c r="G7" s="55">
        <f>SUM(G5:G6)</f>
        <v>0.16859166666666667</v>
      </c>
    </row>
    <row r="8" spans="2:7" x14ac:dyDescent="0.35">
      <c r="B8" s="37">
        <v>2003</v>
      </c>
      <c r="C8" s="52">
        <v>0.71900000000000008</v>
      </c>
    </row>
    <row r="9" spans="2:7" x14ac:dyDescent="0.35">
      <c r="B9" s="37">
        <v>2004</v>
      </c>
      <c r="C9" s="52">
        <v>0.10679999999999999</v>
      </c>
    </row>
    <row r="10" spans="2:7" x14ac:dyDescent="0.35">
      <c r="B10" s="37">
        <v>2005</v>
      </c>
      <c r="C10" s="52">
        <v>0.36340000000000006</v>
      </c>
    </row>
    <row r="11" spans="2:7" x14ac:dyDescent="0.35">
      <c r="B11" s="37">
        <v>2006</v>
      </c>
      <c r="C11" s="52">
        <v>0.39829999999999999</v>
      </c>
    </row>
    <row r="12" spans="2:7" x14ac:dyDescent="0.35">
      <c r="B12" s="37">
        <v>2007</v>
      </c>
      <c r="C12" s="52">
        <v>0.54770000000000008</v>
      </c>
    </row>
    <row r="13" spans="2:7" x14ac:dyDescent="0.35">
      <c r="B13" s="37">
        <v>2008</v>
      </c>
      <c r="C13" s="52">
        <v>-0.51790000000000003</v>
      </c>
    </row>
    <row r="14" spans="2:7" x14ac:dyDescent="0.35">
      <c r="B14" s="37">
        <v>2009</v>
      </c>
      <c r="C14" s="52">
        <v>0.75760000000000005</v>
      </c>
    </row>
    <row r="15" spans="2:7" x14ac:dyDescent="0.35">
      <c r="B15" s="37">
        <v>2010</v>
      </c>
      <c r="C15" s="52">
        <v>0.17949999999999999</v>
      </c>
    </row>
    <row r="16" spans="2:7" x14ac:dyDescent="0.35">
      <c r="B16" s="37">
        <v>2011</v>
      </c>
      <c r="C16" s="52">
        <v>-0.2462</v>
      </c>
    </row>
    <row r="17" spans="2:3" x14ac:dyDescent="0.35">
      <c r="B17" s="37">
        <v>2012</v>
      </c>
      <c r="C17" s="52">
        <v>0.27699999999999997</v>
      </c>
    </row>
    <row r="18" spans="2:3" x14ac:dyDescent="0.35">
      <c r="B18" s="37">
        <v>2013</v>
      </c>
      <c r="C18" s="52">
        <v>6.7599999999999993E-2</v>
      </c>
    </row>
    <row r="19" spans="2:3" x14ac:dyDescent="0.35">
      <c r="B19" s="37">
        <v>2014</v>
      </c>
      <c r="C19" s="52">
        <v>0.31390000000000001</v>
      </c>
    </row>
    <row r="20" spans="2:3" x14ac:dyDescent="0.35">
      <c r="B20" s="37">
        <v>2015</v>
      </c>
      <c r="C20" s="52">
        <v>-4.0599999999999997E-2</v>
      </c>
    </row>
    <row r="21" spans="2:3" x14ac:dyDescent="0.35">
      <c r="B21" s="37">
        <v>2016</v>
      </c>
      <c r="C21" s="52">
        <v>3.0099999999999998E-2</v>
      </c>
    </row>
    <row r="22" spans="2:3" x14ac:dyDescent="0.35">
      <c r="B22" s="37">
        <v>2017</v>
      </c>
      <c r="C22" s="52">
        <v>0.28649999999999998</v>
      </c>
    </row>
    <row r="23" spans="2:3" x14ac:dyDescent="0.35">
      <c r="B23" s="37">
        <v>2018</v>
      </c>
      <c r="C23" s="52">
        <v>3.15E-2</v>
      </c>
    </row>
    <row r="24" spans="2:3" x14ac:dyDescent="0.35">
      <c r="B24" s="37">
        <v>2019</v>
      </c>
      <c r="C24" s="52">
        <v>0.1202</v>
      </c>
    </row>
    <row r="25" spans="2:3" x14ac:dyDescent="0.35">
      <c r="B25" s="37">
        <v>2020</v>
      </c>
      <c r="C25" s="52">
        <v>0.14899999999999999</v>
      </c>
    </row>
    <row r="26" spans="2:3" x14ac:dyDescent="0.35">
      <c r="B26" s="37">
        <v>2021</v>
      </c>
      <c r="C26" s="52">
        <v>0.2412</v>
      </c>
    </row>
    <row r="27" spans="2:3" x14ac:dyDescent="0.35">
      <c r="B27" s="37">
        <v>2022</v>
      </c>
      <c r="C27" s="52">
        <v>4.3200000000000002E-2</v>
      </c>
    </row>
    <row r="28" spans="2:3" x14ac:dyDescent="0.35">
      <c r="B28" s="37">
        <v>2023</v>
      </c>
      <c r="C28" s="52">
        <v>0.19420000000000001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DCF&gt;</vt:lpstr>
      <vt:lpstr>WACC</vt:lpstr>
      <vt:lpstr>Data&gt;</vt:lpstr>
      <vt:lpstr>Beta - Regression</vt:lpstr>
      <vt:lpstr>Beta Comps</vt:lpstr>
      <vt:lpstr>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Kavan Shah</dc:creator>
  <cp:lastModifiedBy>Shah K (FCI)</cp:lastModifiedBy>
  <cp:lastPrinted>2024-10-13T01:42:08Z</cp:lastPrinted>
  <dcterms:created xsi:type="dcterms:W3CDTF">2015-06-05T18:17:20Z</dcterms:created>
  <dcterms:modified xsi:type="dcterms:W3CDTF">2024-10-20T23:02:56Z</dcterms:modified>
</cp:coreProperties>
</file>