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The Valuation School Projects\Posted\Asian Paints Growth Rate\"/>
    </mc:Choice>
  </mc:AlternateContent>
  <xr:revisionPtr revIDLastSave="0" documentId="13_ncr:1_{893DBAFF-20A5-4EA0-BDD8-D8B78F644632}" xr6:coauthVersionLast="47" xr6:coauthVersionMax="47" xr10:uidLastSave="{00000000-0000-0000-0000-000000000000}"/>
  <bookViews>
    <workbookView xWindow="-110" yWindow="-110" windowWidth="19420" windowHeight="10300" tabRatio="678" firstSheet="2" activeTab="3" xr2:uid="{00000000-000D-0000-FFFF-FFFF00000000}"/>
  </bookViews>
  <sheets>
    <sheet name="Guide" sheetId="8" r:id="rId1"/>
    <sheet name="Financials&gt;" sheetId="1" r:id="rId2"/>
    <sheet name="HistoricalFS" sheetId="3" r:id="rId3"/>
    <sheet name="Intrinsic Growth" sheetId="11" r:id="rId4"/>
    <sheet name="Data Room&gt;" sheetId="4" r:id="rId5"/>
    <sheet name="Raw FS" sheetId="9" r:id="rId6"/>
    <sheet name="Data Sheet" sheetId="2" r:id="rId7"/>
    <sheet name="Cash Flow Data" sheetId="5" r:id="rId8"/>
  </sheets>
  <definedNames>
    <definedName name="UPDATE">'Data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1" l="1"/>
  <c r="H46" i="11" s="1"/>
  <c r="I46" i="11" s="1"/>
  <c r="J46" i="11" s="1"/>
  <c r="J56" i="11"/>
  <c r="I56" i="11"/>
  <c r="H56" i="11"/>
  <c r="G56" i="11"/>
  <c r="F56" i="11"/>
  <c r="G42" i="11"/>
  <c r="H42" i="11"/>
  <c r="I42" i="11"/>
  <c r="J42" i="11"/>
  <c r="F42" i="11"/>
  <c r="F40" i="11"/>
  <c r="J40" i="11"/>
  <c r="I40" i="11"/>
  <c r="H40" i="11"/>
  <c r="G40" i="11"/>
  <c r="J3" i="11"/>
  <c r="I3" i="11"/>
  <c r="H3" i="11"/>
  <c r="G3" i="11"/>
  <c r="F3" i="11"/>
  <c r="J35" i="11"/>
  <c r="J45" i="11" s="1"/>
  <c r="I35" i="11"/>
  <c r="I45" i="11" s="1"/>
  <c r="H35" i="11"/>
  <c r="H45" i="11" s="1"/>
  <c r="G35" i="11"/>
  <c r="G45" i="11" s="1"/>
  <c r="G47" i="11" s="1"/>
  <c r="F35" i="11"/>
  <c r="F45" i="11" s="1"/>
  <c r="F47" i="11" s="1"/>
  <c r="J31" i="11"/>
  <c r="I31" i="11"/>
  <c r="H31" i="11"/>
  <c r="G31" i="11"/>
  <c r="F31" i="11"/>
  <c r="J28" i="11"/>
  <c r="I28" i="11"/>
  <c r="H28" i="11"/>
  <c r="G28" i="11"/>
  <c r="F28" i="11"/>
  <c r="J27" i="11"/>
  <c r="I27" i="11"/>
  <c r="H27" i="11"/>
  <c r="G27" i="11"/>
  <c r="F27" i="11"/>
  <c r="J26" i="11"/>
  <c r="I26" i="11"/>
  <c r="H26" i="11"/>
  <c r="G26" i="11"/>
  <c r="F26" i="11"/>
  <c r="J25" i="11"/>
  <c r="I25" i="11"/>
  <c r="H25" i="11"/>
  <c r="G25" i="11"/>
  <c r="F25" i="11"/>
  <c r="J24" i="11"/>
  <c r="I24" i="11"/>
  <c r="H24" i="11"/>
  <c r="G24" i="11"/>
  <c r="F24" i="11"/>
  <c r="J23" i="11"/>
  <c r="I23" i="11"/>
  <c r="H23" i="11"/>
  <c r="G23" i="11"/>
  <c r="F23" i="11"/>
  <c r="J22" i="11"/>
  <c r="I22" i="11"/>
  <c r="H22" i="11"/>
  <c r="G22" i="11"/>
  <c r="F22" i="11"/>
  <c r="J21" i="11"/>
  <c r="I21" i="11"/>
  <c r="H21" i="11"/>
  <c r="G21" i="11"/>
  <c r="F21" i="11"/>
  <c r="B27" i="11"/>
  <c r="B28" i="11"/>
  <c r="B22" i="11"/>
  <c r="B23" i="11"/>
  <c r="B24" i="11"/>
  <c r="B25" i="11"/>
  <c r="B26" i="11"/>
  <c r="B21" i="11"/>
  <c r="J15" i="11"/>
  <c r="I15" i="11"/>
  <c r="H15" i="11"/>
  <c r="G15" i="11"/>
  <c r="F15" i="11"/>
  <c r="J14" i="11"/>
  <c r="I14" i="11"/>
  <c r="H14" i="11"/>
  <c r="G14" i="11"/>
  <c r="F14" i="11"/>
  <c r="B15" i="11"/>
  <c r="B14" i="11"/>
  <c r="J13" i="11"/>
  <c r="I13" i="11"/>
  <c r="H13" i="11"/>
  <c r="G13" i="11"/>
  <c r="F13" i="11"/>
  <c r="B13" i="11"/>
  <c r="J9" i="11"/>
  <c r="I9" i="11"/>
  <c r="H9" i="11"/>
  <c r="G9" i="11"/>
  <c r="F9" i="11"/>
  <c r="J8" i="11"/>
  <c r="I8" i="11"/>
  <c r="H8" i="11"/>
  <c r="G8" i="11"/>
  <c r="F8" i="11"/>
  <c r="J7" i="11"/>
  <c r="I7" i="11"/>
  <c r="H7" i="11"/>
  <c r="G7" i="11"/>
  <c r="F7" i="11"/>
  <c r="J6" i="11"/>
  <c r="I6" i="11"/>
  <c r="H6" i="11"/>
  <c r="G6" i="11"/>
  <c r="F6" i="11"/>
  <c r="B9" i="11"/>
  <c r="B8" i="11"/>
  <c r="B7" i="11"/>
  <c r="B6" i="11"/>
  <c r="N29" i="9"/>
  <c r="M29" i="9"/>
  <c r="L29" i="9"/>
  <c r="K29" i="9"/>
  <c r="J29" i="9"/>
  <c r="I29" i="9"/>
  <c r="H29" i="9"/>
  <c r="G29" i="9"/>
  <c r="F29" i="9"/>
  <c r="E29" i="9"/>
  <c r="D29" i="9"/>
  <c r="C29" i="9"/>
  <c r="L105" i="3"/>
  <c r="K105" i="3"/>
  <c r="J105" i="3"/>
  <c r="I105" i="3"/>
  <c r="H105" i="3"/>
  <c r="G105" i="3"/>
  <c r="F105" i="3"/>
  <c r="E105" i="3"/>
  <c r="D105" i="3"/>
  <c r="C105" i="3"/>
  <c r="L104" i="3"/>
  <c r="K104" i="3"/>
  <c r="J104" i="3"/>
  <c r="I104" i="3"/>
  <c r="H104" i="3"/>
  <c r="G104" i="3"/>
  <c r="F104" i="3"/>
  <c r="E104" i="3"/>
  <c r="D104" i="3"/>
  <c r="C104" i="3"/>
  <c r="L103" i="3"/>
  <c r="K103" i="3"/>
  <c r="J103" i="3"/>
  <c r="I103" i="3"/>
  <c r="H103" i="3"/>
  <c r="G103" i="3"/>
  <c r="F103" i="3"/>
  <c r="E103" i="3"/>
  <c r="D103" i="3"/>
  <c r="C103" i="3"/>
  <c r="L102" i="3"/>
  <c r="K102" i="3"/>
  <c r="J102" i="3"/>
  <c r="I102" i="3"/>
  <c r="H102" i="3"/>
  <c r="G102" i="3"/>
  <c r="F102" i="3"/>
  <c r="E102" i="3"/>
  <c r="D102" i="3"/>
  <c r="C102" i="3"/>
  <c r="L101" i="3"/>
  <c r="K101" i="3"/>
  <c r="J101" i="3"/>
  <c r="I101" i="3"/>
  <c r="H101" i="3"/>
  <c r="G101" i="3"/>
  <c r="F101" i="3"/>
  <c r="E101" i="3"/>
  <c r="D101" i="3"/>
  <c r="C101" i="3"/>
  <c r="L100" i="3"/>
  <c r="K100" i="3"/>
  <c r="J100" i="3"/>
  <c r="I100" i="3"/>
  <c r="H100" i="3"/>
  <c r="G100" i="3"/>
  <c r="F100" i="3"/>
  <c r="E100" i="3"/>
  <c r="D100" i="3"/>
  <c r="C100" i="3"/>
  <c r="L99" i="3"/>
  <c r="K99" i="3"/>
  <c r="J99" i="3"/>
  <c r="I99" i="3"/>
  <c r="H99" i="3"/>
  <c r="G99" i="3"/>
  <c r="F99" i="3"/>
  <c r="E99" i="3"/>
  <c r="D99" i="3"/>
  <c r="C99" i="3"/>
  <c r="L98" i="3"/>
  <c r="L106" i="3" s="1"/>
  <c r="K98" i="3"/>
  <c r="K106" i="3" s="1"/>
  <c r="J98" i="3"/>
  <c r="J106" i="3" s="1"/>
  <c r="I98" i="3"/>
  <c r="I106" i="3" s="1"/>
  <c r="H98" i="3"/>
  <c r="H106" i="3" s="1"/>
  <c r="G98" i="3"/>
  <c r="G106" i="3" s="1"/>
  <c r="F98" i="3"/>
  <c r="F106" i="3" s="1"/>
  <c r="E98" i="3"/>
  <c r="E106" i="3" s="1"/>
  <c r="D98" i="3"/>
  <c r="D106" i="3" s="1"/>
  <c r="C98" i="3"/>
  <c r="C106" i="3" s="1"/>
  <c r="L94" i="3"/>
  <c r="K94" i="3"/>
  <c r="J94" i="3"/>
  <c r="I94" i="3"/>
  <c r="H94" i="3"/>
  <c r="G94" i="3"/>
  <c r="F94" i="3"/>
  <c r="E94" i="3"/>
  <c r="D94" i="3"/>
  <c r="C94" i="3"/>
  <c r="L93" i="3"/>
  <c r="K93" i="3"/>
  <c r="J93" i="3"/>
  <c r="I93" i="3"/>
  <c r="H93" i="3"/>
  <c r="G93" i="3"/>
  <c r="F93" i="3"/>
  <c r="E93" i="3"/>
  <c r="D93" i="3"/>
  <c r="C93" i="3"/>
  <c r="L92" i="3"/>
  <c r="K92" i="3"/>
  <c r="J92" i="3"/>
  <c r="I92" i="3"/>
  <c r="H92" i="3"/>
  <c r="G92" i="3"/>
  <c r="F92" i="3"/>
  <c r="E92" i="3"/>
  <c r="D92" i="3"/>
  <c r="C92" i="3"/>
  <c r="L91" i="3"/>
  <c r="K91" i="3"/>
  <c r="J91" i="3"/>
  <c r="I91" i="3"/>
  <c r="H91" i="3"/>
  <c r="G91" i="3"/>
  <c r="F91" i="3"/>
  <c r="E91" i="3"/>
  <c r="D91" i="3"/>
  <c r="C91" i="3"/>
  <c r="L90" i="3"/>
  <c r="K90" i="3"/>
  <c r="J90" i="3"/>
  <c r="I90" i="3"/>
  <c r="H90" i="3"/>
  <c r="G90" i="3"/>
  <c r="F90" i="3"/>
  <c r="E90" i="3"/>
  <c r="D90" i="3"/>
  <c r="C90" i="3"/>
  <c r="L89" i="3"/>
  <c r="K89" i="3"/>
  <c r="J89" i="3"/>
  <c r="I89" i="3"/>
  <c r="H89" i="3"/>
  <c r="G89" i="3"/>
  <c r="F89" i="3"/>
  <c r="E89" i="3"/>
  <c r="D89" i="3"/>
  <c r="C89" i="3"/>
  <c r="L88" i="3"/>
  <c r="K88" i="3"/>
  <c r="J88" i="3"/>
  <c r="I88" i="3"/>
  <c r="H88" i="3"/>
  <c r="G88" i="3"/>
  <c r="F88" i="3"/>
  <c r="E88" i="3"/>
  <c r="D88" i="3"/>
  <c r="C88" i="3"/>
  <c r="L87" i="3"/>
  <c r="K87" i="3"/>
  <c r="J87" i="3"/>
  <c r="I87" i="3"/>
  <c r="H87" i="3"/>
  <c r="G87" i="3"/>
  <c r="F87" i="3"/>
  <c r="E87" i="3"/>
  <c r="D87" i="3"/>
  <c r="C87" i="3"/>
  <c r="L86" i="3"/>
  <c r="K86" i="3"/>
  <c r="J86" i="3"/>
  <c r="I86" i="3"/>
  <c r="H86" i="3"/>
  <c r="G86" i="3"/>
  <c r="F86" i="3"/>
  <c r="E86" i="3"/>
  <c r="D86" i="3"/>
  <c r="C86" i="3"/>
  <c r="L85" i="3"/>
  <c r="L95" i="3" s="1"/>
  <c r="K85" i="3"/>
  <c r="K95" i="3" s="1"/>
  <c r="J85" i="3"/>
  <c r="I85" i="3"/>
  <c r="H85" i="3"/>
  <c r="H95" i="3" s="1"/>
  <c r="G85" i="3"/>
  <c r="G95" i="3" s="1"/>
  <c r="F85" i="3"/>
  <c r="E85" i="3"/>
  <c r="D85" i="3"/>
  <c r="D95" i="3" s="1"/>
  <c r="C85" i="3"/>
  <c r="C95" i="3" s="1"/>
  <c r="L84" i="3"/>
  <c r="K84" i="3"/>
  <c r="J84" i="3"/>
  <c r="J95" i="3" s="1"/>
  <c r="I84" i="3"/>
  <c r="I95" i="3" s="1"/>
  <c r="H84" i="3"/>
  <c r="G84" i="3"/>
  <c r="F84" i="3"/>
  <c r="F95" i="3" s="1"/>
  <c r="E84" i="3"/>
  <c r="E95" i="3" s="1"/>
  <c r="D84" i="3"/>
  <c r="C84" i="3"/>
  <c r="L80" i="3"/>
  <c r="K80" i="3"/>
  <c r="J80" i="3"/>
  <c r="I80" i="3"/>
  <c r="H80" i="3"/>
  <c r="G80" i="3"/>
  <c r="F80" i="3"/>
  <c r="E80" i="3"/>
  <c r="D80" i="3"/>
  <c r="C80" i="3"/>
  <c r="L79" i="3"/>
  <c r="K79" i="3"/>
  <c r="J79" i="3"/>
  <c r="I79" i="3"/>
  <c r="H79" i="3"/>
  <c r="G79" i="3"/>
  <c r="F79" i="3"/>
  <c r="E79" i="3"/>
  <c r="D79" i="3"/>
  <c r="C79" i="3"/>
  <c r="L78" i="3"/>
  <c r="K78" i="3"/>
  <c r="J78" i="3"/>
  <c r="I78" i="3"/>
  <c r="H78" i="3"/>
  <c r="G78" i="3"/>
  <c r="F78" i="3"/>
  <c r="E78" i="3"/>
  <c r="D78" i="3"/>
  <c r="C78" i="3"/>
  <c r="L77" i="3"/>
  <c r="K77" i="3"/>
  <c r="J77" i="3"/>
  <c r="I77" i="3"/>
  <c r="H77" i="3"/>
  <c r="G77" i="3"/>
  <c r="F77" i="3"/>
  <c r="E77" i="3"/>
  <c r="D77" i="3"/>
  <c r="C77" i="3"/>
  <c r="L76" i="3"/>
  <c r="K76" i="3"/>
  <c r="J76" i="3"/>
  <c r="I76" i="3"/>
  <c r="H76" i="3"/>
  <c r="G76" i="3"/>
  <c r="F76" i="3"/>
  <c r="E76" i="3"/>
  <c r="D76" i="3"/>
  <c r="C76" i="3"/>
  <c r="L75" i="3"/>
  <c r="K75" i="3"/>
  <c r="J75" i="3"/>
  <c r="I75" i="3"/>
  <c r="H75" i="3"/>
  <c r="G75" i="3"/>
  <c r="F75" i="3"/>
  <c r="E75" i="3"/>
  <c r="D75" i="3"/>
  <c r="C75" i="3"/>
  <c r="L74" i="3"/>
  <c r="K74" i="3"/>
  <c r="J74" i="3"/>
  <c r="I74" i="3"/>
  <c r="H74" i="3"/>
  <c r="G74" i="3"/>
  <c r="F74" i="3"/>
  <c r="E74" i="3"/>
  <c r="D74" i="3"/>
  <c r="C74" i="3"/>
  <c r="L73" i="3"/>
  <c r="L81" i="3" s="1"/>
  <c r="K73" i="3"/>
  <c r="K81" i="3" s="1"/>
  <c r="J73" i="3"/>
  <c r="J81" i="3" s="1"/>
  <c r="I73" i="3"/>
  <c r="I81" i="3" s="1"/>
  <c r="H73" i="3"/>
  <c r="H81" i="3" s="1"/>
  <c r="G73" i="3"/>
  <c r="G81" i="3" s="1"/>
  <c r="F73" i="3"/>
  <c r="F81" i="3" s="1"/>
  <c r="E73" i="3"/>
  <c r="E81" i="3" s="1"/>
  <c r="D73" i="3"/>
  <c r="D81" i="3" s="1"/>
  <c r="C73" i="3"/>
  <c r="C81" i="3" s="1"/>
  <c r="L59" i="3"/>
  <c r="K59" i="3"/>
  <c r="J59" i="3"/>
  <c r="I59" i="3"/>
  <c r="H59" i="3"/>
  <c r="G59" i="3"/>
  <c r="F59" i="3"/>
  <c r="E59" i="3"/>
  <c r="D59" i="3"/>
  <c r="C59" i="3"/>
  <c r="L64" i="3"/>
  <c r="K64" i="3"/>
  <c r="J64" i="3"/>
  <c r="I64" i="3"/>
  <c r="H64" i="3"/>
  <c r="G64" i="3"/>
  <c r="F64" i="3"/>
  <c r="E64" i="3"/>
  <c r="D64" i="3"/>
  <c r="C64" i="3"/>
  <c r="L63" i="3"/>
  <c r="L65" i="3" s="1"/>
  <c r="K63" i="3"/>
  <c r="K65" i="3" s="1"/>
  <c r="J63" i="3"/>
  <c r="I63" i="3"/>
  <c r="H63" i="3"/>
  <c r="H65" i="3" s="1"/>
  <c r="G63" i="3"/>
  <c r="G65" i="3" s="1"/>
  <c r="F63" i="3"/>
  <c r="E63" i="3"/>
  <c r="D63" i="3"/>
  <c r="D65" i="3" s="1"/>
  <c r="C63" i="3"/>
  <c r="C65" i="3" s="1"/>
  <c r="L62" i="3"/>
  <c r="K62" i="3"/>
  <c r="J62" i="3"/>
  <c r="J65" i="3" s="1"/>
  <c r="J67" i="3" s="1"/>
  <c r="J69" i="3" s="1"/>
  <c r="I62" i="3"/>
  <c r="I65" i="3" s="1"/>
  <c r="H62" i="3"/>
  <c r="G62" i="3"/>
  <c r="F62" i="3"/>
  <c r="F65" i="3" s="1"/>
  <c r="F67" i="3" s="1"/>
  <c r="F69" i="3" s="1"/>
  <c r="E62" i="3"/>
  <c r="E65" i="3" s="1"/>
  <c r="D62" i="3"/>
  <c r="C62" i="3"/>
  <c r="L58" i="3"/>
  <c r="K58" i="3"/>
  <c r="J58" i="3"/>
  <c r="I58" i="3"/>
  <c r="H58" i="3"/>
  <c r="G58" i="3"/>
  <c r="F58" i="3"/>
  <c r="E58" i="3"/>
  <c r="D58" i="3"/>
  <c r="C58" i="3"/>
  <c r="L57" i="3"/>
  <c r="K57" i="3"/>
  <c r="J57" i="3"/>
  <c r="I57" i="3"/>
  <c r="H57" i="3"/>
  <c r="G57" i="3"/>
  <c r="F57" i="3"/>
  <c r="E57" i="3"/>
  <c r="D57" i="3"/>
  <c r="C57" i="3"/>
  <c r="L56" i="3"/>
  <c r="L60" i="3" s="1"/>
  <c r="K56" i="3"/>
  <c r="K60" i="3" s="1"/>
  <c r="J56" i="3"/>
  <c r="J60" i="3" s="1"/>
  <c r="I56" i="3"/>
  <c r="I60" i="3" s="1"/>
  <c r="H56" i="3"/>
  <c r="H60" i="3" s="1"/>
  <c r="G56" i="3"/>
  <c r="G60" i="3" s="1"/>
  <c r="F56" i="3"/>
  <c r="F60" i="3" s="1"/>
  <c r="E56" i="3"/>
  <c r="E60" i="3" s="1"/>
  <c r="D56" i="3"/>
  <c r="D60" i="3" s="1"/>
  <c r="C56" i="3"/>
  <c r="C60" i="3" s="1"/>
  <c r="L54" i="3"/>
  <c r="K54" i="3"/>
  <c r="J54" i="3"/>
  <c r="I54" i="3"/>
  <c r="H54" i="3"/>
  <c r="G54" i="3"/>
  <c r="F54" i="3"/>
  <c r="E54" i="3"/>
  <c r="D54" i="3"/>
  <c r="C54" i="3"/>
  <c r="L53" i="3"/>
  <c r="K53" i="3"/>
  <c r="J53" i="3"/>
  <c r="I53" i="3"/>
  <c r="H53" i="3"/>
  <c r="G53" i="3"/>
  <c r="F53" i="3"/>
  <c r="E53" i="3"/>
  <c r="D53" i="3"/>
  <c r="C53" i="3"/>
  <c r="L52" i="3"/>
  <c r="K52" i="3"/>
  <c r="J52" i="3"/>
  <c r="I52" i="3"/>
  <c r="H52" i="3"/>
  <c r="G52" i="3"/>
  <c r="F52" i="3"/>
  <c r="E52" i="3"/>
  <c r="D52" i="3"/>
  <c r="C52" i="3"/>
  <c r="L51" i="3"/>
  <c r="K51" i="3"/>
  <c r="J51" i="3"/>
  <c r="I51" i="3"/>
  <c r="H51" i="3"/>
  <c r="G51" i="3"/>
  <c r="F51" i="3"/>
  <c r="E51" i="3"/>
  <c r="D51" i="3"/>
  <c r="C51" i="3"/>
  <c r="L50" i="3"/>
  <c r="K50" i="3"/>
  <c r="J50" i="3"/>
  <c r="I50" i="3"/>
  <c r="H50" i="3"/>
  <c r="G50" i="3"/>
  <c r="F50" i="3"/>
  <c r="E50" i="3"/>
  <c r="D50" i="3"/>
  <c r="C50" i="3"/>
  <c r="M38" i="3"/>
  <c r="M43" i="3" s="1"/>
  <c r="L38" i="3"/>
  <c r="L43" i="3" s="1"/>
  <c r="K38" i="3"/>
  <c r="K43" i="3" s="1"/>
  <c r="J38" i="3"/>
  <c r="J43" i="3" s="1"/>
  <c r="I38" i="3"/>
  <c r="I43" i="3" s="1"/>
  <c r="H38" i="3"/>
  <c r="H43" i="3" s="1"/>
  <c r="G38" i="3"/>
  <c r="G43" i="3" s="1"/>
  <c r="F38" i="3"/>
  <c r="F43" i="3" s="1"/>
  <c r="E38" i="3"/>
  <c r="E43" i="3" s="1"/>
  <c r="D38" i="3"/>
  <c r="D43" i="3" s="1"/>
  <c r="C38" i="3"/>
  <c r="C43" i="3" s="1"/>
  <c r="L32" i="3"/>
  <c r="K32" i="3"/>
  <c r="J32" i="3"/>
  <c r="I32" i="3"/>
  <c r="H32" i="3"/>
  <c r="G32" i="3"/>
  <c r="F32" i="3"/>
  <c r="E32" i="3"/>
  <c r="D32" i="3"/>
  <c r="C32" i="3"/>
  <c r="M32" i="3"/>
  <c r="M26" i="3"/>
  <c r="D26" i="3"/>
  <c r="E26" i="3"/>
  <c r="F26" i="3"/>
  <c r="G26" i="3"/>
  <c r="H26" i="3"/>
  <c r="I26" i="3"/>
  <c r="J26" i="3"/>
  <c r="K26" i="3"/>
  <c r="L26" i="3"/>
  <c r="C26" i="3"/>
  <c r="M23" i="3"/>
  <c r="D23" i="3"/>
  <c r="E23" i="3"/>
  <c r="F23" i="3"/>
  <c r="G23" i="3"/>
  <c r="H23" i="3"/>
  <c r="I23" i="3"/>
  <c r="J23" i="3"/>
  <c r="K23" i="3"/>
  <c r="L23" i="3"/>
  <c r="C23" i="3"/>
  <c r="D17" i="3"/>
  <c r="E17" i="3"/>
  <c r="F17" i="3"/>
  <c r="G17" i="3"/>
  <c r="H17" i="3"/>
  <c r="I17" i="3"/>
  <c r="J17" i="3"/>
  <c r="K17" i="3"/>
  <c r="L17" i="3"/>
  <c r="C17" i="3"/>
  <c r="M11" i="3"/>
  <c r="D11" i="3"/>
  <c r="E11" i="3"/>
  <c r="F11" i="3"/>
  <c r="G11" i="3"/>
  <c r="H11" i="3"/>
  <c r="I11" i="3"/>
  <c r="J11" i="3"/>
  <c r="K11" i="3"/>
  <c r="L11" i="3"/>
  <c r="C8" i="3"/>
  <c r="C11" i="3"/>
  <c r="M8" i="3"/>
  <c r="M21" i="3" s="1"/>
  <c r="D8" i="3"/>
  <c r="E8" i="3"/>
  <c r="F8" i="3"/>
  <c r="G8" i="3"/>
  <c r="H8" i="3"/>
  <c r="I8" i="3"/>
  <c r="J8" i="3"/>
  <c r="K8" i="3"/>
  <c r="L8" i="3"/>
  <c r="D4" i="3"/>
  <c r="E4" i="3"/>
  <c r="F4" i="3"/>
  <c r="G4" i="3"/>
  <c r="H4" i="3"/>
  <c r="I4" i="3"/>
  <c r="J4" i="3"/>
  <c r="K4" i="3"/>
  <c r="L4" i="3"/>
  <c r="C4" i="3"/>
  <c r="B3" i="3"/>
  <c r="E1" i="2"/>
  <c r="B6" i="2"/>
  <c r="H47" i="11" l="1"/>
  <c r="I47" i="11"/>
  <c r="J47" i="11"/>
  <c r="H30" i="11"/>
  <c r="H32" i="11" s="1"/>
  <c r="I30" i="11"/>
  <c r="I32" i="11" s="1"/>
  <c r="F30" i="11"/>
  <c r="F32" i="11" s="1"/>
  <c r="J30" i="11"/>
  <c r="J32" i="11" s="1"/>
  <c r="G30" i="11"/>
  <c r="G32" i="11" s="1"/>
  <c r="I16" i="11"/>
  <c r="G16" i="11"/>
  <c r="F16" i="11"/>
  <c r="J16" i="11"/>
  <c r="I10" i="11"/>
  <c r="I18" i="11" s="1"/>
  <c r="I34" i="11" s="1"/>
  <c r="I37" i="11" s="1"/>
  <c r="I59" i="11" s="1"/>
  <c r="H16" i="11"/>
  <c r="J10" i="11"/>
  <c r="G10" i="11"/>
  <c r="F10" i="11"/>
  <c r="H10" i="11"/>
  <c r="H67" i="3"/>
  <c r="H69" i="3" s="1"/>
  <c r="D108" i="3"/>
  <c r="H108" i="3"/>
  <c r="L108" i="3"/>
  <c r="C67" i="3"/>
  <c r="C69" i="3" s="1"/>
  <c r="G67" i="3"/>
  <c r="G69" i="3" s="1"/>
  <c r="K67" i="3"/>
  <c r="K69" i="3" s="1"/>
  <c r="E108" i="3"/>
  <c r="I108" i="3"/>
  <c r="D67" i="3"/>
  <c r="D69" i="3" s="1"/>
  <c r="L67" i="3"/>
  <c r="L69" i="3" s="1"/>
  <c r="F108" i="3"/>
  <c r="J108" i="3"/>
  <c r="E67" i="3"/>
  <c r="E69" i="3" s="1"/>
  <c r="I67" i="3"/>
  <c r="I69" i="3" s="1"/>
  <c r="C108" i="3"/>
  <c r="G108" i="3"/>
  <c r="K108" i="3"/>
  <c r="I12" i="3"/>
  <c r="H14" i="3"/>
  <c r="D14" i="3"/>
  <c r="E12" i="3"/>
  <c r="K27" i="3"/>
  <c r="G27" i="3"/>
  <c r="E27" i="3"/>
  <c r="M27" i="3"/>
  <c r="I27" i="3"/>
  <c r="J27" i="3"/>
  <c r="F27" i="3"/>
  <c r="C27" i="3"/>
  <c r="L27" i="3"/>
  <c r="H27" i="3"/>
  <c r="D27" i="3"/>
  <c r="D20" i="3"/>
  <c r="H20" i="3"/>
  <c r="L24" i="3"/>
  <c r="H24" i="3"/>
  <c r="D24" i="3"/>
  <c r="D29" i="3"/>
  <c r="D15" i="3"/>
  <c r="H15" i="3"/>
  <c r="M29" i="3"/>
  <c r="K24" i="3"/>
  <c r="J24" i="3"/>
  <c r="F24" i="3"/>
  <c r="G24" i="3"/>
  <c r="C24" i="3"/>
  <c r="I24" i="3"/>
  <c r="E24" i="3"/>
  <c r="M24" i="3"/>
  <c r="C12" i="3"/>
  <c r="G14" i="3"/>
  <c r="G15" i="3" s="1"/>
  <c r="J12" i="3"/>
  <c r="F12" i="3"/>
  <c r="H12" i="3"/>
  <c r="M14" i="3"/>
  <c r="M15" i="3" s="1"/>
  <c r="L12" i="3"/>
  <c r="D12" i="3"/>
  <c r="C18" i="3"/>
  <c r="M9" i="3"/>
  <c r="L9" i="3"/>
  <c r="H9" i="3"/>
  <c r="L18" i="3"/>
  <c r="H18" i="3"/>
  <c r="D18" i="3"/>
  <c r="K9" i="3"/>
  <c r="G9" i="3"/>
  <c r="L14" i="3"/>
  <c r="K18" i="3"/>
  <c r="G18" i="3"/>
  <c r="J14" i="3"/>
  <c r="F14" i="3"/>
  <c r="K12" i="3"/>
  <c r="G12" i="3"/>
  <c r="K14" i="3"/>
  <c r="M12" i="3"/>
  <c r="J18" i="3"/>
  <c r="F18" i="3"/>
  <c r="M18" i="3"/>
  <c r="F9" i="3"/>
  <c r="J9" i="3"/>
  <c r="I18" i="3"/>
  <c r="E18" i="3"/>
  <c r="D9" i="3"/>
  <c r="C14" i="3"/>
  <c r="I14" i="3"/>
  <c r="E14" i="3"/>
  <c r="E9" i="3"/>
  <c r="I9" i="3"/>
  <c r="G18" i="11" l="1"/>
  <c r="G34" i="11" s="1"/>
  <c r="G37" i="11" s="1"/>
  <c r="G59" i="11" s="1"/>
  <c r="J18" i="11"/>
  <c r="H18" i="11"/>
  <c r="I43" i="11" s="1"/>
  <c r="I49" i="11" s="1"/>
  <c r="I51" i="11" s="1"/>
  <c r="I58" i="11" s="1"/>
  <c r="I61" i="11" s="1"/>
  <c r="F18" i="11"/>
  <c r="F34" i="11" s="1"/>
  <c r="F37" i="11" s="1"/>
  <c r="H21" i="3"/>
  <c r="D21" i="3"/>
  <c r="G20" i="3"/>
  <c r="M30" i="3"/>
  <c r="M35" i="3"/>
  <c r="M33" i="3"/>
  <c r="D30" i="3"/>
  <c r="D35" i="3"/>
  <c r="D33" i="3"/>
  <c r="H29" i="3"/>
  <c r="C20" i="3"/>
  <c r="C15" i="3"/>
  <c r="F20" i="3"/>
  <c r="F15" i="3"/>
  <c r="L20" i="3"/>
  <c r="L15" i="3"/>
  <c r="E20" i="3"/>
  <c r="E15" i="3"/>
  <c r="K20" i="3"/>
  <c r="K15" i="3"/>
  <c r="J20" i="3"/>
  <c r="J15" i="3"/>
  <c r="G21" i="3"/>
  <c r="G29" i="3"/>
  <c r="I20" i="3"/>
  <c r="I15" i="3"/>
  <c r="J43" i="11" l="1"/>
  <c r="J49" i="11" s="1"/>
  <c r="J51" i="11" s="1"/>
  <c r="J58" i="11" s="1"/>
  <c r="J34" i="11"/>
  <c r="J37" i="11" s="1"/>
  <c r="J59" i="11" s="1"/>
  <c r="H43" i="11"/>
  <c r="H49" i="11" s="1"/>
  <c r="H51" i="11" s="1"/>
  <c r="H58" i="11" s="1"/>
  <c r="H34" i="11"/>
  <c r="H37" i="11" s="1"/>
  <c r="H59" i="11" s="1"/>
  <c r="G43" i="11"/>
  <c r="G49" i="11" s="1"/>
  <c r="G51" i="11" s="1"/>
  <c r="G58" i="11" s="1"/>
  <c r="G61" i="11" s="1"/>
  <c r="H30" i="3"/>
  <c r="H35" i="3"/>
  <c r="H33" i="3"/>
  <c r="M36" i="3"/>
  <c r="M40" i="3"/>
  <c r="G35" i="3"/>
  <c r="G33" i="3"/>
  <c r="D40" i="3"/>
  <c r="D36" i="3"/>
  <c r="I21" i="3"/>
  <c r="I29" i="3"/>
  <c r="J21" i="3"/>
  <c r="J29" i="3"/>
  <c r="E21" i="3"/>
  <c r="E29" i="3"/>
  <c r="F21" i="3"/>
  <c r="F29" i="3"/>
  <c r="G30" i="3"/>
  <c r="K21" i="3"/>
  <c r="K29" i="3"/>
  <c r="L21" i="3"/>
  <c r="L29" i="3"/>
  <c r="C21" i="3"/>
  <c r="C29" i="3"/>
  <c r="J61" i="11" l="1"/>
  <c r="H61" i="11"/>
  <c r="J63" i="11" s="1"/>
  <c r="J53" i="11"/>
  <c r="J54" i="11"/>
  <c r="D44" i="3"/>
  <c r="D46" i="3" s="1"/>
  <c r="M46" i="3"/>
  <c r="M44" i="3"/>
  <c r="K35" i="3"/>
  <c r="K33" i="3"/>
  <c r="E35" i="3"/>
  <c r="E33" i="3"/>
  <c r="I35" i="3"/>
  <c r="I33" i="3"/>
  <c r="C35" i="3"/>
  <c r="C33" i="3"/>
  <c r="G36" i="3"/>
  <c r="G40" i="3"/>
  <c r="H40" i="3"/>
  <c r="H36" i="3"/>
  <c r="L35" i="3"/>
  <c r="L33" i="3"/>
  <c r="F35" i="3"/>
  <c r="F33" i="3"/>
  <c r="J35" i="3"/>
  <c r="J33" i="3"/>
  <c r="C30" i="3"/>
  <c r="K30" i="3"/>
  <c r="F30" i="3"/>
  <c r="J30" i="3"/>
  <c r="L30" i="3"/>
  <c r="E30" i="3"/>
  <c r="I30" i="3"/>
  <c r="J64" i="11" l="1"/>
  <c r="G46" i="3"/>
  <c r="G44" i="3"/>
  <c r="H46" i="3"/>
  <c r="H41" i="3"/>
  <c r="H44" i="3"/>
  <c r="F36" i="3"/>
  <c r="F40" i="3"/>
  <c r="C40" i="3"/>
  <c r="C36" i="3"/>
  <c r="E36" i="3"/>
  <c r="E40" i="3"/>
  <c r="J36" i="3"/>
  <c r="J40" i="3"/>
  <c r="L40" i="3"/>
  <c r="L36" i="3"/>
  <c r="I36" i="3"/>
  <c r="I40" i="3"/>
  <c r="K40" i="3"/>
  <c r="K36" i="3"/>
  <c r="E41" i="3" l="1"/>
  <c r="E44" i="3"/>
  <c r="E46" i="3" s="1"/>
  <c r="F41" i="3"/>
  <c r="F44" i="3"/>
  <c r="F46" i="3" s="1"/>
  <c r="K41" i="3"/>
  <c r="K44" i="3"/>
  <c r="K46" i="3" s="1"/>
  <c r="L41" i="3"/>
  <c r="L44" i="3"/>
  <c r="L46" i="3" s="1"/>
  <c r="M41" i="3"/>
  <c r="I41" i="3"/>
  <c r="I44" i="3"/>
  <c r="I46" i="3" s="1"/>
  <c r="J41" i="3"/>
  <c r="J44" i="3"/>
  <c r="J46" i="3"/>
  <c r="G41" i="3"/>
  <c r="C44" i="3"/>
  <c r="C46" i="3" s="1"/>
  <c r="D41" i="3"/>
</calcChain>
</file>

<file path=xl/sharedStrings.xml><?xml version="1.0" encoding="utf-8"?>
<sst xmlns="http://schemas.openxmlformats.org/spreadsheetml/2006/main" count="287" uniqueCount="183">
  <si>
    <t>Adjusted Equity Shares in Cr</t>
  </si>
  <si>
    <t>DERIVED:</t>
  </si>
  <si>
    <t>PRICE:</t>
  </si>
  <si>
    <t>Net Cash Flow</t>
  </si>
  <si>
    <t>Cash from Financing Activity</t>
  </si>
  <si>
    <t>Cash from Investing Activity</t>
  </si>
  <si>
    <t>Cash from Operating Activity</t>
  </si>
  <si>
    <t>Report Date</t>
  </si>
  <si>
    <t>CASH FLOW:</t>
  </si>
  <si>
    <t>Face value</t>
  </si>
  <si>
    <t>New Bonus Shares</t>
  </si>
  <si>
    <t>No. of Equity Shares</t>
  </si>
  <si>
    <t>Cash &amp; Bank</t>
  </si>
  <si>
    <t>Inventory</t>
  </si>
  <si>
    <t>Receivables</t>
  </si>
  <si>
    <t>Total</t>
  </si>
  <si>
    <t>Other Assets</t>
  </si>
  <si>
    <t>Investments</t>
  </si>
  <si>
    <t>Capital Work in Progress</t>
  </si>
  <si>
    <t>Net Block</t>
  </si>
  <si>
    <t>Other Liabilities</t>
  </si>
  <si>
    <t>Borrowings</t>
  </si>
  <si>
    <t>Reserves</t>
  </si>
  <si>
    <t>Equity Share Capital</t>
  </si>
  <si>
    <t>BALANCE SHEET</t>
  </si>
  <si>
    <t>Operating Profit</t>
  </si>
  <si>
    <t>Net profit</t>
  </si>
  <si>
    <t>Tax</t>
  </si>
  <si>
    <t>Profit before tax</t>
  </si>
  <si>
    <t>Interest</t>
  </si>
  <si>
    <t>Depreciation</t>
  </si>
  <si>
    <t>Other Income</t>
  </si>
  <si>
    <t>Expenses</t>
  </si>
  <si>
    <t>Sales</t>
  </si>
  <si>
    <t>Quarters</t>
  </si>
  <si>
    <t>Dividend Amount</t>
  </si>
  <si>
    <t>Other Expenses</t>
  </si>
  <si>
    <t>Selling and admin</t>
  </si>
  <si>
    <t>Employee Cost</t>
  </si>
  <si>
    <t>Other Mfr. Exp</t>
  </si>
  <si>
    <t>Power and Fuel</t>
  </si>
  <si>
    <t>Change in Inventory</t>
  </si>
  <si>
    <t>Raw Material Cost</t>
  </si>
  <si>
    <t>PROFIT &amp; LOSS</t>
  </si>
  <si>
    <t>Market Capitalization</t>
  </si>
  <si>
    <t>Current Price</t>
  </si>
  <si>
    <t>Face Value</t>
  </si>
  <si>
    <t>Number of shares</t>
  </si>
  <si>
    <t>META</t>
  </si>
  <si>
    <t>CURRENT VERSION</t>
  </si>
  <si>
    <t>PLEASE DO NOT MAKE ANY CHANGES TO THIS SHEET</t>
  </si>
  <si>
    <t>LATEST VERSION</t>
  </si>
  <si>
    <t>ASIAN PAINTS LTD</t>
  </si>
  <si>
    <t>COMPANY NAME</t>
  </si>
  <si>
    <t>Years</t>
  </si>
  <si>
    <t>LTM</t>
  </si>
  <si>
    <t>Income Statement</t>
  </si>
  <si>
    <t>#</t>
  </si>
  <si>
    <t>Sales Growth</t>
  </si>
  <si>
    <t>COGS</t>
  </si>
  <si>
    <t>COGS % Sales</t>
  </si>
  <si>
    <t>Gross Profit</t>
  </si>
  <si>
    <t>Selling &amp; General Expenses</t>
  </si>
  <si>
    <t>S&amp;G Exp % Sales</t>
  </si>
  <si>
    <t>EBITDA</t>
  </si>
  <si>
    <t>EBITDA % Sales</t>
  </si>
  <si>
    <t>Interest % Sales</t>
  </si>
  <si>
    <t>Depreciation % Sales</t>
  </si>
  <si>
    <t>Gross Margins</t>
  </si>
  <si>
    <t>Earnings Before Tax</t>
  </si>
  <si>
    <t>EBT % Sales</t>
  </si>
  <si>
    <t>Effecttive Tax Rate</t>
  </si>
  <si>
    <t>Fig in Cr.</t>
  </si>
  <si>
    <t>Net Profit</t>
  </si>
  <si>
    <t>Net Margins</t>
  </si>
  <si>
    <t>No of Equity Shares</t>
  </si>
  <si>
    <t>Earnings per Share</t>
  </si>
  <si>
    <t>Dividend per Share</t>
  </si>
  <si>
    <t>EPS Growth %</t>
  </si>
  <si>
    <t>Dividend Payout Ratio</t>
  </si>
  <si>
    <t>Reatined Earnings</t>
  </si>
  <si>
    <t>Balance Sheet</t>
  </si>
  <si>
    <t xml:space="preserve">Total Liabilities </t>
  </si>
  <si>
    <t>Fixed Assets Net Block</t>
  </si>
  <si>
    <t>Total Assets</t>
  </si>
  <si>
    <t>Total Non Current Assets</t>
  </si>
  <si>
    <t>Total Current Assets</t>
  </si>
  <si>
    <t>Check</t>
  </si>
  <si>
    <t>Cash Flow Statement</t>
  </si>
  <si>
    <t xml:space="preserve">Cash from Operating Activities </t>
  </si>
  <si>
    <t>Cash from Operating Activity -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</si>
  <si>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</si>
  <si>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</si>
  <si>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</si>
  <si>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</si>
  <si>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</si>
  <si>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</si>
  <si>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</si>
  <si>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</si>
  <si>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</si>
  <si>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</si>
  <si>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</si>
  <si>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</si>
  <si>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</si>
  <si>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</si>
  <si>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</si>
  <si>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Acquisition of companies</t>
  </si>
  <si>
    <t>Inter corporate deposits</t>
  </si>
  <si>
    <t>Other investing items</t>
  </si>
  <si>
    <t>Cash from Financing Activity -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</si>
  <si>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</si>
  <si>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</si>
  <si>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</si>
  <si>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</si>
  <si>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</si>
  <si>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</si>
  <si>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</si>
  <si>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</si>
  <si>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Opeating Activities</t>
  </si>
  <si>
    <t>Investing Activities</t>
  </si>
  <si>
    <t>Cash from Investing Activities</t>
  </si>
  <si>
    <t>Financing Activities</t>
  </si>
  <si>
    <t>Cash from Financing Activities</t>
  </si>
  <si>
    <t>1. The financial model is in three sheets, named HistoricalFS, Ratio Analysis and Forecasting.</t>
  </si>
  <si>
    <t>2. Do not change any data in the red tab sheets. Those sheets are the source sheets.</t>
  </si>
  <si>
    <t>3. To use this model as a template: Go to https://www.screener.in/excel/ and upload this file in the choose file section. Then to use it, just find any company on Screener.in and click export to excel.</t>
  </si>
  <si>
    <t>4. Some minor changes have to be made based on company to company and data provided.</t>
  </si>
  <si>
    <t>5. For any queries in the model, please contact me on LinkedIn, https://www.linkedin.com/in/kavanshah00/</t>
  </si>
  <si>
    <t>6. The password to unlock the sheets is 123.</t>
  </si>
  <si>
    <t>Equity Capital</t>
  </si>
  <si>
    <t>Borrowings -</t>
  </si>
  <si>
    <t>Long term Borrowings</t>
  </si>
  <si>
    <t>Short term Borrowings</t>
  </si>
  <si>
    <t>Lease Liabilities</t>
  </si>
  <si>
    <t>Other Borrowings</t>
  </si>
  <si>
    <t>Other Liabilities -</t>
  </si>
  <si>
    <t>Non controlling int</t>
  </si>
  <si>
    <t>Trade Payables</t>
  </si>
  <si>
    <t>Advance from Customers</t>
  </si>
  <si>
    <t>Other liability items</t>
  </si>
  <si>
    <t>Total Liabilities</t>
  </si>
  <si>
    <t>Fixed Assets -</t>
  </si>
  <si>
    <t>Land</t>
  </si>
  <si>
    <t>Building</t>
  </si>
  <si>
    <t>Plant Machinery</t>
  </si>
  <si>
    <t>Equipments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</si>
  <si>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</si>
  <si>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</si>
  <si>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</si>
  <si>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</si>
  <si>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</si>
  <si>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</si>
  <si>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</si>
  <si>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Other Assets -</t>
  </si>
  <si>
    <t>Inventories</t>
  </si>
  <si>
    <t>Cash Equivalents</t>
  </si>
  <si>
    <t>Short term loans</t>
  </si>
  <si>
    <t>Other asset items</t>
  </si>
  <si>
    <t>Particulars</t>
  </si>
  <si>
    <t xml:space="preserve">Trade receivables </t>
  </si>
  <si>
    <t>Calculation of ROIC</t>
  </si>
  <si>
    <t>Current Assets</t>
  </si>
  <si>
    <t>Current Liabilities</t>
  </si>
  <si>
    <t xml:space="preserve">Total Current Liabilities </t>
  </si>
  <si>
    <t>Net Working Capital</t>
  </si>
  <si>
    <t>Non Current Assets</t>
  </si>
  <si>
    <t xml:space="preserve">Accumulated Depreciation </t>
  </si>
  <si>
    <t>Net Non Current Assets</t>
  </si>
  <si>
    <t>Invested Capital</t>
  </si>
  <si>
    <t>EBIT</t>
  </si>
  <si>
    <t>ROIC</t>
  </si>
  <si>
    <t>Calculation of Reinvestment Rate</t>
  </si>
  <si>
    <t>Net CapEx</t>
  </si>
  <si>
    <t xml:space="preserve">Particulars </t>
  </si>
  <si>
    <t>Change in Working Capital</t>
  </si>
  <si>
    <t>Marginal Tax Rate</t>
  </si>
  <si>
    <t>Reinvestment</t>
  </si>
  <si>
    <t>Reinvestment Rate</t>
  </si>
  <si>
    <t>EBIT (1-T)</t>
  </si>
  <si>
    <t>4 Year Average</t>
  </si>
  <si>
    <t>4 Year Median</t>
  </si>
  <si>
    <t>Calculation of Growth Rate</t>
  </si>
  <si>
    <t>Intrinsic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</si>
</sst>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&quot;₹&quot;\ #,##0;&quot;₹&quot;\ \(#,##0\);\-\ "/>
    <numFmt numFmtId="167" formatCode="&quot;₹&quot;\ #,##0.0"/>
    <numFmt numFmtId="168" formatCode="&quot;₹&quot;\ #,##0.0;\-"/>
    <numFmt numFmtId="169" formatCode="&quot;₹&quot;\ #,##0.0;\ \(&quot;₹&quot;#,##0.0\);\-\ "/>
    <numFmt numFmtId="170" formatCode="&quot;₹&quot;\ #,##0.00;\ \(&quot;₹&quot;#,##0.00\);\-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hair">
        <color rgb="FF002060"/>
      </bottom>
      <diagonal/>
    </border>
    <border>
      <left/>
      <right/>
      <top style="hair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72">
    <xf numFmtId="0" fontId="0" fillId="0" borderId="0" xfId="0"/>
    <xf numFmtId="43" fontId="0" fillId="0" borderId="0" xfId="1" applyFont="1" applyBorder="1"/>
    <xf numFmtId="164" fontId="0" fillId="0" borderId="0" xfId="1" applyNumberFormat="1" applyFont="1" applyBorder="1"/>
    <xf numFmtId="43" fontId="2" fillId="0" borderId="0" xfId="1" applyFont="1" applyBorder="1"/>
    <xf numFmtId="43" fontId="1" fillId="0" borderId="0" xfId="1" applyFont="1" applyBorder="1"/>
    <xf numFmtId="165" fontId="3" fillId="0" borderId="0" xfId="1" applyNumberFormat="1" applyFont="1" applyFill="1" applyBorder="1"/>
    <xf numFmtId="165" fontId="4" fillId="3" borderId="0" xfId="0" applyNumberFormat="1" applyFont="1" applyFill="1" applyAlignment="1">
      <alignment horizontal="center"/>
    </xf>
    <xf numFmtId="165" fontId="4" fillId="3" borderId="0" xfId="1" applyNumberFormat="1" applyFont="1" applyFill="1" applyBorder="1"/>
    <xf numFmtId="17" fontId="0" fillId="0" borderId="0" xfId="0" applyNumberFormat="1"/>
    <xf numFmtId="0" fontId="4" fillId="4" borderId="0" xfId="0" applyFont="1" applyFill="1"/>
    <xf numFmtId="17" fontId="4" fillId="4" borderId="0" xfId="0" applyNumberFormat="1" applyFont="1" applyFill="1"/>
    <xf numFmtId="17" fontId="4" fillId="4" borderId="0" xfId="0" applyNumberFormat="1" applyFont="1" applyFill="1" applyAlignment="1">
      <alignment horizontal="right"/>
    </xf>
    <xf numFmtId="0" fontId="2" fillId="0" borderId="0" xfId="0" applyFont="1"/>
    <xf numFmtId="0" fontId="7" fillId="0" borderId="0" xfId="0" applyFont="1"/>
    <xf numFmtId="166" fontId="7" fillId="0" borderId="0" xfId="0" applyNumberFormat="1" applyFont="1"/>
    <xf numFmtId="10" fontId="7" fillId="0" borderId="0" xfId="4" applyNumberFormat="1" applyFont="1"/>
    <xf numFmtId="167" fontId="0" fillId="0" borderId="0" xfId="0" applyNumberFormat="1"/>
    <xf numFmtId="168" fontId="0" fillId="0" borderId="0" xfId="0" applyNumberFormat="1"/>
    <xf numFmtId="0" fontId="2" fillId="5" borderId="0" xfId="0" applyFont="1" applyFill="1"/>
    <xf numFmtId="0" fontId="0" fillId="5" borderId="0" xfId="0" applyFill="1"/>
    <xf numFmtId="17" fontId="4" fillId="6" borderId="0" xfId="0" applyNumberFormat="1" applyFont="1" applyFill="1"/>
    <xf numFmtId="17" fontId="4" fillId="6" borderId="0" xfId="0" applyNumberFormat="1" applyFont="1" applyFill="1" applyAlignment="1">
      <alignment horizontal="right"/>
    </xf>
    <xf numFmtId="10" fontId="0" fillId="0" borderId="0" xfId="4" applyNumberFormat="1" applyFont="1"/>
    <xf numFmtId="0" fontId="0" fillId="0" borderId="0" xfId="0" applyAlignment="1">
      <alignment wrapText="1"/>
    </xf>
    <xf numFmtId="0" fontId="4" fillId="6" borderId="0" xfId="0" applyFont="1" applyFill="1" applyAlignment="1">
      <alignment wrapText="1"/>
    </xf>
    <xf numFmtId="17" fontId="4" fillId="6" borderId="0" xfId="0" applyNumberFormat="1" applyFont="1" applyFill="1" applyAlignment="1">
      <alignment wrapText="1"/>
    </xf>
    <xf numFmtId="17" fontId="4" fillId="6" borderId="0" xfId="0" applyNumberFormat="1" applyFont="1" applyFill="1" applyAlignment="1">
      <alignment horizontal="right" wrapText="1"/>
    </xf>
    <xf numFmtId="17" fontId="0" fillId="0" borderId="0" xfId="0" applyNumberFormat="1" applyAlignment="1">
      <alignment wrapText="1"/>
    </xf>
    <xf numFmtId="17" fontId="0" fillId="6" borderId="0" xfId="0" applyNumberFormat="1" applyFill="1"/>
    <xf numFmtId="0" fontId="0" fillId="6" borderId="0" xfId="0" applyFill="1"/>
    <xf numFmtId="0" fontId="2" fillId="6" borderId="0" xfId="0" applyFont="1" applyFill="1"/>
    <xf numFmtId="169" fontId="0" fillId="0" borderId="0" xfId="0" applyNumberFormat="1"/>
    <xf numFmtId="170" fontId="0" fillId="0" borderId="0" xfId="0" applyNumberFormat="1"/>
    <xf numFmtId="0" fontId="8" fillId="0" borderId="0" xfId="0" applyFont="1"/>
    <xf numFmtId="3" fontId="0" fillId="0" borderId="0" xfId="0" applyNumberFormat="1"/>
    <xf numFmtId="0" fontId="2" fillId="0" borderId="1" xfId="0" applyFont="1" applyBorder="1"/>
    <xf numFmtId="167" fontId="2" fillId="0" borderId="1" xfId="0" applyNumberFormat="1" applyFont="1" applyBorder="1"/>
    <xf numFmtId="167" fontId="0" fillId="0" borderId="1" xfId="0" applyNumberFormat="1" applyBorder="1"/>
    <xf numFmtId="169" fontId="2" fillId="0" borderId="2" xfId="0" applyNumberFormat="1" applyFont="1" applyBorder="1"/>
    <xf numFmtId="0" fontId="2" fillId="0" borderId="2" xfId="0" applyFont="1" applyBorder="1"/>
    <xf numFmtId="170" fontId="2" fillId="0" borderId="2" xfId="0" applyNumberFormat="1" applyFont="1" applyBorder="1"/>
    <xf numFmtId="170" fontId="0" fillId="0" borderId="2" xfId="0" applyNumberFormat="1" applyBorder="1"/>
    <xf numFmtId="0" fontId="6" fillId="0" borderId="0" xfId="3" applyAlignment="1" applyProtection="1"/>
    <xf numFmtId="0" fontId="4" fillId="7" borderId="0" xfId="0" applyFont="1" applyFill="1"/>
    <xf numFmtId="17" fontId="4" fillId="7" borderId="0" xfId="0" applyNumberFormat="1" applyFont="1" applyFill="1"/>
    <xf numFmtId="0" fontId="2" fillId="0" borderId="3" xfId="0" applyFont="1" applyBorder="1"/>
    <xf numFmtId="0" fontId="4" fillId="6" borderId="0" xfId="0" applyFont="1" applyFill="1"/>
    <xf numFmtId="0" fontId="0" fillId="0" borderId="1" xfId="0" applyBorder="1"/>
    <xf numFmtId="169" fontId="0" fillId="0" borderId="1" xfId="0" applyNumberFormat="1" applyBorder="1"/>
    <xf numFmtId="169" fontId="2" fillId="0" borderId="3" xfId="0" applyNumberFormat="1" applyFont="1" applyBorder="1"/>
    <xf numFmtId="169" fontId="0" fillId="0" borderId="4" xfId="0" applyNumberFormat="1" applyBorder="1"/>
    <xf numFmtId="169" fontId="2" fillId="0" borderId="6" xfId="0" applyNumberFormat="1" applyFont="1" applyBorder="1"/>
    <xf numFmtId="169" fontId="0" fillId="0" borderId="5" xfId="0" applyNumberFormat="1" applyBorder="1"/>
    <xf numFmtId="169" fontId="0" fillId="0" borderId="6" xfId="0" applyNumberFormat="1" applyBorder="1"/>
    <xf numFmtId="0" fontId="0" fillId="7" borderId="0" xfId="0" applyFill="1"/>
    <xf numFmtId="0" fontId="2" fillId="0" borderId="7" xfId="0" applyFont="1" applyBorder="1"/>
    <xf numFmtId="0" fontId="2" fillId="0" borderId="8" xfId="0" applyFont="1" applyBorder="1"/>
    <xf numFmtId="10" fontId="2" fillId="0" borderId="8" xfId="4" applyNumberFormat="1" applyFont="1" applyBorder="1"/>
    <xf numFmtId="170" fontId="0" fillId="0" borderId="1" xfId="0" applyNumberFormat="1" applyBorder="1"/>
    <xf numFmtId="170" fontId="2" fillId="0" borderId="7" xfId="0" applyNumberFormat="1" applyFont="1" applyBorder="1"/>
    <xf numFmtId="170" fontId="2" fillId="0" borderId="8" xfId="0" applyNumberFormat="1" applyFont="1" applyBorder="1"/>
    <xf numFmtId="170" fontId="2" fillId="0" borderId="0" xfId="0" applyNumberFormat="1" applyFont="1"/>
    <xf numFmtId="10" fontId="9" fillId="0" borderId="1" xfId="0" applyNumberFormat="1" applyFont="1" applyBorder="1"/>
    <xf numFmtId="0" fontId="2" fillId="8" borderId="0" xfId="0" applyFont="1" applyFill="1"/>
    <xf numFmtId="10" fontId="2" fillId="8" borderId="0" xfId="0" applyNumberFormat="1" applyFont="1" applyFill="1"/>
    <xf numFmtId="10" fontId="0" fillId="0" borderId="1" xfId="0" applyNumberFormat="1" applyBorder="1"/>
    <xf numFmtId="10" fontId="2" fillId="0" borderId="8" xfId="0" applyNumberFormat="1" applyFont="1" applyBorder="1"/>
    <xf numFmtId="169" fontId="0" fillId="0" borderId="9" xfId="0" applyNumberFormat="1" applyBorder="1"/>
    <xf numFmtId="10" fontId="3" fillId="0" borderId="1" xfId="0" applyNumberFormat="1" applyFont="1" applyBorder="1"/>
    <xf numFmtId="0" fontId="4" fillId="4" borderId="0" xfId="0" applyFont="1" applyFill="1" applyAlignment="1">
      <alignment horizontal="center"/>
    </xf>
    <xf numFmtId="43" fontId="6" fillId="0" borderId="0" xfId="3" applyNumberFormat="1" applyBorder="1" applyAlignment="1" applyProtection="1">
      <alignment horizontal="center"/>
    </xf>
    <xf numFmtId="43" fontId="4" fillId="2" borderId="0" xfId="2" applyNumberFormat="1" applyFont="1" applyBorder="1" applyAlignment="1">
      <alignment horizontal="center"/>
    </xf>
  </cellXfs>
  <cellStyles count="5">
    <cellStyle name="Accent6 2" xfId="2" xr:uid="{5054DACD-7F4D-41D9-A28E-9460BABF36E9}"/>
    <cellStyle name="Comma 2" xfId="1" xr:uid="{10358678-81D3-4C1A-9B6B-AA3935971301}"/>
    <cellStyle name="Hyperlink" xfId="3" builtinId="8"/>
    <cellStyle name="Normal" xfId="0" builtinId="0"/>
    <cellStyle name="Percent" xfId="4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1</xdr:col>
      <xdr:colOff>1130300</xdr:colOff>
      <xdr:row>1</xdr:row>
      <xdr:rowOff>167005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8FDEC3-C7DE-2527-BD5C-00E5269D7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" y="0"/>
          <a:ext cx="1111250" cy="3537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2</xdr:col>
      <xdr:colOff>495300</xdr:colOff>
      <xdr:row>1</xdr:row>
      <xdr:rowOff>169012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B780CF-9857-2F85-20A6-2E21F28C8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1117600" cy="353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inkedin.com/in/kavanshah00/" TargetMode="External"/><Relationship Id="rId1" Type="http://schemas.openxmlformats.org/officeDocument/2006/relationships/hyperlink" Target="https://www.screener.in/exce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66CF-FA59-4B2A-A8DD-71290A1111DA}">
  <dimension ref="A1:A6"/>
  <sheetViews>
    <sheetView showGridLines="0" workbookViewId="0">
      <selection activeCell="D6" sqref="D6"/>
    </sheetView>
  </sheetViews>
  <sheetFormatPr defaultRowHeight="14.5" x14ac:dyDescent="0.35"/>
  <sheetData>
    <row r="1" spans="1:1" x14ac:dyDescent="0.35">
      <c r="A1" t="s">
        <v>123</v>
      </c>
    </row>
    <row r="2" spans="1:1" x14ac:dyDescent="0.35">
      <c r="A2" t="s">
        <v>124</v>
      </c>
    </row>
    <row r="3" spans="1:1" x14ac:dyDescent="0.35">
      <c r="A3" s="42" t="s">
        <v>125</v>
      </c>
    </row>
    <row r="4" spans="1:1" x14ac:dyDescent="0.35">
      <c r="A4" t="s">
        <v>126</v>
      </c>
    </row>
    <row r="5" spans="1:1" x14ac:dyDescent="0.35">
      <c r="A5" s="42" t="s">
        <v>127</v>
      </c>
    </row>
    <row r="6" spans="1:1" x14ac:dyDescent="0.35">
      <c r="A6" t="s">
        <v>128</v>
      </c>
    </row>
  </sheetData>
  <sheetProtection algorithmName="SHA-512" hashValue="05ez3Lw/gkh5Flsm8Eh0/tzi52Qbrw3Y6KmWUXj1/m+JeFPuAS+T3iy9q6yiwNX2b5gUa80c8UVHEvTfpP7mCA==" saltValue="h0Hy8PlsH5T6xQTHchFLPA==" spinCount="100000" sheet="1" objects="1" scenarios="1"/>
  <hyperlinks>
    <hyperlink ref="A3" r:id="rId1" display="3. To use this model as a template: Go to https://www.screener.in/excel/" xr:uid="{28AE817F-0B05-4C2A-B9D8-59C7C1685C56}"/>
    <hyperlink ref="A5" r:id="rId2" xr:uid="{32154C33-3EA8-41CC-BFEB-8DDE87A95C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</sheetPr>
  <dimension ref="A1"/>
  <sheetViews>
    <sheetView workbookViewId="0">
      <selection activeCell="A2" sqref="A2"/>
    </sheetView>
  </sheetViews>
  <sheetFormatPr defaultRowHeight="14.5" x14ac:dyDescent="0.35"/>
  <sheetData/>
  <sheetProtection algorithmName="SHA-512" hashValue="LA+GaWUQLvaZ4em9ziSbS135zQbhnawuVw9Cd9BfNusUeFpZ3B8gWvaQImZApyEy4nlJFEFS0yWHU/RpR7NWxg==" saltValue="lhncQtqEFhWJGdhEP4jk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781C-2F80-41C4-8804-A61469D2E9C4}">
  <sheetPr>
    <pageSetUpPr fitToPage="1"/>
  </sheetPr>
  <dimension ref="A3:N108"/>
  <sheetViews>
    <sheetView showGridLines="0" zoomScale="85" zoomScaleNormal="85" workbookViewId="0">
      <pane ySplit="4" topLeftCell="A39" activePane="bottomLeft" state="frozen"/>
      <selection activeCell="O5" sqref="O5"/>
      <selection pane="bottomLeft" activeCell="M38" sqref="M38"/>
    </sheetView>
  </sheetViews>
  <sheetFormatPr defaultRowHeight="14.5" x14ac:dyDescent="0.35"/>
  <cols>
    <col min="1" max="1" width="1.81640625" customWidth="1"/>
    <col min="2" max="2" width="27.1796875" bestFit="1" customWidth="1"/>
    <col min="3" max="13" width="13" customWidth="1"/>
  </cols>
  <sheetData>
    <row r="3" spans="1:14" x14ac:dyDescent="0.35">
      <c r="B3" s="69" t="str">
        <f>"Historical Financial Statement - "&amp;'Data Sheet'!B1</f>
        <v>Historical Financial Statement - ASIAN PAINTS LTD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4" x14ac:dyDescent="0.35">
      <c r="B4" s="9" t="s">
        <v>54</v>
      </c>
      <c r="C4" s="10">
        <f>'Data Sheet'!B16</f>
        <v>42094</v>
      </c>
      <c r="D4" s="10">
        <f>'Data Sheet'!C16</f>
        <v>42460</v>
      </c>
      <c r="E4" s="10">
        <f>'Data Sheet'!D16</f>
        <v>42825</v>
      </c>
      <c r="F4" s="10">
        <f>'Data Sheet'!E16</f>
        <v>43190</v>
      </c>
      <c r="G4" s="10">
        <f>'Data Sheet'!F16</f>
        <v>43555</v>
      </c>
      <c r="H4" s="10">
        <f>'Data Sheet'!G16</f>
        <v>43921</v>
      </c>
      <c r="I4" s="10">
        <f>'Data Sheet'!H16</f>
        <v>44286</v>
      </c>
      <c r="J4" s="10">
        <f>'Data Sheet'!I16</f>
        <v>44651</v>
      </c>
      <c r="K4" s="10">
        <f>'Data Sheet'!J16</f>
        <v>45016</v>
      </c>
      <c r="L4" s="10">
        <f>'Data Sheet'!K16</f>
        <v>45382</v>
      </c>
      <c r="M4" s="11" t="s">
        <v>55</v>
      </c>
      <c r="N4" s="8"/>
    </row>
    <row r="5" spans="1:14" s="29" customFormat="1" x14ac:dyDescent="0.35">
      <c r="A5"/>
      <c r="B5" s="30" t="s">
        <v>72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1"/>
      <c r="N5" s="28"/>
    </row>
    <row r="6" spans="1:14" s="23" customFormat="1" x14ac:dyDescent="0.35"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6"/>
      <c r="N6" s="27"/>
    </row>
    <row r="7" spans="1:14" x14ac:dyDescent="0.35">
      <c r="A7" t="s">
        <v>57</v>
      </c>
      <c r="B7" s="18" t="s">
        <v>56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4" x14ac:dyDescent="0.35">
      <c r="B8" t="s">
        <v>33</v>
      </c>
      <c r="C8" s="17">
        <f>IFERROR('Data Sheet'!B17,0)</f>
        <v>13615.26</v>
      </c>
      <c r="D8" s="16">
        <f>IFERROR('Data Sheet'!C17,0)</f>
        <v>14271.49</v>
      </c>
      <c r="E8" s="16">
        <f>IFERROR('Data Sheet'!D17,0)</f>
        <v>15061.99</v>
      </c>
      <c r="F8" s="16">
        <f>IFERROR('Data Sheet'!E17,0)</f>
        <v>16824.55</v>
      </c>
      <c r="G8" s="16">
        <f>IFERROR('Data Sheet'!F17,0)</f>
        <v>19240.13</v>
      </c>
      <c r="H8" s="16">
        <f>IFERROR('Data Sheet'!G17,0)</f>
        <v>20211.25</v>
      </c>
      <c r="I8" s="16">
        <f>IFERROR('Data Sheet'!H17,0)</f>
        <v>21712.79</v>
      </c>
      <c r="J8" s="16">
        <f>IFERROR('Data Sheet'!I17,0)</f>
        <v>29101.279999999999</v>
      </c>
      <c r="K8" s="16">
        <f>IFERROR('Data Sheet'!J17,0)</f>
        <v>34488.589999999997</v>
      </c>
      <c r="L8" s="16">
        <f>IFERROR('Data Sheet'!K17,0)</f>
        <v>35494.730000000003</v>
      </c>
      <c r="M8" s="16">
        <f>IFERROR(SUM('Data Sheet'!H42:K42),0)</f>
        <v>35282.149999999994</v>
      </c>
    </row>
    <row r="9" spans="1:14" x14ac:dyDescent="0.35">
      <c r="B9" s="13" t="s">
        <v>58</v>
      </c>
      <c r="C9" s="14">
        <v>0</v>
      </c>
      <c r="D9" s="15">
        <f>D8/C8-1</f>
        <v>4.8198124751198224E-2</v>
      </c>
      <c r="E9" s="15">
        <f t="shared" ref="E9:M9" si="0">E8/D8-1</f>
        <v>5.5390151974320734E-2</v>
      </c>
      <c r="F9" s="15">
        <f t="shared" si="0"/>
        <v>0.11702039371955486</v>
      </c>
      <c r="G9" s="15">
        <f t="shared" si="0"/>
        <v>0.14357471670861943</v>
      </c>
      <c r="H9" s="15">
        <f t="shared" si="0"/>
        <v>5.0473671435691925E-2</v>
      </c>
      <c r="I9" s="15">
        <f t="shared" si="0"/>
        <v>7.4292287711052118E-2</v>
      </c>
      <c r="J9" s="15">
        <f t="shared" si="0"/>
        <v>0.34028284711453471</v>
      </c>
      <c r="K9" s="15">
        <f t="shared" si="0"/>
        <v>0.18512278497715551</v>
      </c>
      <c r="L9" s="15">
        <f t="shared" si="0"/>
        <v>2.9173126532572313E-2</v>
      </c>
      <c r="M9" s="15">
        <f t="shared" si="0"/>
        <v>-5.9890580939764293E-3</v>
      </c>
    </row>
    <row r="11" spans="1:14" x14ac:dyDescent="0.35">
      <c r="B11" t="s">
        <v>59</v>
      </c>
      <c r="C11" s="16">
        <f>IFERROR(SUM('Data Sheet'!B18,'Data Sheet'!B20:B22,-1*('Data Sheet'!B19)),0)</f>
        <v>9298.77</v>
      </c>
      <c r="D11" s="16">
        <f>IFERROR(SUM('Data Sheet'!C18,'Data Sheet'!C20:C22,-1*('Data Sheet'!C19)),0)</f>
        <v>9413.8399999999983</v>
      </c>
      <c r="E11" s="16">
        <f>IFERROR(SUM('Data Sheet'!D18,'Data Sheet'!D20:D22,-1*('Data Sheet'!D19)),0)</f>
        <v>9732.66</v>
      </c>
      <c r="F11" s="16">
        <f>IFERROR(SUM('Data Sheet'!E18,'Data Sheet'!E20:E22,-1*('Data Sheet'!E19)),0)</f>
        <v>11194.169999999998</v>
      </c>
      <c r="G11" s="16">
        <f>IFERROR(SUM('Data Sheet'!F18,'Data Sheet'!F20:F22,-1*('Data Sheet'!F19)),0)</f>
        <v>12905.81</v>
      </c>
      <c r="H11" s="16">
        <f>IFERROR(SUM('Data Sheet'!G18,'Data Sheet'!G20:G22,-1*('Data Sheet'!G19)),0)</f>
        <v>13158.020000000002</v>
      </c>
      <c r="I11" s="16">
        <f>IFERROR(SUM('Data Sheet'!H18,'Data Sheet'!H20:H22,-1*('Data Sheet'!H19)),0)</f>
        <v>14035.069999999998</v>
      </c>
      <c r="J11" s="16">
        <f>IFERROR(SUM('Data Sheet'!I18,'Data Sheet'!I20:I22,-1*('Data Sheet'!I19)),0)</f>
        <v>20590.57</v>
      </c>
      <c r="K11" s="16">
        <f>IFERROR(SUM('Data Sheet'!J18,'Data Sheet'!J20:J22,-1*('Data Sheet'!J19)),0)</f>
        <v>23766.7</v>
      </c>
      <c r="L11" s="16">
        <f>IFERROR(SUM('Data Sheet'!K18,'Data Sheet'!K20:K22,-1*('Data Sheet'!K19)),0)</f>
        <v>23009.99</v>
      </c>
      <c r="M11" s="16">
        <f>IFERROR(SUM('Data Sheet'!H43:K43),0)</f>
        <v>28124.69</v>
      </c>
    </row>
    <row r="12" spans="1:14" x14ac:dyDescent="0.35">
      <c r="B12" s="13" t="s">
        <v>60</v>
      </c>
      <c r="C12" s="15">
        <f>C11/C8</f>
        <v>0.68296675935678053</v>
      </c>
      <c r="D12" s="15">
        <f t="shared" ref="D12:M12" si="1">D11/D8</f>
        <v>0.65962558919916547</v>
      </c>
      <c r="E12" s="15">
        <f t="shared" si="1"/>
        <v>0.64617357998511482</v>
      </c>
      <c r="F12" s="15">
        <f t="shared" si="1"/>
        <v>0.66534736441687881</v>
      </c>
      <c r="G12" s="15">
        <f t="shared" si="1"/>
        <v>0.67077561326248825</v>
      </c>
      <c r="H12" s="15">
        <f t="shared" si="1"/>
        <v>0.65102455315727636</v>
      </c>
      <c r="I12" s="15">
        <f t="shared" si="1"/>
        <v>0.64639643270164715</v>
      </c>
      <c r="J12" s="15">
        <f t="shared" si="1"/>
        <v>0.70754860267314701</v>
      </c>
      <c r="K12" s="15">
        <f t="shared" si="1"/>
        <v>0.68911776329504926</v>
      </c>
      <c r="L12" s="15">
        <f t="shared" si="1"/>
        <v>0.64826496778535858</v>
      </c>
      <c r="M12" s="15">
        <f t="shared" si="1"/>
        <v>0.79713651237240368</v>
      </c>
    </row>
    <row r="14" spans="1:14" x14ac:dyDescent="0.35">
      <c r="B14" s="35" t="s">
        <v>61</v>
      </c>
      <c r="C14" s="36">
        <f>C8-C11</f>
        <v>4316.49</v>
      </c>
      <c r="D14" s="36">
        <f t="shared" ref="D14:M14" si="2">D8-D11</f>
        <v>4857.6500000000015</v>
      </c>
      <c r="E14" s="36">
        <f t="shared" si="2"/>
        <v>5329.33</v>
      </c>
      <c r="F14" s="36">
        <f t="shared" si="2"/>
        <v>5630.380000000001</v>
      </c>
      <c r="G14" s="36">
        <f t="shared" si="2"/>
        <v>6334.3200000000015</v>
      </c>
      <c r="H14" s="36">
        <f t="shared" si="2"/>
        <v>7053.2299999999977</v>
      </c>
      <c r="I14" s="36">
        <f t="shared" si="2"/>
        <v>7677.720000000003</v>
      </c>
      <c r="J14" s="36">
        <f t="shared" si="2"/>
        <v>8510.7099999999991</v>
      </c>
      <c r="K14" s="36">
        <f t="shared" si="2"/>
        <v>10721.889999999996</v>
      </c>
      <c r="L14" s="36">
        <f t="shared" si="2"/>
        <v>12484.740000000002</v>
      </c>
      <c r="M14" s="36">
        <f t="shared" si="2"/>
        <v>7157.4599999999955</v>
      </c>
    </row>
    <row r="15" spans="1:14" x14ac:dyDescent="0.35">
      <c r="B15" s="13" t="s">
        <v>68</v>
      </c>
      <c r="C15" s="15">
        <f>C14/C8</f>
        <v>0.31703324064321942</v>
      </c>
      <c r="D15" s="15">
        <f t="shared" ref="D15:M15" si="3">D14/D8</f>
        <v>0.34037441080083447</v>
      </c>
      <c r="E15" s="15">
        <f t="shared" si="3"/>
        <v>0.35382642001488518</v>
      </c>
      <c r="F15" s="15">
        <f t="shared" si="3"/>
        <v>0.33465263558312119</v>
      </c>
      <c r="G15" s="15">
        <f t="shared" si="3"/>
        <v>0.3292243867375117</v>
      </c>
      <c r="H15" s="15">
        <f t="shared" si="3"/>
        <v>0.34897544684272364</v>
      </c>
      <c r="I15" s="15">
        <f t="shared" si="3"/>
        <v>0.35360356729835285</v>
      </c>
      <c r="J15" s="15">
        <f t="shared" si="3"/>
        <v>0.29245139732685294</v>
      </c>
      <c r="K15" s="15">
        <f t="shared" si="3"/>
        <v>0.31088223670495074</v>
      </c>
      <c r="L15" s="15">
        <f t="shared" si="3"/>
        <v>0.35173503221464147</v>
      </c>
      <c r="M15" s="15">
        <f t="shared" si="3"/>
        <v>0.20286348762759629</v>
      </c>
    </row>
    <row r="17" spans="2:13" x14ac:dyDescent="0.35">
      <c r="B17" t="s">
        <v>62</v>
      </c>
      <c r="C17" s="17">
        <f>IFERROR(SUM('Data Sheet'!B23:B24),0)</f>
        <v>2073.6</v>
      </c>
      <c r="D17" s="17">
        <f>IFERROR(SUM('Data Sheet'!C23:C24),0)</f>
        <v>2132.61</v>
      </c>
      <c r="E17" s="17">
        <f>IFERROR(SUM('Data Sheet'!D23:D24),0)</f>
        <v>2335.5699999999997</v>
      </c>
      <c r="F17" s="17">
        <f>IFERROR(SUM('Data Sheet'!E23:E24),0)</f>
        <v>2426.37</v>
      </c>
      <c r="G17" s="17">
        <f>IFERROR(SUM('Data Sheet'!F23:F24),0)</f>
        <v>2569.38</v>
      </c>
      <c r="H17" s="17">
        <f>IFERROR(SUM('Data Sheet'!G23:G24),0)</f>
        <v>2896.4100000000003</v>
      </c>
      <c r="I17" s="17">
        <f>IFERROR(SUM('Data Sheet'!H23:H24),0)</f>
        <v>2822.12</v>
      </c>
      <c r="J17" s="17">
        <f>IFERROR(SUM('Data Sheet'!I23:I24),0)</f>
        <v>3707.1</v>
      </c>
      <c r="K17" s="17">
        <f>IFERROR(SUM('Data Sheet'!J23:J24),0)</f>
        <v>4462.05</v>
      </c>
      <c r="L17" s="17">
        <f>IFERROR(SUM('Data Sheet'!K23:K24),0)</f>
        <v>4899.76</v>
      </c>
      <c r="M17" s="14">
        <v>0</v>
      </c>
    </row>
    <row r="18" spans="2:13" x14ac:dyDescent="0.35">
      <c r="B18" s="15" t="s">
        <v>63</v>
      </c>
      <c r="C18" s="15">
        <f>C17/C8</f>
        <v>0.15229969901419435</v>
      </c>
      <c r="D18" s="15">
        <f t="shared" ref="D18:M18" si="4">D17/D8</f>
        <v>0.14943148893353111</v>
      </c>
      <c r="E18" s="15">
        <f t="shared" si="4"/>
        <v>0.15506383950593511</v>
      </c>
      <c r="F18" s="15">
        <f t="shared" si="4"/>
        <v>0.14421604143944414</v>
      </c>
      <c r="G18" s="15">
        <f t="shared" si="4"/>
        <v>0.13354275672773522</v>
      </c>
      <c r="H18" s="15">
        <f t="shared" si="4"/>
        <v>0.14330682169583772</v>
      </c>
      <c r="I18" s="15">
        <f t="shared" si="4"/>
        <v>0.12997500551518251</v>
      </c>
      <c r="J18" s="15">
        <f t="shared" si="4"/>
        <v>0.1273861493377611</v>
      </c>
      <c r="K18" s="15">
        <f t="shared" si="4"/>
        <v>0.12937757095897515</v>
      </c>
      <c r="L18" s="15">
        <f t="shared" si="4"/>
        <v>0.1380419008681007</v>
      </c>
      <c r="M18" s="15">
        <f t="shared" si="4"/>
        <v>0</v>
      </c>
    </row>
    <row r="20" spans="2:13" x14ac:dyDescent="0.35">
      <c r="B20" s="35" t="s">
        <v>64</v>
      </c>
      <c r="C20" s="36">
        <f>C14-C17</f>
        <v>2242.89</v>
      </c>
      <c r="D20" s="36">
        <f t="shared" ref="D20:L20" si="5">D14-D17</f>
        <v>2725.0400000000013</v>
      </c>
      <c r="E20" s="36">
        <f t="shared" si="5"/>
        <v>2993.76</v>
      </c>
      <c r="F20" s="36">
        <f t="shared" si="5"/>
        <v>3204.0100000000011</v>
      </c>
      <c r="G20" s="36">
        <f t="shared" si="5"/>
        <v>3764.9400000000014</v>
      </c>
      <c r="H20" s="36">
        <f t="shared" si="5"/>
        <v>4156.8199999999979</v>
      </c>
      <c r="I20" s="36">
        <f t="shared" si="5"/>
        <v>4855.6000000000031</v>
      </c>
      <c r="J20" s="36">
        <f t="shared" si="5"/>
        <v>4803.6099999999988</v>
      </c>
      <c r="K20" s="36">
        <f t="shared" si="5"/>
        <v>6259.8399999999956</v>
      </c>
      <c r="L20" s="36">
        <f t="shared" si="5"/>
        <v>7584.9800000000014</v>
      </c>
      <c r="M20" s="37"/>
    </row>
    <row r="21" spans="2:13" x14ac:dyDescent="0.35">
      <c r="B21" s="15" t="s">
        <v>65</v>
      </c>
      <c r="C21" s="15">
        <f>C20/C8</f>
        <v>0.16473354162902507</v>
      </c>
      <c r="D21" s="15">
        <f t="shared" ref="D21:M21" si="6">D20/D8</f>
        <v>0.19094292186730338</v>
      </c>
      <c r="E21" s="15">
        <f t="shared" si="6"/>
        <v>0.19876258050895004</v>
      </c>
      <c r="F21" s="15">
        <f t="shared" si="6"/>
        <v>0.19043659414367703</v>
      </c>
      <c r="G21" s="15">
        <f t="shared" si="6"/>
        <v>0.19568163000977651</v>
      </c>
      <c r="H21" s="15">
        <f t="shared" si="6"/>
        <v>0.20566862514688591</v>
      </c>
      <c r="I21" s="15">
        <f t="shared" si="6"/>
        <v>0.22362856178317034</v>
      </c>
      <c r="J21" s="15">
        <f t="shared" si="6"/>
        <v>0.16506524798909186</v>
      </c>
      <c r="K21" s="15">
        <f t="shared" si="6"/>
        <v>0.1815046657459756</v>
      </c>
      <c r="L21" s="15">
        <f t="shared" si="6"/>
        <v>0.21369313134654075</v>
      </c>
      <c r="M21" s="15">
        <f t="shared" si="6"/>
        <v>0</v>
      </c>
    </row>
    <row r="23" spans="2:13" x14ac:dyDescent="0.35">
      <c r="B23" t="s">
        <v>29</v>
      </c>
      <c r="C23" s="16">
        <f>IFERROR('Data Sheet'!B27,0)</f>
        <v>42.24</v>
      </c>
      <c r="D23" s="16">
        <f>IFERROR('Data Sheet'!C27,0)</f>
        <v>49</v>
      </c>
      <c r="E23" s="16">
        <f>IFERROR('Data Sheet'!D27,0)</f>
        <v>37.33</v>
      </c>
      <c r="F23" s="16">
        <f>IFERROR('Data Sheet'!E27,0)</f>
        <v>41.47</v>
      </c>
      <c r="G23" s="16">
        <f>IFERROR('Data Sheet'!F27,0)</f>
        <v>110.47</v>
      </c>
      <c r="H23" s="16">
        <f>IFERROR('Data Sheet'!G27,0)</f>
        <v>102.33</v>
      </c>
      <c r="I23" s="16">
        <f>IFERROR('Data Sheet'!H27,0)</f>
        <v>91.63</v>
      </c>
      <c r="J23" s="16">
        <f>IFERROR('Data Sheet'!I27,0)</f>
        <v>95.41</v>
      </c>
      <c r="K23" s="16">
        <f>IFERROR('Data Sheet'!J27,0)</f>
        <v>144.44999999999999</v>
      </c>
      <c r="L23" s="16">
        <f>IFERROR('Data Sheet'!K27,0)</f>
        <v>205.17</v>
      </c>
      <c r="M23" s="16">
        <f>IFERROR(SUM('Data Sheet'!H46:K46),0)</f>
        <v>214.79999999999998</v>
      </c>
    </row>
    <row r="24" spans="2:13" x14ac:dyDescent="0.35">
      <c r="B24" s="15" t="s">
        <v>66</v>
      </c>
      <c r="C24" s="15">
        <f>C23/C8</f>
        <v>3.1024012762150706E-3</v>
      </c>
      <c r="D24" s="15">
        <f t="shared" ref="D24:M24" si="7">D23/D8</f>
        <v>3.4334186549547386E-3</v>
      </c>
      <c r="E24" s="15">
        <f t="shared" si="7"/>
        <v>2.4784241657310885E-3</v>
      </c>
      <c r="F24" s="15">
        <f t="shared" si="7"/>
        <v>2.4648504714836358E-3</v>
      </c>
      <c r="G24" s="15">
        <f t="shared" si="7"/>
        <v>5.7416451967840128E-3</v>
      </c>
      <c r="H24" s="15">
        <f t="shared" si="7"/>
        <v>5.0630218319005502E-3</v>
      </c>
      <c r="I24" s="15">
        <f t="shared" si="7"/>
        <v>4.2200933182700148E-3</v>
      </c>
      <c r="J24" s="15">
        <f t="shared" si="7"/>
        <v>3.2785499469439143E-3</v>
      </c>
      <c r="K24" s="15">
        <f t="shared" si="7"/>
        <v>4.1883417095335005E-3</v>
      </c>
      <c r="L24" s="15">
        <f t="shared" si="7"/>
        <v>5.7802947085384216E-3</v>
      </c>
      <c r="M24" s="15">
        <f t="shared" si="7"/>
        <v>6.0880643611571292E-3</v>
      </c>
    </row>
    <row r="26" spans="2:13" x14ac:dyDescent="0.35">
      <c r="B26" t="s">
        <v>30</v>
      </c>
      <c r="C26" s="16">
        <f>IFERROR('Data Sheet'!B26,0)</f>
        <v>265.92</v>
      </c>
      <c r="D26" s="16">
        <f>IFERROR('Data Sheet'!C26,0)</f>
        <v>275.58</v>
      </c>
      <c r="E26" s="16">
        <f>IFERROR('Data Sheet'!D26,0)</f>
        <v>334.79</v>
      </c>
      <c r="F26" s="16">
        <f>IFERROR('Data Sheet'!E26,0)</f>
        <v>360.47</v>
      </c>
      <c r="G26" s="16">
        <f>IFERROR('Data Sheet'!F26,0)</f>
        <v>622.14</v>
      </c>
      <c r="H26" s="16">
        <f>IFERROR('Data Sheet'!G26,0)</f>
        <v>780.5</v>
      </c>
      <c r="I26" s="16">
        <f>IFERROR('Data Sheet'!H26,0)</f>
        <v>791.27</v>
      </c>
      <c r="J26" s="16">
        <f>IFERROR('Data Sheet'!I26,0)</f>
        <v>816.36</v>
      </c>
      <c r="K26" s="16">
        <f>IFERROR('Data Sheet'!J26,0)</f>
        <v>858.02</v>
      </c>
      <c r="L26" s="16">
        <f>IFERROR('Data Sheet'!K26,0)</f>
        <v>853</v>
      </c>
      <c r="M26" s="16">
        <f>IFERROR(SUM('Data Sheet'!H45:K45),0)</f>
        <v>882.38000000000011</v>
      </c>
    </row>
    <row r="27" spans="2:13" x14ac:dyDescent="0.35">
      <c r="B27" s="15" t="s">
        <v>67</v>
      </c>
      <c r="C27" s="15">
        <f>IFERROR(C26/C8,0)</f>
        <v>1.953102621617215E-2</v>
      </c>
      <c r="D27" s="15">
        <f t="shared" ref="D27:M27" si="8">IFERROR(D26/D8,0)</f>
        <v>1.9309826794539322E-2</v>
      </c>
      <c r="E27" s="15">
        <f t="shared" si="8"/>
        <v>2.2227474590011016E-2</v>
      </c>
      <c r="F27" s="15">
        <f t="shared" si="8"/>
        <v>2.1425238713665449E-2</v>
      </c>
      <c r="G27" s="15">
        <f t="shared" si="8"/>
        <v>3.2335540352378074E-2</v>
      </c>
      <c r="H27" s="15">
        <f t="shared" si="8"/>
        <v>3.8617106809326486E-2</v>
      </c>
      <c r="I27" s="15">
        <f t="shared" si="8"/>
        <v>3.6442576011650275E-2</v>
      </c>
      <c r="J27" s="15">
        <f t="shared" si="8"/>
        <v>2.8052374328551871E-2</v>
      </c>
      <c r="K27" s="15">
        <f t="shared" si="8"/>
        <v>2.4878372818372688E-2</v>
      </c>
      <c r="L27" s="15">
        <f t="shared" si="8"/>
        <v>2.4031736542297968E-2</v>
      </c>
      <c r="M27" s="15">
        <f t="shared" si="8"/>
        <v>2.5009246885464752E-2</v>
      </c>
    </row>
    <row r="29" spans="2:13" x14ac:dyDescent="0.35">
      <c r="B29" s="38" t="s">
        <v>69</v>
      </c>
      <c r="C29" s="38">
        <f>IFERROR(C20-SUM(C23,C26),0)</f>
        <v>1934.7299999999998</v>
      </c>
      <c r="D29" s="38">
        <f t="shared" ref="D29:M29" si="9">IFERROR(D20-SUM(D23,D26),0)</f>
        <v>2400.4600000000014</v>
      </c>
      <c r="E29" s="38">
        <f t="shared" si="9"/>
        <v>2621.6400000000003</v>
      </c>
      <c r="F29" s="38">
        <f t="shared" si="9"/>
        <v>2802.0700000000011</v>
      </c>
      <c r="G29" s="38">
        <f t="shared" si="9"/>
        <v>3032.3300000000013</v>
      </c>
      <c r="H29" s="38">
        <f t="shared" si="9"/>
        <v>3273.989999999998</v>
      </c>
      <c r="I29" s="38">
        <f t="shared" si="9"/>
        <v>3972.700000000003</v>
      </c>
      <c r="J29" s="38">
        <f t="shared" si="9"/>
        <v>3891.8399999999988</v>
      </c>
      <c r="K29" s="38">
        <f t="shared" si="9"/>
        <v>5257.3699999999953</v>
      </c>
      <c r="L29" s="38">
        <f t="shared" si="9"/>
        <v>6526.8100000000013</v>
      </c>
      <c r="M29" s="38">
        <f t="shared" si="9"/>
        <v>-1097.18</v>
      </c>
    </row>
    <row r="30" spans="2:13" x14ac:dyDescent="0.35">
      <c r="B30" s="15" t="s">
        <v>70</v>
      </c>
      <c r="C30" s="15">
        <f>IFERROR(C29/C8,0)</f>
        <v>0.14210011413663784</v>
      </c>
      <c r="D30" s="15">
        <f t="shared" ref="D30:M30" si="10">IFERROR(D29/D8,0)</f>
        <v>0.16819967641780931</v>
      </c>
      <c r="E30" s="15">
        <f t="shared" si="10"/>
        <v>0.17405668175320793</v>
      </c>
      <c r="F30" s="15">
        <f t="shared" si="10"/>
        <v>0.16654650495852794</v>
      </c>
      <c r="G30" s="15">
        <f t="shared" si="10"/>
        <v>0.15760444446061442</v>
      </c>
      <c r="H30" s="15">
        <f t="shared" si="10"/>
        <v>0.16198849650565889</v>
      </c>
      <c r="I30" s="15">
        <f t="shared" si="10"/>
        <v>0.18296589245325004</v>
      </c>
      <c r="J30" s="15">
        <f t="shared" si="10"/>
        <v>0.13373432371359606</v>
      </c>
      <c r="K30" s="15">
        <f t="shared" si="10"/>
        <v>0.15243795121806938</v>
      </c>
      <c r="L30" s="15">
        <f t="shared" si="10"/>
        <v>0.18388110009570438</v>
      </c>
      <c r="M30" s="15">
        <f t="shared" si="10"/>
        <v>-3.1097311246621882E-2</v>
      </c>
    </row>
    <row r="32" spans="2:13" x14ac:dyDescent="0.35">
      <c r="B32" t="s">
        <v>27</v>
      </c>
      <c r="C32" s="31">
        <f>IFERROR('Data Sheet'!B29,0)</f>
        <v>649.54</v>
      </c>
      <c r="D32" s="31">
        <f>IFERROR('Data Sheet'!C29,0)</f>
        <v>844.49</v>
      </c>
      <c r="E32" s="31">
        <f>IFERROR('Data Sheet'!D29,0)</f>
        <v>943.29</v>
      </c>
      <c r="F32" s="31">
        <f>IFERROR('Data Sheet'!E29,0)</f>
        <v>1040.96</v>
      </c>
      <c r="G32" s="31">
        <f>IFERROR('Data Sheet'!F29,0)</f>
        <v>1098.06</v>
      </c>
      <c r="H32" s="31">
        <f>IFERROR('Data Sheet'!G29,0)</f>
        <v>854.85</v>
      </c>
      <c r="I32" s="31">
        <f>IFERROR('Data Sheet'!H29,0)</f>
        <v>1097.5999999999999</v>
      </c>
      <c r="J32" s="31">
        <f>IFERROR('Data Sheet'!I29,0)</f>
        <v>1102.9100000000001</v>
      </c>
      <c r="K32" s="31">
        <f>IFERROR('Data Sheet'!J29,0)</f>
        <v>1493.5</v>
      </c>
      <c r="L32" s="31">
        <f>IFERROR('Data Sheet'!K29,0)</f>
        <v>1790.08</v>
      </c>
      <c r="M32" s="31">
        <f>IFERROR(SUM('Data Sheet'!H48:K48),0)</f>
        <v>1676.79</v>
      </c>
    </row>
    <row r="33" spans="1:13" x14ac:dyDescent="0.35">
      <c r="B33" s="15" t="s">
        <v>71</v>
      </c>
      <c r="C33" s="15">
        <f>IFERROR(C32/C29,0)</f>
        <v>0.33572643211197428</v>
      </c>
      <c r="D33" s="15">
        <f t="shared" ref="D33:L33" si="11">IFERROR(D32/D29,0)</f>
        <v>0.35180340434749985</v>
      </c>
      <c r="E33" s="15">
        <f t="shared" si="11"/>
        <v>0.35980912711127377</v>
      </c>
      <c r="F33" s="15">
        <f t="shared" si="11"/>
        <v>0.37149678630441052</v>
      </c>
      <c r="G33" s="15">
        <f t="shared" si="11"/>
        <v>0.36211757955103813</v>
      </c>
      <c r="H33" s="15">
        <f t="shared" si="11"/>
        <v>0.26110342426213901</v>
      </c>
      <c r="I33" s="15">
        <f t="shared" si="11"/>
        <v>0.2762856495582347</v>
      </c>
      <c r="J33" s="15">
        <f t="shared" si="11"/>
        <v>0.2833903757605658</v>
      </c>
      <c r="K33" s="15">
        <f t="shared" si="11"/>
        <v>0.28407739991668862</v>
      </c>
      <c r="L33" s="15">
        <f t="shared" si="11"/>
        <v>0.27426568262290452</v>
      </c>
      <c r="M33" s="15">
        <f>IFERROR(M32/M29,0)</f>
        <v>-1.5282724803587378</v>
      </c>
    </row>
    <row r="35" spans="1:13" x14ac:dyDescent="0.35">
      <c r="B35" s="39" t="s">
        <v>73</v>
      </c>
      <c r="C35" s="38">
        <f>IFERROR(C29-C32,0)</f>
        <v>1285.1899999999998</v>
      </c>
      <c r="D35" s="38">
        <f t="shared" ref="D35:M35" si="12">IFERROR(D29-D32,0)</f>
        <v>1555.9700000000014</v>
      </c>
      <c r="E35" s="38">
        <f t="shared" si="12"/>
        <v>1678.3500000000004</v>
      </c>
      <c r="F35" s="38">
        <f t="shared" si="12"/>
        <v>1761.110000000001</v>
      </c>
      <c r="G35" s="38">
        <f t="shared" si="12"/>
        <v>1934.2700000000013</v>
      </c>
      <c r="H35" s="38">
        <f t="shared" si="12"/>
        <v>2419.1399999999981</v>
      </c>
      <c r="I35" s="38">
        <f t="shared" si="12"/>
        <v>2875.1000000000031</v>
      </c>
      <c r="J35" s="38">
        <f t="shared" si="12"/>
        <v>2788.9299999999985</v>
      </c>
      <c r="K35" s="38">
        <f t="shared" si="12"/>
        <v>3763.8699999999953</v>
      </c>
      <c r="L35" s="38">
        <f t="shared" si="12"/>
        <v>4736.7300000000014</v>
      </c>
      <c r="M35" s="38">
        <f t="shared" si="12"/>
        <v>-2773.9700000000003</v>
      </c>
    </row>
    <row r="36" spans="1:13" x14ac:dyDescent="0.35">
      <c r="B36" s="15" t="s">
        <v>74</v>
      </c>
      <c r="C36" s="15">
        <f>IFERROR(C35/C8,0)</f>
        <v>9.43933498148401E-2</v>
      </c>
      <c r="D36" s="15">
        <f t="shared" ref="D36:M36" si="13">IFERROR(D35/D8,0)</f>
        <v>0.10902645764387611</v>
      </c>
      <c r="E36" s="15">
        <f t="shared" si="13"/>
        <v>0.1114294990237014</v>
      </c>
      <c r="F36" s="15">
        <f t="shared" si="13"/>
        <v>0.10467501359620324</v>
      </c>
      <c r="G36" s="15">
        <f t="shared" si="13"/>
        <v>0.1005331045060507</v>
      </c>
      <c r="H36" s="15">
        <f t="shared" si="13"/>
        <v>0.1196927453769558</v>
      </c>
      <c r="I36" s="15">
        <f t="shared" si="13"/>
        <v>0.13241504200980173</v>
      </c>
      <c r="J36" s="15">
        <f t="shared" si="13"/>
        <v>9.5835303464314917E-2</v>
      </c>
      <c r="K36" s="15">
        <f t="shared" si="13"/>
        <v>0.10913377438741322</v>
      </c>
      <c r="L36" s="15">
        <f t="shared" si="13"/>
        <v>0.13344882465650537</v>
      </c>
      <c r="M36" s="15">
        <f t="shared" si="13"/>
        <v>-7.8622476237984379E-2</v>
      </c>
    </row>
    <row r="38" spans="1:13" x14ac:dyDescent="0.35">
      <c r="B38" t="s">
        <v>75</v>
      </c>
      <c r="C38">
        <f>IFERROR('Data Sheet'!B93,0)</f>
        <v>95.92</v>
      </c>
      <c r="D38">
        <f>IFERROR('Data Sheet'!C93,0)</f>
        <v>95.92</v>
      </c>
      <c r="E38">
        <f>IFERROR('Data Sheet'!D93,0)</f>
        <v>95.92</v>
      </c>
      <c r="F38">
        <f>IFERROR('Data Sheet'!E93,0)</f>
        <v>95.92</v>
      </c>
      <c r="G38">
        <f>IFERROR('Data Sheet'!F93,0)</f>
        <v>95.92</v>
      </c>
      <c r="H38">
        <f>IFERROR('Data Sheet'!G93,0)</f>
        <v>95.92</v>
      </c>
      <c r="I38">
        <f>IFERROR('Data Sheet'!H93,0)</f>
        <v>95.92</v>
      </c>
      <c r="J38">
        <f>IFERROR('Data Sheet'!I93,0)</f>
        <v>95.92</v>
      </c>
      <c r="K38">
        <f>IFERROR('Data Sheet'!J93,0)</f>
        <v>95.92</v>
      </c>
      <c r="L38">
        <f>IFERROR('Data Sheet'!K93,0)</f>
        <v>95.92</v>
      </c>
      <c r="M38" s="32">
        <f>IFERROR('Data Sheet'!L93,0)</f>
        <v>0</v>
      </c>
    </row>
    <row r="40" spans="1:13" x14ac:dyDescent="0.35">
      <c r="B40" t="s">
        <v>76</v>
      </c>
      <c r="C40" s="32">
        <f>IFERROR(C35/C38,0)</f>
        <v>13.398561301084236</v>
      </c>
      <c r="D40" s="32">
        <f t="shared" ref="D40:M40" si="14">IFERROR(D35/D38,0)</f>
        <v>16.221538782318614</v>
      </c>
      <c r="E40" s="32">
        <f t="shared" si="14"/>
        <v>17.497393661384489</v>
      </c>
      <c r="F40" s="32">
        <f t="shared" si="14"/>
        <v>18.360195996663897</v>
      </c>
      <c r="G40" s="32">
        <f t="shared" si="14"/>
        <v>20.165450375312773</v>
      </c>
      <c r="H40" s="32">
        <f t="shared" si="14"/>
        <v>25.220391993327752</v>
      </c>
      <c r="I40" s="32">
        <f t="shared" si="14"/>
        <v>29.973936613844902</v>
      </c>
      <c r="J40" s="32">
        <f t="shared" si="14"/>
        <v>29.075583819849857</v>
      </c>
      <c r="K40" s="32">
        <f t="shared" si="14"/>
        <v>39.23967889908252</v>
      </c>
      <c r="L40" s="32">
        <f t="shared" si="14"/>
        <v>49.382089241034208</v>
      </c>
      <c r="M40" s="32">
        <f t="shared" si="14"/>
        <v>0</v>
      </c>
    </row>
    <row r="41" spans="1:13" x14ac:dyDescent="0.35">
      <c r="B41" s="15" t="s">
        <v>78</v>
      </c>
      <c r="C41" s="15"/>
      <c r="D41" s="15">
        <f>IFERROR(D40/C40-1,0)</f>
        <v>0.21069258241972122</v>
      </c>
      <c r="E41" s="15">
        <f t="shared" ref="E41:M41" si="15">IFERROR(E40/D40-1,0)</f>
        <v>7.8651902028958443E-2</v>
      </c>
      <c r="F41" s="15">
        <f t="shared" si="15"/>
        <v>4.9310334554771629E-2</v>
      </c>
      <c r="G41" s="15">
        <f t="shared" si="15"/>
        <v>9.8324352255111824E-2</v>
      </c>
      <c r="H41" s="15">
        <f t="shared" si="15"/>
        <v>0.25067338065523237</v>
      </c>
      <c r="I41" s="15">
        <f t="shared" si="15"/>
        <v>0.18848020370875829</v>
      </c>
      <c r="J41" s="15">
        <f t="shared" si="15"/>
        <v>-2.9971131438908061E-2</v>
      </c>
      <c r="K41" s="15">
        <f t="shared" si="15"/>
        <v>0.34957492658474676</v>
      </c>
      <c r="L41" s="15">
        <f t="shared" si="15"/>
        <v>0.25847332665581102</v>
      </c>
      <c r="M41" s="15">
        <f t="shared" si="15"/>
        <v>-1</v>
      </c>
    </row>
    <row r="43" spans="1:13" x14ac:dyDescent="0.35">
      <c r="B43" t="s">
        <v>77</v>
      </c>
      <c r="C43" s="32">
        <f>IFERROR('Data Sheet'!B31/HistoricalFS!C38,0)</f>
        <v>6.0999791492910758</v>
      </c>
      <c r="D43" s="32">
        <f>IFERROR('Data Sheet'!C31/HistoricalFS!D38,0)</f>
        <v>7.5</v>
      </c>
      <c r="E43" s="32">
        <f>IFERROR('Data Sheet'!D31/HistoricalFS!E38,0)</f>
        <v>10.300041701417848</v>
      </c>
      <c r="F43" s="32">
        <f>IFERROR('Data Sheet'!E31/HistoricalFS!F38,0)</f>
        <v>8.6999582985821515</v>
      </c>
      <c r="G43" s="32">
        <f>IFERROR('Data Sheet'!F31/HistoricalFS!G38,0)</f>
        <v>10.5</v>
      </c>
      <c r="H43" s="32">
        <f>IFERROR('Data Sheet'!G31/HistoricalFS!H38,0)</f>
        <v>12</v>
      </c>
      <c r="I43" s="32">
        <f>IFERROR('Data Sheet'!H31/HistoricalFS!I38,0)</f>
        <v>17.849979149291077</v>
      </c>
      <c r="J43" s="32">
        <f>IFERROR('Data Sheet'!I31/HistoricalFS!J38,0)</f>
        <v>19.150020850708923</v>
      </c>
      <c r="K43" s="32">
        <f>IFERROR('Data Sheet'!J31/HistoricalFS!K38,0)</f>
        <v>25.650020850708923</v>
      </c>
      <c r="L43" s="32">
        <f>IFERROR('Data Sheet'!K31/HistoricalFS!L38,0)</f>
        <v>33.300041701417847</v>
      </c>
      <c r="M43" s="32">
        <f>IFERROR('Data Sheet'!L31/HistoricalFS!M38,0)</f>
        <v>0</v>
      </c>
    </row>
    <row r="44" spans="1:13" x14ac:dyDescent="0.35">
      <c r="B44" s="15" t="s">
        <v>79</v>
      </c>
      <c r="C44" s="15">
        <f>IFERROR(C43/C40,0)</f>
        <v>0.45527120503583129</v>
      </c>
      <c r="D44" s="15">
        <f t="shared" ref="D44:M44" si="16">IFERROR(D43/D40,0)</f>
        <v>0.46234824578880013</v>
      </c>
      <c r="E44" s="15">
        <f t="shared" si="16"/>
        <v>0.5886614830041409</v>
      </c>
      <c r="F44" s="15">
        <f t="shared" si="16"/>
        <v>0.47384887939992359</v>
      </c>
      <c r="G44" s="15">
        <f t="shared" si="16"/>
        <v>0.52069256101785133</v>
      </c>
      <c r="H44" s="15">
        <f t="shared" si="16"/>
        <v>0.47580545152409576</v>
      </c>
      <c r="I44" s="15">
        <f t="shared" si="16"/>
        <v>0.59551667768077576</v>
      </c>
      <c r="J44" s="15">
        <f t="shared" si="16"/>
        <v>0.65862893654555732</v>
      </c>
      <c r="K44" s="15">
        <f t="shared" si="16"/>
        <v>0.65367560516170931</v>
      </c>
      <c r="L44" s="15">
        <f t="shared" si="16"/>
        <v>0.67433440369199826</v>
      </c>
      <c r="M44" s="15">
        <f t="shared" si="16"/>
        <v>0</v>
      </c>
    </row>
    <row r="46" spans="1:13" x14ac:dyDescent="0.35">
      <c r="B46" t="s">
        <v>80</v>
      </c>
      <c r="C46" s="22">
        <f>IFERROR(IF(C40&gt;C43,1-C44,0),0)</f>
        <v>0.54472879496416871</v>
      </c>
      <c r="D46" s="22">
        <f t="shared" ref="D46:M46" si="17">IFERROR(IF(D40&gt;D43,1-D44,0),0)</f>
        <v>0.53765175421119982</v>
      </c>
      <c r="E46" s="22">
        <f t="shared" si="17"/>
        <v>0.4113385169958591</v>
      </c>
      <c r="F46" s="22">
        <f t="shared" si="17"/>
        <v>0.52615112060007641</v>
      </c>
      <c r="G46" s="22">
        <f t="shared" si="17"/>
        <v>0.47930743898214867</v>
      </c>
      <c r="H46" s="22">
        <f t="shared" si="17"/>
        <v>0.5241945484759043</v>
      </c>
      <c r="I46" s="22">
        <f t="shared" si="17"/>
        <v>0.40448332231922424</v>
      </c>
      <c r="J46" s="22">
        <f t="shared" si="17"/>
        <v>0.34137106345444268</v>
      </c>
      <c r="K46" s="22">
        <f t="shared" si="17"/>
        <v>0.34632439483829069</v>
      </c>
      <c r="L46" s="22">
        <f t="shared" si="17"/>
        <v>0.32566559630800174</v>
      </c>
      <c r="M46" s="22">
        <f t="shared" si="17"/>
        <v>0</v>
      </c>
    </row>
    <row r="48" spans="1:13" x14ac:dyDescent="0.35">
      <c r="A48" t="s">
        <v>57</v>
      </c>
      <c r="B48" s="18" t="s">
        <v>81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</row>
    <row r="50" spans="2:13" x14ac:dyDescent="0.35">
      <c r="B50" t="s">
        <v>23</v>
      </c>
      <c r="C50" s="32">
        <f>IFERROR('Data Sheet'!B57,0)</f>
        <v>95.92</v>
      </c>
      <c r="D50" s="32">
        <f>IFERROR('Data Sheet'!C57,0)</f>
        <v>95.92</v>
      </c>
      <c r="E50" s="32">
        <f>IFERROR('Data Sheet'!D57,0)</f>
        <v>95.92</v>
      </c>
      <c r="F50" s="32">
        <f>IFERROR('Data Sheet'!E57,0)</f>
        <v>95.92</v>
      </c>
      <c r="G50" s="32">
        <f>IFERROR('Data Sheet'!F57,0)</f>
        <v>95.92</v>
      </c>
      <c r="H50" s="32">
        <f>IFERROR('Data Sheet'!G57,0)</f>
        <v>95.92</v>
      </c>
      <c r="I50" s="32">
        <f>IFERROR('Data Sheet'!H57,0)</f>
        <v>95.92</v>
      </c>
      <c r="J50" s="32">
        <f>IFERROR('Data Sheet'!I57,0)</f>
        <v>95.92</v>
      </c>
      <c r="K50" s="32">
        <f>IFERROR('Data Sheet'!J57,0)</f>
        <v>95.92</v>
      </c>
      <c r="L50" s="32">
        <f>IFERROR('Data Sheet'!K57,0)</f>
        <v>95.92</v>
      </c>
    </row>
    <row r="51" spans="2:13" x14ac:dyDescent="0.35">
      <c r="B51" t="s">
        <v>22</v>
      </c>
      <c r="C51" s="32">
        <f>IFERROR('Data Sheet'!B58,0)</f>
        <v>4646.4399999999996</v>
      </c>
      <c r="D51" s="32">
        <f>IFERROR('Data Sheet'!C58,0)</f>
        <v>6428.9</v>
      </c>
      <c r="E51" s="32">
        <f>IFERROR('Data Sheet'!D58,0)</f>
        <v>7507.97</v>
      </c>
      <c r="F51" s="32">
        <f>IFERROR('Data Sheet'!E58,0)</f>
        <v>8314.31</v>
      </c>
      <c r="G51" s="32">
        <f>IFERROR('Data Sheet'!F58,0)</f>
        <v>9374.6299999999992</v>
      </c>
      <c r="H51" s="32">
        <f>IFERROR('Data Sheet'!G58,0)</f>
        <v>10034.24</v>
      </c>
      <c r="I51" s="32">
        <f>IFERROR('Data Sheet'!H58,0)</f>
        <v>12710.37</v>
      </c>
      <c r="J51" s="32">
        <f>IFERROR('Data Sheet'!I58,0)</f>
        <v>13715.64</v>
      </c>
      <c r="K51" s="32">
        <f>IFERROR('Data Sheet'!J58,0)</f>
        <v>15896.31</v>
      </c>
      <c r="L51" s="32">
        <f>IFERROR('Data Sheet'!K58,0)</f>
        <v>18632.38</v>
      </c>
    </row>
    <row r="52" spans="2:13" x14ac:dyDescent="0.35">
      <c r="B52" t="s">
        <v>21</v>
      </c>
      <c r="C52" s="32">
        <f>IFERROR('Data Sheet'!B59,0)</f>
        <v>418.17</v>
      </c>
      <c r="D52" s="32">
        <f>IFERROR('Data Sheet'!C59,0)</f>
        <v>323.29000000000002</v>
      </c>
      <c r="E52" s="32">
        <f>IFERROR('Data Sheet'!D59,0)</f>
        <v>560.34</v>
      </c>
      <c r="F52" s="32">
        <f>IFERROR('Data Sheet'!E59,0)</f>
        <v>533.42999999999995</v>
      </c>
      <c r="G52" s="32">
        <f>IFERROR('Data Sheet'!F59,0)</f>
        <v>1319.6</v>
      </c>
      <c r="H52" s="32">
        <f>IFERROR('Data Sheet'!G59,0)</f>
        <v>1118.5</v>
      </c>
      <c r="I52" s="32">
        <f>IFERROR('Data Sheet'!H59,0)</f>
        <v>1093.1199999999999</v>
      </c>
      <c r="J52" s="32">
        <f>IFERROR('Data Sheet'!I59,0)</f>
        <v>1586.88</v>
      </c>
      <c r="K52" s="32">
        <f>IFERROR('Data Sheet'!J59,0)</f>
        <v>1932.62</v>
      </c>
      <c r="L52" s="32">
        <f>IFERROR('Data Sheet'!K59,0)</f>
        <v>2474.38</v>
      </c>
    </row>
    <row r="53" spans="2:13" x14ac:dyDescent="0.35">
      <c r="B53" t="s">
        <v>20</v>
      </c>
      <c r="C53" s="32">
        <f>IFERROR('Data Sheet'!B60,0)</f>
        <v>3753.97</v>
      </c>
      <c r="D53" s="32">
        <f>IFERROR('Data Sheet'!C60,0)</f>
        <v>3710.92</v>
      </c>
      <c r="E53" s="32">
        <f>IFERROR('Data Sheet'!D60,0)</f>
        <v>4240.96</v>
      </c>
      <c r="F53" s="32">
        <f>IFERROR('Data Sheet'!E60,0)</f>
        <v>4819.82</v>
      </c>
      <c r="G53" s="32">
        <f>IFERROR('Data Sheet'!F60,0)</f>
        <v>5458.69</v>
      </c>
      <c r="H53" s="32">
        <f>IFERROR('Data Sheet'!G60,0)</f>
        <v>4889.3100000000004</v>
      </c>
      <c r="I53" s="32">
        <f>IFERROR('Data Sheet'!H60,0)</f>
        <v>6455.93</v>
      </c>
      <c r="J53" s="32">
        <f>IFERROR('Data Sheet'!I60,0)</f>
        <v>7559.99</v>
      </c>
      <c r="K53" s="32">
        <f>IFERROR('Data Sheet'!J60,0)</f>
        <v>7854.48</v>
      </c>
      <c r="L53" s="32">
        <f>IFERROR('Data Sheet'!K60,0)</f>
        <v>8698.09</v>
      </c>
    </row>
    <row r="54" spans="2:13" x14ac:dyDescent="0.35">
      <c r="B54" s="39" t="s">
        <v>82</v>
      </c>
      <c r="C54" s="40">
        <f>IFERROR('Data Sheet'!B61,0)</f>
        <v>8914.5</v>
      </c>
      <c r="D54" s="40">
        <f>IFERROR('Data Sheet'!C61,0)</f>
        <v>10559.03</v>
      </c>
      <c r="E54" s="40">
        <f>IFERROR('Data Sheet'!D61,0)</f>
        <v>12405.19</v>
      </c>
      <c r="F54" s="40">
        <f>IFERROR('Data Sheet'!E61,0)</f>
        <v>13763.48</v>
      </c>
      <c r="G54" s="40">
        <f>IFERROR('Data Sheet'!F61,0)</f>
        <v>16248.84</v>
      </c>
      <c r="H54" s="40">
        <f>IFERROR('Data Sheet'!G61,0)</f>
        <v>16137.97</v>
      </c>
      <c r="I54" s="40">
        <f>IFERROR('Data Sheet'!H61,0)</f>
        <v>20355.34</v>
      </c>
      <c r="J54" s="40">
        <f>IFERROR('Data Sheet'!I61,0)</f>
        <v>22958.43</v>
      </c>
      <c r="K54" s="40">
        <f>IFERROR('Data Sheet'!J61,0)</f>
        <v>25779.33</v>
      </c>
      <c r="L54" s="40">
        <f>IFERROR('Data Sheet'!K61,0)</f>
        <v>29900.77</v>
      </c>
    </row>
    <row r="56" spans="2:13" x14ac:dyDescent="0.35">
      <c r="B56" t="s">
        <v>83</v>
      </c>
      <c r="C56" s="32">
        <f>IFERROR('Data Sheet'!B62,0)</f>
        <v>2660.04</v>
      </c>
      <c r="D56" s="32">
        <f>IFERROR('Data Sheet'!C62,0)</f>
        <v>3416.35</v>
      </c>
      <c r="E56" s="32">
        <f>IFERROR('Data Sheet'!D62,0)</f>
        <v>3303.74</v>
      </c>
      <c r="F56" s="32">
        <f>IFERROR('Data Sheet'!E62,0)</f>
        <v>3732.24</v>
      </c>
      <c r="G56" s="32">
        <f>IFERROR('Data Sheet'!F62,0)</f>
        <v>6496.56</v>
      </c>
      <c r="H56" s="32">
        <f>IFERROR('Data Sheet'!G62,0)</f>
        <v>6272.31</v>
      </c>
      <c r="I56" s="32">
        <f>IFERROR('Data Sheet'!H62,0)</f>
        <v>5858.52</v>
      </c>
      <c r="J56" s="32">
        <f>IFERROR('Data Sheet'!I62,0)</f>
        <v>5519.06</v>
      </c>
      <c r="K56" s="32">
        <f>IFERROR('Data Sheet'!J62,0)</f>
        <v>5770.46</v>
      </c>
      <c r="L56" s="32">
        <f>IFERROR('Data Sheet'!K62,0)</f>
        <v>7146.62</v>
      </c>
    </row>
    <row r="57" spans="2:13" x14ac:dyDescent="0.35">
      <c r="B57" t="s">
        <v>18</v>
      </c>
      <c r="C57" s="32">
        <f>IFERROR('Data Sheet'!B63,0)</f>
        <v>196</v>
      </c>
      <c r="D57" s="32">
        <f>IFERROR('Data Sheet'!C63,0)</f>
        <v>106.59</v>
      </c>
      <c r="E57" s="32">
        <f>IFERROR('Data Sheet'!D63,0)</f>
        <v>257.54000000000002</v>
      </c>
      <c r="F57" s="32">
        <f>IFERROR('Data Sheet'!E63,0)</f>
        <v>1405.11</v>
      </c>
      <c r="G57" s="32">
        <f>IFERROR('Data Sheet'!F63,0)</f>
        <v>209.67</v>
      </c>
      <c r="H57" s="32">
        <f>IFERROR('Data Sheet'!G63,0)</f>
        <v>140.24</v>
      </c>
      <c r="I57" s="32">
        <f>IFERROR('Data Sheet'!H63,0)</f>
        <v>182.98</v>
      </c>
      <c r="J57" s="32">
        <f>IFERROR('Data Sheet'!I63,0)</f>
        <v>426.43</v>
      </c>
      <c r="K57" s="32">
        <f>IFERROR('Data Sheet'!J63,0)</f>
        <v>1019.59</v>
      </c>
      <c r="L57" s="32">
        <f>IFERROR('Data Sheet'!K63,0)</f>
        <v>2698.37</v>
      </c>
    </row>
    <row r="58" spans="2:13" x14ac:dyDescent="0.35">
      <c r="B58" t="s">
        <v>17</v>
      </c>
      <c r="C58" s="32">
        <f>IFERROR('Data Sheet'!B64,0)</f>
        <v>1587.79</v>
      </c>
      <c r="D58" s="32">
        <f>IFERROR('Data Sheet'!C64,0)</f>
        <v>2712.13</v>
      </c>
      <c r="E58" s="32">
        <f>IFERROR('Data Sheet'!D64,0)</f>
        <v>2651.99</v>
      </c>
      <c r="F58" s="32">
        <f>IFERROR('Data Sheet'!E64,0)</f>
        <v>2140.6999999999998</v>
      </c>
      <c r="G58" s="32">
        <f>IFERROR('Data Sheet'!F64,0)</f>
        <v>2568.58</v>
      </c>
      <c r="H58" s="32">
        <f>IFERROR('Data Sheet'!G64,0)</f>
        <v>2018.85</v>
      </c>
      <c r="I58" s="32">
        <f>IFERROR('Data Sheet'!H64,0)</f>
        <v>4736.8</v>
      </c>
      <c r="J58" s="32">
        <f>IFERROR('Data Sheet'!I64,0)</f>
        <v>3247.53</v>
      </c>
      <c r="K58" s="32">
        <f>IFERROR('Data Sheet'!J64,0)</f>
        <v>4261.71</v>
      </c>
      <c r="L58" s="32">
        <f>IFERROR('Data Sheet'!K64,0)</f>
        <v>4587.92</v>
      </c>
    </row>
    <row r="59" spans="2:13" x14ac:dyDescent="0.35">
      <c r="B59" t="s">
        <v>16</v>
      </c>
      <c r="C59" s="32">
        <f>IFERROR('Data Sheet'!B65-SUM('Data Sheet'!B67:B69),0)</f>
        <v>825.69</v>
      </c>
      <c r="D59" s="32">
        <f>IFERROR('Data Sheet'!C65-SUM('Data Sheet'!C67:C69),0)</f>
        <v>714.68000000000029</v>
      </c>
      <c r="E59" s="32">
        <f>IFERROR('Data Sheet'!D65-SUM('Data Sheet'!D67:D69),0)</f>
        <v>1317.17</v>
      </c>
      <c r="F59" s="32">
        <f>IFERROR('Data Sheet'!E65-SUM('Data Sheet'!E67:E69),0)</f>
        <v>1691.8400000000001</v>
      </c>
      <c r="G59" s="32">
        <f>IFERROR('Data Sheet'!F65-SUM('Data Sheet'!F67:F69),0)</f>
        <v>1471.9599999999991</v>
      </c>
      <c r="H59" s="32">
        <f>IFERROR('Data Sheet'!G65-SUM('Data Sheet'!G67:G69),0)</f>
        <v>1738.71</v>
      </c>
      <c r="I59" s="32">
        <f>IFERROR('Data Sheet'!H65-SUM('Data Sheet'!H67:H69),0)</f>
        <v>2565.5200000000004</v>
      </c>
      <c r="J59" s="32">
        <f>IFERROR('Data Sheet'!I65-SUM('Data Sheet'!I67:I69),0)</f>
        <v>2876.66</v>
      </c>
      <c r="K59" s="32">
        <f>IFERROR('Data Sheet'!J65-SUM('Data Sheet'!J67:J69),0)</f>
        <v>3036.17</v>
      </c>
      <c r="L59" s="32">
        <f>IFERROR('Data Sheet'!K65-SUM('Data Sheet'!K67:K69),0)</f>
        <v>3571.3900000000012</v>
      </c>
    </row>
    <row r="60" spans="2:13" x14ac:dyDescent="0.35">
      <c r="B60" s="39" t="s">
        <v>85</v>
      </c>
      <c r="C60" s="40">
        <f>IFERROR(SUM(C56:C59),0)</f>
        <v>5269.52</v>
      </c>
      <c r="D60" s="40">
        <f t="shared" ref="D60:L60" si="18">IFERROR(SUM(D56:D59),0)</f>
        <v>6949.75</v>
      </c>
      <c r="E60" s="40">
        <f t="shared" si="18"/>
        <v>7530.44</v>
      </c>
      <c r="F60" s="40">
        <f t="shared" si="18"/>
        <v>8969.89</v>
      </c>
      <c r="G60" s="40">
        <f t="shared" si="18"/>
        <v>10746.77</v>
      </c>
      <c r="H60" s="40">
        <f t="shared" si="18"/>
        <v>10170.11</v>
      </c>
      <c r="I60" s="40">
        <f t="shared" si="18"/>
        <v>13343.82</v>
      </c>
      <c r="J60" s="40">
        <f t="shared" si="18"/>
        <v>12069.68</v>
      </c>
      <c r="K60" s="40">
        <f t="shared" si="18"/>
        <v>14087.93</v>
      </c>
      <c r="L60" s="40">
        <f t="shared" si="18"/>
        <v>18004.300000000003</v>
      </c>
      <c r="M60" s="12"/>
    </row>
    <row r="61" spans="2:13" x14ac:dyDescent="0.35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x14ac:dyDescent="0.35">
      <c r="B62" t="s">
        <v>14</v>
      </c>
      <c r="C62" s="32">
        <f>IFERROR('Data Sheet'!B67,0)</f>
        <v>1182.07</v>
      </c>
      <c r="D62" s="32">
        <f>IFERROR('Data Sheet'!C67,0)</f>
        <v>1186.8399999999999</v>
      </c>
      <c r="E62" s="32">
        <f>IFERROR('Data Sheet'!D67,0)</f>
        <v>1446.6</v>
      </c>
      <c r="F62" s="32">
        <f>IFERROR('Data Sheet'!E67,0)</f>
        <v>1730.63</v>
      </c>
      <c r="G62" s="32">
        <f>IFERROR('Data Sheet'!F67,0)</f>
        <v>1907.33</v>
      </c>
      <c r="H62" s="32">
        <f>IFERROR('Data Sheet'!G67,0)</f>
        <v>1795.22</v>
      </c>
      <c r="I62" s="32">
        <f>IFERROR('Data Sheet'!H67,0)</f>
        <v>2602.17</v>
      </c>
      <c r="J62" s="32">
        <f>IFERROR('Data Sheet'!I67,0)</f>
        <v>3871.44</v>
      </c>
      <c r="K62" s="32">
        <f>IFERROR('Data Sheet'!J67,0)</f>
        <v>4636.9399999999996</v>
      </c>
      <c r="L62" s="32">
        <f>IFERROR('Data Sheet'!K67,0)</f>
        <v>4889.05</v>
      </c>
    </row>
    <row r="63" spans="2:13" x14ac:dyDescent="0.35">
      <c r="B63" t="s">
        <v>13</v>
      </c>
      <c r="C63" s="32">
        <f>IFERROR('Data Sheet'!B68,0)</f>
        <v>2258.52</v>
      </c>
      <c r="D63" s="32">
        <f>IFERROR('Data Sheet'!C68,0)</f>
        <v>1998.24</v>
      </c>
      <c r="E63" s="32">
        <f>IFERROR('Data Sheet'!D68,0)</f>
        <v>2626.94</v>
      </c>
      <c r="F63" s="32">
        <f>IFERROR('Data Sheet'!E68,0)</f>
        <v>2658.31</v>
      </c>
      <c r="G63" s="32">
        <f>IFERROR('Data Sheet'!F68,0)</f>
        <v>3149.86</v>
      </c>
      <c r="H63" s="32">
        <f>IFERROR('Data Sheet'!G68,0)</f>
        <v>3389.81</v>
      </c>
      <c r="I63" s="32">
        <f>IFERROR('Data Sheet'!H68,0)</f>
        <v>3798.6</v>
      </c>
      <c r="J63" s="32">
        <f>IFERROR('Data Sheet'!I68,0)</f>
        <v>6152.98</v>
      </c>
      <c r="K63" s="32">
        <f>IFERROR('Data Sheet'!J68,0)</f>
        <v>6210.64</v>
      </c>
      <c r="L63" s="32">
        <f>IFERROR('Data Sheet'!K68,0)</f>
        <v>5923.41</v>
      </c>
    </row>
    <row r="64" spans="2:13" x14ac:dyDescent="0.35">
      <c r="B64" t="s">
        <v>12</v>
      </c>
      <c r="C64" s="32">
        <f>IFERROR('Data Sheet'!B69,0)</f>
        <v>204.39</v>
      </c>
      <c r="D64" s="32">
        <f>IFERROR('Data Sheet'!C69,0)</f>
        <v>424.2</v>
      </c>
      <c r="E64" s="32">
        <f>IFERROR('Data Sheet'!D69,0)</f>
        <v>801.21</v>
      </c>
      <c r="F64" s="32">
        <f>IFERROR('Data Sheet'!E69,0)</f>
        <v>404.65</v>
      </c>
      <c r="G64" s="32">
        <f>IFERROR('Data Sheet'!F69,0)</f>
        <v>444.88</v>
      </c>
      <c r="H64" s="32">
        <f>IFERROR('Data Sheet'!G69,0)</f>
        <v>782.83</v>
      </c>
      <c r="I64" s="32">
        <f>IFERROR('Data Sheet'!H69,0)</f>
        <v>610.75</v>
      </c>
      <c r="J64" s="32">
        <f>IFERROR('Data Sheet'!I69,0)</f>
        <v>864.33</v>
      </c>
      <c r="K64" s="32">
        <f>IFERROR('Data Sheet'!J69,0)</f>
        <v>843.82</v>
      </c>
      <c r="L64" s="32">
        <f>IFERROR('Data Sheet'!K69,0)</f>
        <v>1084.01</v>
      </c>
    </row>
    <row r="65" spans="1:13" x14ac:dyDescent="0.35">
      <c r="B65" s="39" t="s">
        <v>86</v>
      </c>
      <c r="C65" s="40">
        <f>IFERROR(SUM(C62:C64),0)</f>
        <v>3644.98</v>
      </c>
      <c r="D65" s="40">
        <f t="shared" ref="D65:L65" si="19">IFERROR(SUM(D62:D64),0)</f>
        <v>3609.2799999999997</v>
      </c>
      <c r="E65" s="40">
        <f t="shared" si="19"/>
        <v>4874.75</v>
      </c>
      <c r="F65" s="40">
        <f t="shared" si="19"/>
        <v>4793.59</v>
      </c>
      <c r="G65" s="40">
        <f t="shared" si="19"/>
        <v>5502.0700000000006</v>
      </c>
      <c r="H65" s="40">
        <f t="shared" si="19"/>
        <v>5967.86</v>
      </c>
      <c r="I65" s="40">
        <f t="shared" si="19"/>
        <v>7011.52</v>
      </c>
      <c r="J65" s="40">
        <f t="shared" si="19"/>
        <v>10888.75</v>
      </c>
      <c r="K65" s="40">
        <f t="shared" si="19"/>
        <v>11691.4</v>
      </c>
      <c r="L65" s="40">
        <f t="shared" si="19"/>
        <v>11896.47</v>
      </c>
    </row>
    <row r="67" spans="1:13" x14ac:dyDescent="0.35">
      <c r="B67" s="39" t="s">
        <v>84</v>
      </c>
      <c r="C67" s="40">
        <f>IFERROR(C65+C60,0)</f>
        <v>8914.5</v>
      </c>
      <c r="D67" s="40">
        <f t="shared" ref="D67:L67" si="20">IFERROR(D65+D60,0)</f>
        <v>10559.029999999999</v>
      </c>
      <c r="E67" s="40">
        <f t="shared" si="20"/>
        <v>12405.189999999999</v>
      </c>
      <c r="F67" s="40">
        <f t="shared" si="20"/>
        <v>13763.48</v>
      </c>
      <c r="G67" s="40">
        <f t="shared" si="20"/>
        <v>16248.84</v>
      </c>
      <c r="H67" s="40">
        <f t="shared" si="20"/>
        <v>16137.970000000001</v>
      </c>
      <c r="I67" s="40">
        <f t="shared" si="20"/>
        <v>20355.34</v>
      </c>
      <c r="J67" s="40">
        <f t="shared" si="20"/>
        <v>22958.43</v>
      </c>
      <c r="K67" s="40">
        <f t="shared" si="20"/>
        <v>25779.33</v>
      </c>
      <c r="L67" s="40">
        <f t="shared" si="20"/>
        <v>29900.770000000004</v>
      </c>
    </row>
    <row r="69" spans="1:13" x14ac:dyDescent="0.35">
      <c r="B69" s="33" t="s">
        <v>87</v>
      </c>
      <c r="C69" t="b">
        <f>C67=C54</f>
        <v>1</v>
      </c>
      <c r="D69" t="b">
        <f t="shared" ref="D69:L69" si="21">D67=D54</f>
        <v>1</v>
      </c>
      <c r="E69" t="b">
        <f t="shared" si="21"/>
        <v>1</v>
      </c>
      <c r="F69" t="b">
        <f t="shared" si="21"/>
        <v>1</v>
      </c>
      <c r="G69" t="b">
        <f t="shared" si="21"/>
        <v>1</v>
      </c>
      <c r="H69" t="b">
        <f t="shared" si="21"/>
        <v>1</v>
      </c>
      <c r="I69" t="b">
        <f t="shared" si="21"/>
        <v>1</v>
      </c>
      <c r="J69" t="b">
        <f t="shared" si="21"/>
        <v>1</v>
      </c>
      <c r="K69" t="b">
        <f t="shared" si="21"/>
        <v>1</v>
      </c>
      <c r="L69" t="b">
        <f t="shared" si="21"/>
        <v>1</v>
      </c>
    </row>
    <row r="71" spans="1:13" x14ac:dyDescent="0.35">
      <c r="A71" t="s">
        <v>57</v>
      </c>
      <c r="B71" s="18" t="s">
        <v>88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</row>
    <row r="72" spans="1:13" x14ac:dyDescent="0.35">
      <c r="B72" s="12" t="s">
        <v>118</v>
      </c>
    </row>
    <row r="73" spans="1:13" x14ac:dyDescent="0.35">
      <c r="B73" t="s">
        <v>91</v>
      </c>
      <c r="C73" s="32">
        <f>IFERROR('Cash Flow Data'!C4,0)</f>
        <v>43397</v>
      </c>
      <c r="D73" s="32">
        <f>IFERROR('Cash Flow Data'!D4,0)</f>
        <v>38626</v>
      </c>
      <c r="E73" s="32">
        <f>IFERROR('Cash Flow Data'!E4,0)</f>
        <v>28840</v>
      </c>
      <c r="F73" s="32">
        <f>IFERROR('Cash Flow Data'!F4,0)</f>
        <v>33312</v>
      </c>
      <c r="G73" s="32">
        <f>IFERROR('Cash Flow Data'!G4,0)</f>
        <v>28771</v>
      </c>
      <c r="H73" s="32">
        <f>IFERROR('Cash Flow Data'!H4,0)</f>
        <v>23352</v>
      </c>
      <c r="I73" s="32">
        <f>IFERROR('Cash Flow Data'!I4,0)</f>
        <v>31198</v>
      </c>
      <c r="J73" s="32">
        <f>IFERROR('Cash Flow Data'!J4,0)</f>
        <v>26943</v>
      </c>
      <c r="K73" s="32">
        <f>IFERROR('Cash Flow Data'!K4,0)</f>
        <v>41694</v>
      </c>
      <c r="L73" s="32">
        <f>IFERROR('Cash Flow Data'!L4,0)</f>
        <v>65106</v>
      </c>
      <c r="M73" s="32"/>
    </row>
    <row r="74" spans="1:13" x14ac:dyDescent="0.35">
      <c r="B74" t="s">
        <v>14</v>
      </c>
      <c r="C74" s="32">
        <f>IFERROR('Cash Flow Data'!C5,0)</f>
        <v>-3179</v>
      </c>
      <c r="D74" s="32">
        <f>IFERROR('Cash Flow Data'!D5,0)</f>
        <v>-2223</v>
      </c>
      <c r="E74" s="32">
        <f>IFERROR('Cash Flow Data'!E5,0)</f>
        <v>-4152</v>
      </c>
      <c r="F74" s="32">
        <f>IFERROR('Cash Flow Data'!F5,0)</f>
        <v>-10688</v>
      </c>
      <c r="G74" s="32">
        <f>IFERROR('Cash Flow Data'!G5,0)</f>
        <v>-9109</v>
      </c>
      <c r="H74" s="32">
        <f>IFERROR('Cash Flow Data'!H5,0)</f>
        <v>9950</v>
      </c>
      <c r="I74" s="32">
        <f>IFERROR('Cash Flow Data'!I5,0)</f>
        <v>-5505</v>
      </c>
      <c r="J74" s="32">
        <f>IFERROR('Cash Flow Data'!J5,0)</f>
        <v>185</v>
      </c>
      <c r="K74" s="32">
        <f>IFERROR('Cash Flow Data'!K5,0)</f>
        <v>-2213</v>
      </c>
      <c r="L74" s="32">
        <f>IFERROR('Cash Flow Data'!L5,0)</f>
        <v>-1875</v>
      </c>
      <c r="M74" s="32"/>
    </row>
    <row r="75" spans="1:13" x14ac:dyDescent="0.35">
      <c r="B75" t="s">
        <v>13</v>
      </c>
      <c r="C75" s="32">
        <f>IFERROR('Cash Flow Data'!C6,0)</f>
        <v>-3692</v>
      </c>
      <c r="D75" s="32">
        <f>IFERROR('Cash Flow Data'!D6,0)</f>
        <v>-5743</v>
      </c>
      <c r="E75" s="32">
        <f>IFERROR('Cash Flow Data'!E6,0)</f>
        <v>-6621</v>
      </c>
      <c r="F75" s="32">
        <f>IFERROR('Cash Flow Data'!F6,0)</f>
        <v>-3560</v>
      </c>
      <c r="G75" s="32">
        <f>IFERROR('Cash Flow Data'!G6,0)</f>
        <v>2069</v>
      </c>
      <c r="H75" s="32">
        <f>IFERROR('Cash Flow Data'!H6,0)</f>
        <v>2326</v>
      </c>
      <c r="I75" s="32">
        <f>IFERROR('Cash Flow Data'!I6,0)</f>
        <v>3814</v>
      </c>
      <c r="J75" s="32">
        <f>IFERROR('Cash Flow Data'!J6,0)</f>
        <v>472</v>
      </c>
      <c r="K75" s="32">
        <f>IFERROR('Cash Flow Data'!K6,0)</f>
        <v>-5665</v>
      </c>
      <c r="L75" s="32">
        <f>IFERROR('Cash Flow Data'!L6,0)</f>
        <v>-7265</v>
      </c>
      <c r="M75" s="32"/>
    </row>
    <row r="76" spans="1:13" x14ac:dyDescent="0.35">
      <c r="B76" t="s">
        <v>92</v>
      </c>
      <c r="C76" s="32">
        <f>IFERROR('Cash Flow Data'!C7,0)</f>
        <v>3598</v>
      </c>
      <c r="D76" s="32">
        <f>IFERROR('Cash Flow Data'!D7,0)</f>
        <v>3947</v>
      </c>
      <c r="E76" s="32">
        <f>IFERROR('Cash Flow Data'!E7,0)</f>
        <v>9301</v>
      </c>
      <c r="F76" s="32">
        <f>IFERROR('Cash Flow Data'!F7,0)</f>
        <v>7320</v>
      </c>
      <c r="G76" s="32">
        <f>IFERROR('Cash Flow Data'!G7,0)</f>
        <v>-4692</v>
      </c>
      <c r="H76" s="32">
        <f>IFERROR('Cash Flow Data'!H7,0)</f>
        <v>-8085</v>
      </c>
      <c r="I76" s="32">
        <f>IFERROR('Cash Flow Data'!I7,0)</f>
        <v>5748</v>
      </c>
      <c r="J76" s="32">
        <f>IFERROR('Cash Flow Data'!J7,0)</f>
        <v>-7012</v>
      </c>
      <c r="K76" s="32">
        <f>IFERROR('Cash Flow Data'!K7,0)</f>
        <v>6945</v>
      </c>
      <c r="L76" s="32">
        <f>IFERROR('Cash Flow Data'!L7,0)</f>
        <v>13706</v>
      </c>
      <c r="M76" s="32"/>
    </row>
    <row r="77" spans="1:13" x14ac:dyDescent="0.35">
      <c r="B77" t="s">
        <v>93</v>
      </c>
      <c r="C77" s="32">
        <f>IFERROR('Cash Flow Data'!C8,0)</f>
        <v>0</v>
      </c>
      <c r="D77" s="32">
        <f>IFERROR('Cash Flow Data'!D8,0)</f>
        <v>-520</v>
      </c>
      <c r="E77" s="32">
        <f>IFERROR('Cash Flow Data'!E8,0)</f>
        <v>0</v>
      </c>
      <c r="F77" s="32">
        <f>IFERROR('Cash Flow Data'!F8,0)</f>
        <v>0</v>
      </c>
      <c r="G77" s="32">
        <f>IFERROR('Cash Flow Data'!G8,0)</f>
        <v>0</v>
      </c>
      <c r="H77" s="32">
        <f>IFERROR('Cash Flow Data'!H8,0)</f>
        <v>0</v>
      </c>
      <c r="I77" s="32">
        <f>IFERROR('Cash Flow Data'!I8,0)</f>
        <v>0</v>
      </c>
      <c r="J77" s="32">
        <f>IFERROR('Cash Flow Data'!J8,0)</f>
        <v>0</v>
      </c>
      <c r="K77" s="32">
        <f>IFERROR('Cash Flow Data'!K8,0)</f>
        <v>0</v>
      </c>
      <c r="L77" s="32">
        <f>IFERROR('Cash Flow Data'!L8,0)</f>
        <v>0</v>
      </c>
      <c r="M77" s="32"/>
    </row>
    <row r="78" spans="1:13" x14ac:dyDescent="0.35">
      <c r="B78" t="s">
        <v>94</v>
      </c>
      <c r="C78" s="32">
        <f>IFERROR('Cash Flow Data'!C9,0)</f>
        <v>-398</v>
      </c>
      <c r="D78" s="32">
        <f>IFERROR('Cash Flow Data'!D9,0)</f>
        <v>5852</v>
      </c>
      <c r="E78" s="32">
        <f>IFERROR('Cash Flow Data'!E9,0)</f>
        <v>4727</v>
      </c>
      <c r="F78" s="32">
        <f>IFERROR('Cash Flow Data'!F9,0)</f>
        <v>494</v>
      </c>
      <c r="G78" s="32">
        <f>IFERROR('Cash Flow Data'!G9,0)</f>
        <v>4512</v>
      </c>
      <c r="H78" s="32">
        <f>IFERROR('Cash Flow Data'!H9,0)</f>
        <v>875</v>
      </c>
      <c r="I78" s="32">
        <f>IFERROR('Cash Flow Data'!I9,0)</f>
        <v>-4150</v>
      </c>
      <c r="J78" s="32">
        <f>IFERROR('Cash Flow Data'!J9,0)</f>
        <v>-4396</v>
      </c>
      <c r="K78" s="32">
        <f>IFERROR('Cash Flow Data'!K9,0)</f>
        <v>-2194</v>
      </c>
      <c r="L78" s="32">
        <f>IFERROR('Cash Flow Data'!L9,0)</f>
        <v>2760</v>
      </c>
      <c r="M78" s="32"/>
    </row>
    <row r="79" spans="1:13" x14ac:dyDescent="0.35">
      <c r="B79" t="s">
        <v>95</v>
      </c>
      <c r="C79" s="32">
        <f>IFERROR('Cash Flow Data'!C10,0)</f>
        <v>-3672</v>
      </c>
      <c r="D79" s="32">
        <f>IFERROR('Cash Flow Data'!D10,0)</f>
        <v>1313</v>
      </c>
      <c r="E79" s="32">
        <f>IFERROR('Cash Flow Data'!E10,0)</f>
        <v>3254</v>
      </c>
      <c r="F79" s="32">
        <f>IFERROR('Cash Flow Data'!F10,0)</f>
        <v>-6434</v>
      </c>
      <c r="G79" s="32">
        <f>IFERROR('Cash Flow Data'!G10,0)</f>
        <v>-7221</v>
      </c>
      <c r="H79" s="32">
        <f>IFERROR('Cash Flow Data'!H10,0)</f>
        <v>5065</v>
      </c>
      <c r="I79" s="32">
        <f>IFERROR('Cash Flow Data'!I10,0)</f>
        <v>-93</v>
      </c>
      <c r="J79" s="32">
        <f>IFERROR('Cash Flow Data'!J10,0)</f>
        <v>-10750</v>
      </c>
      <c r="K79" s="32">
        <f>IFERROR('Cash Flow Data'!K10,0)</f>
        <v>-3127</v>
      </c>
      <c r="L79" s="32">
        <f>IFERROR('Cash Flow Data'!L10,0)</f>
        <v>7325</v>
      </c>
      <c r="M79" s="32"/>
    </row>
    <row r="80" spans="1:13" x14ac:dyDescent="0.35">
      <c r="B80" t="s">
        <v>96</v>
      </c>
      <c r="C80" s="32">
        <f>IFERROR('Cash Flow Data'!C11,0)</f>
        <v>-4194</v>
      </c>
      <c r="D80" s="32">
        <f>IFERROR('Cash Flow Data'!D11,0)</f>
        <v>-2040</v>
      </c>
      <c r="E80" s="32">
        <f>IFERROR('Cash Flow Data'!E11,0)</f>
        <v>-1895</v>
      </c>
      <c r="F80" s="32">
        <f>IFERROR('Cash Flow Data'!F11,0)</f>
        <v>-3021</v>
      </c>
      <c r="G80" s="32">
        <f>IFERROR('Cash Flow Data'!G11,0)</f>
        <v>-2659</v>
      </c>
      <c r="H80" s="32">
        <f>IFERROR('Cash Flow Data'!H11,0)</f>
        <v>-1785</v>
      </c>
      <c r="I80" s="32">
        <f>IFERROR('Cash Flow Data'!I11,0)</f>
        <v>-2105</v>
      </c>
      <c r="J80" s="32">
        <f>IFERROR('Cash Flow Data'!J11,0)</f>
        <v>-1910</v>
      </c>
      <c r="K80" s="32">
        <f>IFERROR('Cash Flow Data'!K11,0)</f>
        <v>-3179</v>
      </c>
      <c r="L80" s="32">
        <f>IFERROR('Cash Flow Data'!L11,0)</f>
        <v>-4516</v>
      </c>
      <c r="M80" s="32"/>
    </row>
    <row r="81" spans="2:12" x14ac:dyDescent="0.35">
      <c r="B81" s="39" t="s">
        <v>89</v>
      </c>
      <c r="C81" s="40">
        <f>IFERROR(SUM(C73:C80),0)</f>
        <v>31860</v>
      </c>
      <c r="D81" s="40">
        <f t="shared" ref="D81:L81" si="22">IFERROR(SUM(D73:D80),0)</f>
        <v>39212</v>
      </c>
      <c r="E81" s="40">
        <f t="shared" si="22"/>
        <v>33454</v>
      </c>
      <c r="F81" s="40">
        <f t="shared" si="22"/>
        <v>17423</v>
      </c>
      <c r="G81" s="40">
        <f t="shared" si="22"/>
        <v>11671</v>
      </c>
      <c r="H81" s="40">
        <f t="shared" si="22"/>
        <v>31698</v>
      </c>
      <c r="I81" s="40">
        <f t="shared" si="22"/>
        <v>28907</v>
      </c>
      <c r="J81" s="40">
        <f t="shared" si="22"/>
        <v>3532</v>
      </c>
      <c r="K81" s="40">
        <f t="shared" si="22"/>
        <v>32261</v>
      </c>
      <c r="L81" s="40">
        <f t="shared" si="22"/>
        <v>75241</v>
      </c>
    </row>
    <row r="83" spans="2:12" x14ac:dyDescent="0.35">
      <c r="B83" s="12" t="s">
        <v>119</v>
      </c>
    </row>
    <row r="84" spans="2:12" x14ac:dyDescent="0.35">
      <c r="B84" t="s">
        <v>98</v>
      </c>
      <c r="C84" s="32">
        <f>IFERROR('Cash Flow Data'!C13,0)</f>
        <v>-31962</v>
      </c>
      <c r="D84" s="32">
        <f>IFERROR('Cash Flow Data'!D13,0)</f>
        <v>-31503</v>
      </c>
      <c r="E84" s="32">
        <f>IFERROR('Cash Flow Data'!E13,0)</f>
        <v>-16072</v>
      </c>
      <c r="F84" s="32">
        <f>IFERROR('Cash Flow Data'!F13,0)</f>
        <v>-35079</v>
      </c>
      <c r="G84" s="32">
        <f>IFERROR('Cash Flow Data'!G13,0)</f>
        <v>-35304</v>
      </c>
      <c r="H84" s="32">
        <f>IFERROR('Cash Flow Data'!H13,0)</f>
        <v>-29702</v>
      </c>
      <c r="I84" s="32">
        <f>IFERROR('Cash Flow Data'!I13,0)</f>
        <v>-20205</v>
      </c>
      <c r="J84" s="32">
        <f>IFERROR('Cash Flow Data'!J13,0)</f>
        <v>-15168</v>
      </c>
      <c r="K84" s="32">
        <f>IFERROR('Cash Flow Data'!K13,0)</f>
        <v>-19230</v>
      </c>
      <c r="L84" s="32">
        <f>IFERROR('Cash Flow Data'!L13,0)</f>
        <v>-31414</v>
      </c>
    </row>
    <row r="85" spans="2:12" x14ac:dyDescent="0.35">
      <c r="B85" t="s">
        <v>99</v>
      </c>
      <c r="C85" s="32">
        <f>IFERROR('Cash Flow Data'!C14,0)</f>
        <v>74</v>
      </c>
      <c r="D85" s="32">
        <f>IFERROR('Cash Flow Data'!D14,0)</f>
        <v>59</v>
      </c>
      <c r="E85" s="32">
        <f>IFERROR('Cash Flow Data'!E14,0)</f>
        <v>53</v>
      </c>
      <c r="F85" s="32">
        <f>IFERROR('Cash Flow Data'!F14,0)</f>
        <v>30</v>
      </c>
      <c r="G85" s="32">
        <f>IFERROR('Cash Flow Data'!G14,0)</f>
        <v>67</v>
      </c>
      <c r="H85" s="32">
        <f>IFERROR('Cash Flow Data'!H14,0)</f>
        <v>171</v>
      </c>
      <c r="I85" s="32">
        <f>IFERROR('Cash Flow Data'!I14,0)</f>
        <v>351</v>
      </c>
      <c r="J85" s="32">
        <f>IFERROR('Cash Flow Data'!J14,0)</f>
        <v>230</v>
      </c>
      <c r="K85" s="32">
        <f>IFERROR('Cash Flow Data'!K14,0)</f>
        <v>285</v>
      </c>
      <c r="L85" s="32">
        <f>IFERROR('Cash Flow Data'!L14,0)</f>
        <v>231</v>
      </c>
    </row>
    <row r="86" spans="2:12" x14ac:dyDescent="0.35">
      <c r="B86" t="s">
        <v>100</v>
      </c>
      <c r="C86" s="32">
        <f>IFERROR('Cash Flow Data'!C15,0)</f>
        <v>-5461</v>
      </c>
      <c r="D86" s="32">
        <f>IFERROR('Cash Flow Data'!D15,0)</f>
        <v>-4728</v>
      </c>
      <c r="E86" s="32">
        <f>IFERROR('Cash Flow Data'!E15,0)</f>
        <v>-6</v>
      </c>
      <c r="F86" s="32">
        <f>IFERROR('Cash Flow Data'!F15,0)</f>
        <v>-329</v>
      </c>
      <c r="G86" s="32">
        <f>IFERROR('Cash Flow Data'!G15,0)</f>
        <v>-130</v>
      </c>
      <c r="H86" s="32">
        <f>IFERROR('Cash Flow Data'!H15,0)</f>
        <v>-1439</v>
      </c>
      <c r="I86" s="32">
        <f>IFERROR('Cash Flow Data'!I15,0)</f>
        <v>-7530</v>
      </c>
      <c r="J86" s="32">
        <f>IFERROR('Cash Flow Data'!J15,0)</f>
        <v>-3008</v>
      </c>
      <c r="K86" s="32">
        <f>IFERROR('Cash Flow Data'!K15,0)</f>
        <v>-50</v>
      </c>
      <c r="L86" s="32">
        <f>IFERROR('Cash Flow Data'!L15,0)</f>
        <v>-74</v>
      </c>
    </row>
    <row r="87" spans="2:12" x14ac:dyDescent="0.35">
      <c r="B87" t="s">
        <v>101</v>
      </c>
      <c r="C87" s="32">
        <f>IFERROR('Cash Flow Data'!C16,0)</f>
        <v>42</v>
      </c>
      <c r="D87" s="32">
        <f>IFERROR('Cash Flow Data'!D16,0)</f>
        <v>89</v>
      </c>
      <c r="E87" s="32">
        <f>IFERROR('Cash Flow Data'!E16,0)</f>
        <v>1965</v>
      </c>
      <c r="F87" s="32">
        <f>IFERROR('Cash Flow Data'!F16,0)</f>
        <v>2381</v>
      </c>
      <c r="G87" s="32">
        <f>IFERROR('Cash Flow Data'!G16,0)</f>
        <v>5644</v>
      </c>
      <c r="H87" s="32">
        <f>IFERROR('Cash Flow Data'!H16,0)</f>
        <v>21</v>
      </c>
      <c r="I87" s="32">
        <f>IFERROR('Cash Flow Data'!I16,0)</f>
        <v>226</v>
      </c>
      <c r="J87" s="32">
        <f>IFERROR('Cash Flow Data'!J16,0)</f>
        <v>104</v>
      </c>
      <c r="K87" s="32">
        <f>IFERROR('Cash Flow Data'!K16,0)</f>
        <v>6895</v>
      </c>
      <c r="L87" s="32">
        <f>IFERROR('Cash Flow Data'!L16,0)</f>
        <v>10820</v>
      </c>
    </row>
    <row r="88" spans="2:12" x14ac:dyDescent="0.35">
      <c r="B88" t="s">
        <v>102</v>
      </c>
      <c r="C88" s="32">
        <f>IFERROR('Cash Flow Data'!C17,0)</f>
        <v>698</v>
      </c>
      <c r="D88" s="32">
        <f>IFERROR('Cash Flow Data'!D17,0)</f>
        <v>731</v>
      </c>
      <c r="E88" s="32">
        <f>IFERROR('Cash Flow Data'!E17,0)</f>
        <v>638</v>
      </c>
      <c r="F88" s="32">
        <f>IFERROR('Cash Flow Data'!F17,0)</f>
        <v>690</v>
      </c>
      <c r="G88" s="32">
        <f>IFERROR('Cash Flow Data'!G17,0)</f>
        <v>761</v>
      </c>
      <c r="H88" s="32">
        <f>IFERROR('Cash Flow Data'!H17,0)</f>
        <v>1104</v>
      </c>
      <c r="I88" s="32">
        <f>IFERROR('Cash Flow Data'!I17,0)</f>
        <v>428</v>
      </c>
      <c r="J88" s="32">
        <f>IFERROR('Cash Flow Data'!J17,0)</f>
        <v>653</v>
      </c>
      <c r="K88" s="32">
        <f>IFERROR('Cash Flow Data'!K17,0)</f>
        <v>973</v>
      </c>
      <c r="L88" s="32">
        <f>IFERROR('Cash Flow Data'!L17,0)</f>
        <v>2493</v>
      </c>
    </row>
    <row r="89" spans="2:12" x14ac:dyDescent="0.35">
      <c r="B89" t="s">
        <v>103</v>
      </c>
      <c r="C89" s="32">
        <f>IFERROR('Cash Flow Data'!C18,0)</f>
        <v>80</v>
      </c>
      <c r="D89" s="32">
        <f>IFERROR('Cash Flow Data'!D18,0)</f>
        <v>58</v>
      </c>
      <c r="E89" s="32">
        <f>IFERROR('Cash Flow Data'!E18,0)</f>
        <v>620</v>
      </c>
      <c r="F89" s="32">
        <f>IFERROR('Cash Flow Data'!F18,0)</f>
        <v>1797</v>
      </c>
      <c r="G89" s="32">
        <f>IFERROR('Cash Flow Data'!G18,0)</f>
        <v>232</v>
      </c>
      <c r="H89" s="32">
        <f>IFERROR('Cash Flow Data'!H18,0)</f>
        <v>21</v>
      </c>
      <c r="I89" s="32">
        <f>IFERROR('Cash Flow Data'!I18,0)</f>
        <v>18</v>
      </c>
      <c r="J89" s="32">
        <f>IFERROR('Cash Flow Data'!J18,0)</f>
        <v>32</v>
      </c>
      <c r="K89" s="32">
        <f>IFERROR('Cash Flow Data'!K18,0)</f>
        <v>46</v>
      </c>
      <c r="L89" s="32">
        <f>IFERROR('Cash Flow Data'!L18,0)</f>
        <v>47</v>
      </c>
    </row>
    <row r="90" spans="2:12" x14ac:dyDescent="0.35">
      <c r="B90" t="s">
        <v>104</v>
      </c>
      <c r="C90" s="32">
        <f>IFERROR('Cash Flow Data'!C19,0)</f>
        <v>-160</v>
      </c>
      <c r="D90" s="32">
        <f>IFERROR('Cash Flow Data'!D19,0)</f>
        <v>0</v>
      </c>
      <c r="E90" s="32">
        <f>IFERROR('Cash Flow Data'!E19,0)</f>
        <v>-107</v>
      </c>
      <c r="F90" s="32">
        <f>IFERROR('Cash Flow Data'!F19,0)</f>
        <v>-4</v>
      </c>
      <c r="G90" s="32">
        <f>IFERROR('Cash Flow Data'!G19,0)</f>
        <v>-9</v>
      </c>
      <c r="H90" s="32">
        <f>IFERROR('Cash Flow Data'!H19,0)</f>
        <v>-606</v>
      </c>
      <c r="I90" s="32">
        <f>IFERROR('Cash Flow Data'!I19,0)</f>
        <v>-10</v>
      </c>
      <c r="J90" s="32">
        <f>IFERROR('Cash Flow Data'!J19,0)</f>
        <v>0</v>
      </c>
      <c r="K90" s="32">
        <f>IFERROR('Cash Flow Data'!K19,0)</f>
        <v>0</v>
      </c>
      <c r="L90" s="32">
        <f>IFERROR('Cash Flow Data'!L19,0)</f>
        <v>-150</v>
      </c>
    </row>
    <row r="91" spans="2:12" x14ac:dyDescent="0.35">
      <c r="B91" t="s">
        <v>105</v>
      </c>
      <c r="C91" s="32">
        <f>IFERROR('Cash Flow Data'!C20,0)</f>
        <v>0</v>
      </c>
      <c r="D91" s="32">
        <f>IFERROR('Cash Flow Data'!D20,0)</f>
        <v>0</v>
      </c>
      <c r="E91" s="32">
        <f>IFERROR('Cash Flow Data'!E20,0)</f>
        <v>0</v>
      </c>
      <c r="F91" s="32">
        <f>IFERROR('Cash Flow Data'!F20,0)</f>
        <v>14</v>
      </c>
      <c r="G91" s="32">
        <f>IFERROR('Cash Flow Data'!G20,0)</f>
        <v>533</v>
      </c>
      <c r="H91" s="32">
        <f>IFERROR('Cash Flow Data'!H20,0)</f>
        <v>0</v>
      </c>
      <c r="I91" s="32">
        <f>IFERROR('Cash Flow Data'!I20,0)</f>
        <v>0</v>
      </c>
      <c r="J91" s="32">
        <f>IFERROR('Cash Flow Data'!J20,0)</f>
        <v>0</v>
      </c>
      <c r="K91" s="32">
        <f>IFERROR('Cash Flow Data'!K20,0)</f>
        <v>19</v>
      </c>
      <c r="L91" s="32">
        <f>IFERROR('Cash Flow Data'!L20,0)</f>
        <v>108</v>
      </c>
    </row>
    <row r="92" spans="2:12" x14ac:dyDescent="0.35">
      <c r="B92" t="s">
        <v>106</v>
      </c>
      <c r="C92" s="32">
        <f>IFERROR('Cash Flow Data'!C21,0)</f>
        <v>0</v>
      </c>
      <c r="D92" s="32">
        <f>IFERROR('Cash Flow Data'!D21,0)</f>
        <v>-111</v>
      </c>
      <c r="E92" s="32">
        <f>IFERROR('Cash Flow Data'!E21,0)</f>
        <v>0</v>
      </c>
      <c r="F92" s="32">
        <f>IFERROR('Cash Flow Data'!F21,0)</f>
        <v>0</v>
      </c>
      <c r="G92" s="32">
        <f>IFERROR('Cash Flow Data'!G21,0)</f>
        <v>-8</v>
      </c>
      <c r="H92" s="32">
        <f>IFERROR('Cash Flow Data'!H21,0)</f>
        <v>-27</v>
      </c>
      <c r="I92" s="32">
        <f>IFERROR('Cash Flow Data'!I21,0)</f>
        <v>0</v>
      </c>
      <c r="J92" s="32">
        <f>IFERROR('Cash Flow Data'!J21,0)</f>
        <v>-98</v>
      </c>
      <c r="K92" s="32">
        <f>IFERROR('Cash Flow Data'!K21,0)</f>
        <v>0</v>
      </c>
      <c r="L92" s="32">
        <f>IFERROR('Cash Flow Data'!L21,0)</f>
        <v>0</v>
      </c>
    </row>
    <row r="93" spans="2:12" x14ac:dyDescent="0.35">
      <c r="B93" t="s">
        <v>107</v>
      </c>
      <c r="C93" s="32">
        <f>IFERROR('Cash Flow Data'!C22,0)</f>
        <v>0</v>
      </c>
      <c r="D93" s="32">
        <f>IFERROR('Cash Flow Data'!D22,0)</f>
        <v>0</v>
      </c>
      <c r="E93" s="32">
        <f>IFERROR('Cash Flow Data'!E22,0)</f>
        <v>0</v>
      </c>
      <c r="F93" s="32">
        <f>IFERROR('Cash Flow Data'!F22,0)</f>
        <v>0</v>
      </c>
      <c r="G93" s="32">
        <f>IFERROR('Cash Flow Data'!G22,0)</f>
        <v>0</v>
      </c>
      <c r="H93" s="32">
        <f>IFERROR('Cash Flow Data'!H22,0)</f>
        <v>0</v>
      </c>
      <c r="I93" s="32">
        <f>IFERROR('Cash Flow Data'!I22,0)</f>
        <v>0</v>
      </c>
      <c r="J93" s="32">
        <f>IFERROR('Cash Flow Data'!J22,0)</f>
        <v>0</v>
      </c>
      <c r="K93" s="32">
        <f>IFERROR('Cash Flow Data'!K22,0)</f>
        <v>0</v>
      </c>
      <c r="L93" s="32">
        <f>IFERROR('Cash Flow Data'!L22,0)</f>
        <v>-24</v>
      </c>
    </row>
    <row r="94" spans="2:12" x14ac:dyDescent="0.35">
      <c r="B94" t="s">
        <v>108</v>
      </c>
      <c r="C94" s="32">
        <f>IFERROR('Cash Flow Data'!C23,0)</f>
        <v>456</v>
      </c>
      <c r="D94" s="32">
        <f>IFERROR('Cash Flow Data'!D23,0)</f>
        <v>-1289</v>
      </c>
      <c r="E94" s="32">
        <f>IFERROR('Cash Flow Data'!E23,0)</f>
        <v>-26663</v>
      </c>
      <c r="F94" s="32">
        <f>IFERROR('Cash Flow Data'!F23,0)</f>
        <v>5360</v>
      </c>
      <c r="G94" s="32">
        <f>IFERROR('Cash Flow Data'!G23,0)</f>
        <v>7335</v>
      </c>
      <c r="H94" s="32">
        <f>IFERROR('Cash Flow Data'!H23,0)</f>
        <v>-2659</v>
      </c>
      <c r="I94" s="32">
        <f>IFERROR('Cash Flow Data'!I23,0)</f>
        <v>1051</v>
      </c>
      <c r="J94" s="32">
        <f>IFERROR('Cash Flow Data'!J23,0)</f>
        <v>12813</v>
      </c>
      <c r="K94" s="32">
        <f>IFERROR('Cash Flow Data'!K23,0)</f>
        <v>-4357</v>
      </c>
      <c r="L94" s="32">
        <f>IFERROR('Cash Flow Data'!L23,0)</f>
        <v>-4817</v>
      </c>
    </row>
    <row r="95" spans="2:12" x14ac:dyDescent="0.35">
      <c r="B95" s="39" t="s">
        <v>120</v>
      </c>
      <c r="C95" s="41">
        <f>IFERROR(SUM(C84:C94),0)</f>
        <v>-36233</v>
      </c>
      <c r="D95" s="41">
        <f t="shared" ref="D95:L95" si="23">IFERROR(SUM(D84:D94),0)</f>
        <v>-36694</v>
      </c>
      <c r="E95" s="41">
        <f t="shared" si="23"/>
        <v>-39572</v>
      </c>
      <c r="F95" s="41">
        <f t="shared" si="23"/>
        <v>-25140</v>
      </c>
      <c r="G95" s="41">
        <f t="shared" si="23"/>
        <v>-20879</v>
      </c>
      <c r="H95" s="41">
        <f t="shared" si="23"/>
        <v>-33116</v>
      </c>
      <c r="I95" s="41">
        <f t="shared" si="23"/>
        <v>-25671</v>
      </c>
      <c r="J95" s="41">
        <f t="shared" si="23"/>
        <v>-4442</v>
      </c>
      <c r="K95" s="41">
        <f t="shared" si="23"/>
        <v>-15419</v>
      </c>
      <c r="L95" s="41">
        <f t="shared" si="23"/>
        <v>-22780</v>
      </c>
    </row>
    <row r="97" spans="2:12" x14ac:dyDescent="0.35">
      <c r="B97" s="12" t="s">
        <v>121</v>
      </c>
    </row>
    <row r="98" spans="2:12" x14ac:dyDescent="0.35">
      <c r="B98" t="s">
        <v>110</v>
      </c>
      <c r="C98" s="32">
        <f>IFERROR('Cash Flow Data'!C25,0)</f>
        <v>0</v>
      </c>
      <c r="D98" s="32">
        <f>IFERROR('Cash Flow Data'!D25,0)</f>
        <v>7433</v>
      </c>
      <c r="E98" s="32">
        <f>IFERROR('Cash Flow Data'!E25,0)</f>
        <v>5</v>
      </c>
      <c r="F98" s="32">
        <f>IFERROR('Cash Flow Data'!F25,0)</f>
        <v>0</v>
      </c>
      <c r="G98" s="32">
        <f>IFERROR('Cash Flow Data'!G25,0)</f>
        <v>0</v>
      </c>
      <c r="H98" s="32">
        <f>IFERROR('Cash Flow Data'!H25,0)</f>
        <v>3889</v>
      </c>
      <c r="I98" s="32">
        <f>IFERROR('Cash Flow Data'!I25,0)</f>
        <v>2603</v>
      </c>
      <c r="J98" s="32">
        <f>IFERROR('Cash Flow Data'!J25,0)</f>
        <v>19</v>
      </c>
      <c r="K98" s="32">
        <f>IFERROR('Cash Flow Data'!K25,0)</f>
        <v>20</v>
      </c>
      <c r="L98" s="32">
        <f>IFERROR('Cash Flow Data'!L25,0)</f>
        <v>82</v>
      </c>
    </row>
    <row r="99" spans="2:12" x14ac:dyDescent="0.35">
      <c r="B99" t="s">
        <v>111</v>
      </c>
      <c r="C99" s="32">
        <f>IFERROR('Cash Flow Data'!C26,0)</f>
        <v>-744</v>
      </c>
      <c r="D99" s="32">
        <f>IFERROR('Cash Flow Data'!D26,0)</f>
        <v>0</v>
      </c>
      <c r="E99" s="32">
        <f>IFERROR('Cash Flow Data'!E26,0)</f>
        <v>0</v>
      </c>
      <c r="F99" s="32">
        <f>IFERROR('Cash Flow Data'!F26,0)</f>
        <v>0</v>
      </c>
      <c r="G99" s="32">
        <f>IFERROR('Cash Flow Data'!G26,0)</f>
        <v>0</v>
      </c>
      <c r="H99" s="32">
        <f>IFERROR('Cash Flow Data'!H26,0)</f>
        <v>0</v>
      </c>
      <c r="I99" s="32">
        <f>IFERROR('Cash Flow Data'!I26,0)</f>
        <v>0</v>
      </c>
      <c r="J99" s="32">
        <f>IFERROR('Cash Flow Data'!J26,0)</f>
        <v>0</v>
      </c>
      <c r="K99" s="32">
        <f>IFERROR('Cash Flow Data'!K26,0)</f>
        <v>0</v>
      </c>
      <c r="L99" s="32">
        <f>IFERROR('Cash Flow Data'!L26,0)</f>
        <v>0</v>
      </c>
    </row>
    <row r="100" spans="2:12" x14ac:dyDescent="0.35">
      <c r="B100" t="s">
        <v>112</v>
      </c>
      <c r="C100" s="32">
        <f>IFERROR('Cash Flow Data'!C27,0)</f>
        <v>36363</v>
      </c>
      <c r="D100" s="32">
        <f>IFERROR('Cash Flow Data'!D27,0)</f>
        <v>19519</v>
      </c>
      <c r="E100" s="32">
        <f>IFERROR('Cash Flow Data'!E27,0)</f>
        <v>33390</v>
      </c>
      <c r="F100" s="32">
        <f>IFERROR('Cash Flow Data'!F27,0)</f>
        <v>37482</v>
      </c>
      <c r="G100" s="32">
        <f>IFERROR('Cash Flow Data'!G27,0)</f>
        <v>51128</v>
      </c>
      <c r="H100" s="32">
        <f>IFERROR('Cash Flow Data'!H27,0)</f>
        <v>38297</v>
      </c>
      <c r="I100" s="32">
        <f>IFERROR('Cash Flow Data'!I27,0)</f>
        <v>46641</v>
      </c>
      <c r="J100" s="32">
        <f>IFERROR('Cash Flow Data'!J27,0)</f>
        <v>46578</v>
      </c>
      <c r="K100" s="32">
        <f>IFERROR('Cash Flow Data'!K27,0)</f>
        <v>43934</v>
      </c>
      <c r="L100" s="32">
        <f>IFERROR('Cash Flow Data'!L27,0)</f>
        <v>18747</v>
      </c>
    </row>
    <row r="101" spans="2:12" x14ac:dyDescent="0.35">
      <c r="B101" t="s">
        <v>113</v>
      </c>
      <c r="C101" s="32">
        <f>IFERROR('Cash Flow Data'!C28,0)</f>
        <v>-23332</v>
      </c>
      <c r="D101" s="32">
        <f>IFERROR('Cash Flow Data'!D28,0)</f>
        <v>-24924</v>
      </c>
      <c r="E101" s="32">
        <f>IFERROR('Cash Flow Data'!E28,0)</f>
        <v>-21732</v>
      </c>
      <c r="F101" s="32">
        <f>IFERROR('Cash Flow Data'!F28,0)</f>
        <v>-29964</v>
      </c>
      <c r="G101" s="32">
        <f>IFERROR('Cash Flow Data'!G28,0)</f>
        <v>-35198</v>
      </c>
      <c r="H101" s="32">
        <f>IFERROR('Cash Flow Data'!H28,0)</f>
        <v>-29847</v>
      </c>
      <c r="I101" s="32">
        <f>IFERROR('Cash Flow Data'!I28,0)</f>
        <v>-29709</v>
      </c>
      <c r="J101" s="32">
        <f>IFERROR('Cash Flow Data'!J28,0)</f>
        <v>-42816</v>
      </c>
      <c r="K101" s="32">
        <f>IFERROR('Cash Flow Data'!K28,0)</f>
        <v>-62557</v>
      </c>
      <c r="L101" s="32">
        <f>IFERROR('Cash Flow Data'!L28,0)</f>
        <v>-47332</v>
      </c>
    </row>
    <row r="102" spans="2:12" x14ac:dyDescent="0.35">
      <c r="B102" t="s">
        <v>114</v>
      </c>
      <c r="C102" s="32">
        <f>IFERROR('Cash Flow Data'!C29,0)</f>
        <v>-6307</v>
      </c>
      <c r="D102" s="32">
        <f>IFERROR('Cash Flow Data'!D29,0)</f>
        <v>-5716</v>
      </c>
      <c r="E102" s="32">
        <f>IFERROR('Cash Flow Data'!E29,0)</f>
        <v>-5336</v>
      </c>
      <c r="F102" s="32">
        <f>IFERROR('Cash Flow Data'!F29,0)</f>
        <v>-5411</v>
      </c>
      <c r="G102" s="32">
        <f>IFERROR('Cash Flow Data'!G29,0)</f>
        <v>-7005</v>
      </c>
      <c r="H102" s="32">
        <f>IFERROR('Cash Flow Data'!H29,0)</f>
        <v>-7518</v>
      </c>
      <c r="I102" s="32">
        <f>IFERROR('Cash Flow Data'!I29,0)</f>
        <v>-8123</v>
      </c>
      <c r="J102" s="32">
        <f>IFERROR('Cash Flow Data'!J29,0)</f>
        <v>-9251</v>
      </c>
      <c r="K102" s="32">
        <f>IFERROR('Cash Flow Data'!K29,0)</f>
        <v>-9336</v>
      </c>
      <c r="L102" s="32">
        <f>IFERROR('Cash Flow Data'!L29,0)</f>
        <v>-9332</v>
      </c>
    </row>
    <row r="103" spans="2:12" x14ac:dyDescent="0.35">
      <c r="B103" t="s">
        <v>115</v>
      </c>
      <c r="C103" s="32">
        <f>IFERROR('Cash Flow Data'!C30,0)</f>
        <v>-720</v>
      </c>
      <c r="D103" s="32">
        <f>IFERROR('Cash Flow Data'!D30,0)</f>
        <v>-108</v>
      </c>
      <c r="E103" s="32">
        <f>IFERROR('Cash Flow Data'!E30,0)</f>
        <v>-121</v>
      </c>
      <c r="F103" s="32">
        <f>IFERROR('Cash Flow Data'!F30,0)</f>
        <v>-96</v>
      </c>
      <c r="G103" s="32">
        <f>IFERROR('Cash Flow Data'!G30,0)</f>
        <v>-95</v>
      </c>
      <c r="H103" s="32">
        <f>IFERROR('Cash Flow Data'!H30,0)</f>
        <v>-57</v>
      </c>
      <c r="I103" s="32">
        <f>IFERROR('Cash Flow Data'!I30,0)</f>
        <v>-30</v>
      </c>
      <c r="J103" s="32">
        <f>IFERROR('Cash Flow Data'!J30,0)</f>
        <v>-100</v>
      </c>
      <c r="K103" s="32">
        <f>IFERROR('Cash Flow Data'!K30,0)</f>
        <v>-141</v>
      </c>
      <c r="L103" s="32">
        <f>IFERROR('Cash Flow Data'!L30,0)</f>
        <v>-1059</v>
      </c>
    </row>
    <row r="104" spans="2:12" x14ac:dyDescent="0.35">
      <c r="B104" t="s">
        <v>116</v>
      </c>
      <c r="C104" s="32">
        <f>IFERROR('Cash Flow Data'!C31,0)</f>
        <v>0</v>
      </c>
      <c r="D104" s="32">
        <f>IFERROR('Cash Flow Data'!D31,0)</f>
        <v>0</v>
      </c>
      <c r="E104" s="32">
        <f>IFERROR('Cash Flow Data'!E31,0)</f>
        <v>0</v>
      </c>
      <c r="F104" s="32">
        <f>IFERROR('Cash Flow Data'!F31,0)</f>
        <v>0</v>
      </c>
      <c r="G104" s="32">
        <f>IFERROR('Cash Flow Data'!G31,0)</f>
        <v>0</v>
      </c>
      <c r="H104" s="32">
        <f>IFERROR('Cash Flow Data'!H31,0)</f>
        <v>-1346</v>
      </c>
      <c r="I104" s="32">
        <f>IFERROR('Cash Flow Data'!I31,0)</f>
        <v>-1477</v>
      </c>
      <c r="J104" s="32">
        <f>IFERROR('Cash Flow Data'!J31,0)</f>
        <v>-1559</v>
      </c>
      <c r="K104" s="32">
        <f>IFERROR('Cash Flow Data'!K31,0)</f>
        <v>-1517</v>
      </c>
      <c r="L104" s="32">
        <f>IFERROR('Cash Flow Data'!L31,0)</f>
        <v>-1924</v>
      </c>
    </row>
    <row r="105" spans="2:12" x14ac:dyDescent="0.35">
      <c r="B105" t="s">
        <v>117</v>
      </c>
      <c r="C105" s="32">
        <f>IFERROR('Cash Flow Data'!C32,0)</f>
        <v>-57</v>
      </c>
      <c r="D105" s="32">
        <f>IFERROR('Cash Flow Data'!D32,0)</f>
        <v>0</v>
      </c>
      <c r="E105" s="32">
        <f>IFERROR('Cash Flow Data'!E32,0)</f>
        <v>0</v>
      </c>
      <c r="F105" s="32">
        <f>IFERROR('Cash Flow Data'!F32,0)</f>
        <v>0</v>
      </c>
      <c r="G105" s="32">
        <f>IFERROR('Cash Flow Data'!G32,0)</f>
        <v>0</v>
      </c>
      <c r="H105" s="32">
        <f>IFERROR('Cash Flow Data'!H32,0)</f>
        <v>-29</v>
      </c>
      <c r="I105" s="32">
        <f>IFERROR('Cash Flow Data'!I32,0)</f>
        <v>0</v>
      </c>
      <c r="J105" s="32">
        <f>IFERROR('Cash Flow Data'!J32,0)</f>
        <v>3750</v>
      </c>
      <c r="K105" s="32">
        <f>IFERROR('Cash Flow Data'!K32,0)</f>
        <v>3355</v>
      </c>
      <c r="L105" s="32">
        <f>IFERROR('Cash Flow Data'!L32,0)</f>
        <v>3812</v>
      </c>
    </row>
    <row r="106" spans="2:12" x14ac:dyDescent="0.35">
      <c r="B106" s="39" t="s">
        <v>122</v>
      </c>
      <c r="C106" s="40">
        <f>IFERROR(SUM(C98:C105),0)</f>
        <v>5203</v>
      </c>
      <c r="D106" s="40">
        <f t="shared" ref="D106:L106" si="24">IFERROR(SUM(D98:D105),0)</f>
        <v>-3796</v>
      </c>
      <c r="E106" s="40">
        <f t="shared" si="24"/>
        <v>6206</v>
      </c>
      <c r="F106" s="40">
        <f t="shared" si="24"/>
        <v>2011</v>
      </c>
      <c r="G106" s="40">
        <f t="shared" si="24"/>
        <v>8830</v>
      </c>
      <c r="H106" s="40">
        <f t="shared" si="24"/>
        <v>3389</v>
      </c>
      <c r="I106" s="40">
        <f t="shared" si="24"/>
        <v>9905</v>
      </c>
      <c r="J106" s="40">
        <f t="shared" si="24"/>
        <v>-3379</v>
      </c>
      <c r="K106" s="40">
        <f t="shared" si="24"/>
        <v>-26242</v>
      </c>
      <c r="L106" s="40">
        <f t="shared" si="24"/>
        <v>-37006</v>
      </c>
    </row>
    <row r="108" spans="2:12" x14ac:dyDescent="0.35">
      <c r="B108" s="39" t="s">
        <v>3</v>
      </c>
      <c r="C108" s="40">
        <f>IFERROR(SUM(C81,C95,C106),0)</f>
        <v>830</v>
      </c>
      <c r="D108" s="40">
        <f t="shared" ref="D108:L108" si="25">IFERROR(SUM(D81,D95,D106),0)</f>
        <v>-1278</v>
      </c>
      <c r="E108" s="40">
        <f t="shared" si="25"/>
        <v>88</v>
      </c>
      <c r="F108" s="40">
        <f t="shared" si="25"/>
        <v>-5706</v>
      </c>
      <c r="G108" s="40">
        <f t="shared" si="25"/>
        <v>-378</v>
      </c>
      <c r="H108" s="40">
        <f t="shared" si="25"/>
        <v>1971</v>
      </c>
      <c r="I108" s="40">
        <f t="shared" si="25"/>
        <v>13141</v>
      </c>
      <c r="J108" s="40">
        <f t="shared" si="25"/>
        <v>-4289</v>
      </c>
      <c r="K108" s="40">
        <f t="shared" si="25"/>
        <v>-9400</v>
      </c>
      <c r="L108" s="40">
        <f t="shared" si="25"/>
        <v>15455</v>
      </c>
    </row>
  </sheetData>
  <mergeCells count="1">
    <mergeCell ref="B3:M3"/>
  </mergeCells>
  <pageMargins left="0.7" right="0.7" top="0.75" bottom="0.75" header="0.3" footer="0.3"/>
  <pageSetup paperSize="9" scale="69" fitToHeight="0" orientation="landscape" r:id="rId1"/>
  <ignoredErrors>
    <ignoredError sqref="M11 C17:L17 M26 M3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B5CA-FA56-46CD-8940-5BF2F37C1DF9}">
  <sheetPr>
    <tabColor theme="7"/>
    <pageSetUpPr fitToPage="1"/>
  </sheetPr>
  <dimension ref="A3:J64"/>
  <sheetViews>
    <sheetView showGridLines="0" tabSelected="1" zoomScale="71" workbookViewId="0">
      <selection sqref="A1:J64"/>
    </sheetView>
  </sheetViews>
  <sheetFormatPr defaultRowHeight="14.5" x14ac:dyDescent="0.35"/>
  <cols>
    <col min="1" max="1" width="1.81640625" customWidth="1"/>
    <col min="5" max="5" width="12.54296875" customWidth="1"/>
    <col min="6" max="8" width="13.26953125" customWidth="1"/>
    <col min="9" max="9" width="13.26953125" bestFit="1" customWidth="1"/>
    <col min="10" max="10" width="11.08984375" customWidth="1"/>
  </cols>
  <sheetData>
    <row r="3" spans="1:10" x14ac:dyDescent="0.35">
      <c r="A3" t="s">
        <v>57</v>
      </c>
      <c r="B3" s="43" t="s">
        <v>160</v>
      </c>
      <c r="C3" s="54"/>
      <c r="D3" s="54"/>
      <c r="E3" s="54"/>
      <c r="F3" s="44">
        <f>'Raw FS'!J$2</f>
        <v>43891</v>
      </c>
      <c r="G3" s="44">
        <f>'Raw FS'!K$2</f>
        <v>44256</v>
      </c>
      <c r="H3" s="44">
        <f>'Raw FS'!L$2</f>
        <v>44621</v>
      </c>
      <c r="I3" s="44">
        <f>'Raw FS'!M$2</f>
        <v>44986</v>
      </c>
      <c r="J3" s="44">
        <f>'Raw FS'!N$2</f>
        <v>45352</v>
      </c>
    </row>
    <row r="5" spans="1:10" x14ac:dyDescent="0.35">
      <c r="B5" s="12" t="s">
        <v>161</v>
      </c>
    </row>
    <row r="6" spans="1:10" x14ac:dyDescent="0.35">
      <c r="B6" s="47" t="str">
        <f>'Raw FS'!B35</f>
        <v>Inventories</v>
      </c>
      <c r="C6" s="47"/>
      <c r="D6" s="47"/>
      <c r="E6" s="47"/>
      <c r="F6" s="58">
        <f>'Raw FS'!J35</f>
        <v>3390</v>
      </c>
      <c r="G6" s="58">
        <f>'Raw FS'!K35</f>
        <v>3799</v>
      </c>
      <c r="H6" s="58">
        <f>'Raw FS'!L35</f>
        <v>6153</v>
      </c>
      <c r="I6" s="58">
        <f>'Raw FS'!M35</f>
        <v>6211</v>
      </c>
      <c r="J6" s="58">
        <f>'Raw FS'!N35</f>
        <v>5923</v>
      </c>
    </row>
    <row r="7" spans="1:10" x14ac:dyDescent="0.35">
      <c r="B7" s="47" t="str">
        <f>'Raw FS'!B36</f>
        <v xml:space="preserve">Trade receivables </v>
      </c>
      <c r="C7" s="47"/>
      <c r="D7" s="47"/>
      <c r="E7" s="47"/>
      <c r="F7" s="58">
        <f>'Raw FS'!J36</f>
        <v>1795</v>
      </c>
      <c r="G7" s="58">
        <f>'Raw FS'!K36</f>
        <v>2602</v>
      </c>
      <c r="H7" s="58">
        <f>'Raw FS'!L36</f>
        <v>3871</v>
      </c>
      <c r="I7" s="58">
        <f>'Raw FS'!M36</f>
        <v>4637</v>
      </c>
      <c r="J7" s="58">
        <f>'Raw FS'!N36</f>
        <v>4889</v>
      </c>
    </row>
    <row r="8" spans="1:10" x14ac:dyDescent="0.35">
      <c r="B8" s="47" t="str">
        <f>'Raw FS'!B38</f>
        <v>Short term loans</v>
      </c>
      <c r="C8" s="47"/>
      <c r="D8" s="47"/>
      <c r="E8" s="47"/>
      <c r="F8" s="58">
        <f>'Raw FS'!J38</f>
        <v>12</v>
      </c>
      <c r="G8" s="58">
        <f>'Raw FS'!K38</f>
        <v>11</v>
      </c>
      <c r="H8" s="58">
        <f>'Raw FS'!L38</f>
        <v>8</v>
      </c>
      <c r="I8" s="58">
        <f>'Raw FS'!M38</f>
        <v>12</v>
      </c>
      <c r="J8" s="58">
        <f>'Raw FS'!N38</f>
        <v>17</v>
      </c>
    </row>
    <row r="9" spans="1:10" x14ac:dyDescent="0.35">
      <c r="B9" t="str">
        <f>'Raw FS'!B39</f>
        <v>Other asset items</v>
      </c>
      <c r="F9" s="32">
        <f>'Raw FS'!J39</f>
        <v>1727</v>
      </c>
      <c r="G9" s="32">
        <f>'Raw FS'!K39</f>
        <v>2555</v>
      </c>
      <c r="H9" s="32">
        <f>'Raw FS'!L39</f>
        <v>2869</v>
      </c>
      <c r="I9" s="32">
        <f>'Raw FS'!M39</f>
        <v>3024</v>
      </c>
      <c r="J9" s="32">
        <f>'Raw FS'!N39</f>
        <v>3555</v>
      </c>
    </row>
    <row r="10" spans="1:10" x14ac:dyDescent="0.35">
      <c r="B10" s="55" t="s">
        <v>86</v>
      </c>
      <c r="C10" s="55"/>
      <c r="D10" s="55"/>
      <c r="E10" s="55"/>
      <c r="F10" s="59">
        <f>SUM(F6:F9)</f>
        <v>6924</v>
      </c>
      <c r="G10" s="59">
        <f t="shared" ref="G10:J10" si="0">SUM(G6:G9)</f>
        <v>8967</v>
      </c>
      <c r="H10" s="59">
        <f t="shared" si="0"/>
        <v>12901</v>
      </c>
      <c r="I10" s="59">
        <f t="shared" si="0"/>
        <v>13884</v>
      </c>
      <c r="J10" s="59">
        <f t="shared" si="0"/>
        <v>14384</v>
      </c>
    </row>
    <row r="11" spans="1:10" x14ac:dyDescent="0.35">
      <c r="F11" s="32"/>
      <c r="G11" s="32"/>
      <c r="H11" s="32"/>
      <c r="I11" s="32"/>
      <c r="J11" s="32"/>
    </row>
    <row r="12" spans="1:10" x14ac:dyDescent="0.35">
      <c r="B12" s="12" t="s">
        <v>162</v>
      </c>
      <c r="F12" s="32"/>
      <c r="G12" s="32"/>
      <c r="H12" s="32"/>
      <c r="I12" s="32"/>
      <c r="J12" s="32"/>
    </row>
    <row r="13" spans="1:10" x14ac:dyDescent="0.35">
      <c r="B13" s="47" t="str">
        <f>'Raw FS'!B13</f>
        <v>Trade Payables</v>
      </c>
      <c r="C13" s="47"/>
      <c r="D13" s="47"/>
      <c r="E13" s="47"/>
      <c r="F13" s="58">
        <f>'Raw FS'!J13</f>
        <v>2137</v>
      </c>
      <c r="G13" s="58">
        <f>'Raw FS'!K13</f>
        <v>3379</v>
      </c>
      <c r="H13" s="58">
        <f>'Raw FS'!L13</f>
        <v>4164</v>
      </c>
      <c r="I13" s="58">
        <f>'Raw FS'!M13</f>
        <v>3635</v>
      </c>
      <c r="J13" s="58">
        <f>'Raw FS'!N13</f>
        <v>3831</v>
      </c>
    </row>
    <row r="14" spans="1:10" x14ac:dyDescent="0.35">
      <c r="B14" s="47" t="str">
        <f>'Raw FS'!B14</f>
        <v>Advance from Customers</v>
      </c>
      <c r="C14" s="47"/>
      <c r="D14" s="47"/>
      <c r="E14" s="47"/>
      <c r="F14" s="58">
        <f>'Raw FS'!J14</f>
        <v>29</v>
      </c>
      <c r="G14" s="58">
        <f>'Raw FS'!K14</f>
        <v>41</v>
      </c>
      <c r="H14" s="58">
        <f>'Raw FS'!L14</f>
        <v>76</v>
      </c>
      <c r="I14" s="58">
        <f>'Raw FS'!M14</f>
        <v>108</v>
      </c>
      <c r="J14" s="58">
        <f>'Raw FS'!N14</f>
        <v>154</v>
      </c>
    </row>
    <row r="15" spans="1:10" x14ac:dyDescent="0.35">
      <c r="B15" s="47" t="str">
        <f>'Raw FS'!B15</f>
        <v>Other liability items</v>
      </c>
      <c r="C15" s="47"/>
      <c r="D15" s="47"/>
      <c r="E15" s="47"/>
      <c r="F15" s="58">
        <f>'Raw FS'!J15</f>
        <v>2320</v>
      </c>
      <c r="G15" s="58">
        <f>'Raw FS'!K15</f>
        <v>2613</v>
      </c>
      <c r="H15" s="58">
        <f>'Raw FS'!L15</f>
        <v>2932</v>
      </c>
      <c r="I15" s="58">
        <f>'Raw FS'!M15</f>
        <v>3657</v>
      </c>
      <c r="J15" s="58">
        <f>'Raw FS'!N15</f>
        <v>4017</v>
      </c>
    </row>
    <row r="16" spans="1:10" x14ac:dyDescent="0.35">
      <c r="B16" s="55" t="s">
        <v>163</v>
      </c>
      <c r="C16" s="55"/>
      <c r="D16" s="55"/>
      <c r="E16" s="55"/>
      <c r="F16" s="59">
        <f>SUM(F13:F15)</f>
        <v>4486</v>
      </c>
      <c r="G16" s="59">
        <f>SUM(G13:G15)</f>
        <v>6033</v>
      </c>
      <c r="H16" s="59">
        <f t="shared" ref="H16:J16" si="1">SUM(H13:H15)</f>
        <v>7172</v>
      </c>
      <c r="I16" s="59">
        <f t="shared" si="1"/>
        <v>7400</v>
      </c>
      <c r="J16" s="59">
        <f t="shared" si="1"/>
        <v>8002</v>
      </c>
    </row>
    <row r="17" spans="1:10" x14ac:dyDescent="0.35">
      <c r="F17" s="32"/>
      <c r="G17" s="32"/>
      <c r="H17" s="32"/>
      <c r="I17" s="32"/>
      <c r="J17" s="32"/>
    </row>
    <row r="18" spans="1:10" ht="15" thickBot="1" x14ac:dyDescent="0.4">
      <c r="A18" t="s">
        <v>57</v>
      </c>
      <c r="B18" s="56" t="s">
        <v>164</v>
      </c>
      <c r="C18" s="56"/>
      <c r="D18" s="56"/>
      <c r="E18" s="56"/>
      <c r="F18" s="60">
        <f>F10-F16</f>
        <v>2438</v>
      </c>
      <c r="G18" s="60">
        <f t="shared" ref="G18:J18" si="2">G10-G16</f>
        <v>2934</v>
      </c>
      <c r="H18" s="60">
        <f t="shared" si="2"/>
        <v>5729</v>
      </c>
      <c r="I18" s="60">
        <f t="shared" si="2"/>
        <v>6484</v>
      </c>
      <c r="J18" s="60">
        <f t="shared" si="2"/>
        <v>6382</v>
      </c>
    </row>
    <row r="19" spans="1:10" x14ac:dyDescent="0.35">
      <c r="F19" s="32"/>
      <c r="G19" s="32"/>
      <c r="H19" s="32"/>
      <c r="I19" s="32"/>
      <c r="J19" s="32"/>
    </row>
    <row r="20" spans="1:10" x14ac:dyDescent="0.35">
      <c r="B20" s="12" t="s">
        <v>165</v>
      </c>
      <c r="F20" s="32"/>
      <c r="G20" s="32"/>
      <c r="H20" s="32"/>
      <c r="I20" s="32"/>
      <c r="J20" s="32"/>
    </row>
    <row r="21" spans="1:10" x14ac:dyDescent="0.35">
      <c r="B21" s="47" t="str">
        <f>'Raw FS'!B19</f>
        <v>Land</v>
      </c>
      <c r="C21" s="47"/>
      <c r="D21" s="47"/>
      <c r="E21" s="47"/>
      <c r="F21" s="58">
        <f>'Raw FS'!J19</f>
        <v>640</v>
      </c>
      <c r="G21" s="58">
        <f>'Raw FS'!K19</f>
        <v>644</v>
      </c>
      <c r="H21" s="58">
        <f>'Raw FS'!L19</f>
        <v>644</v>
      </c>
      <c r="I21" s="58">
        <f>'Raw FS'!M19</f>
        <v>804</v>
      </c>
      <c r="J21" s="58">
        <f>'Raw FS'!N19</f>
        <v>1126</v>
      </c>
    </row>
    <row r="22" spans="1:10" x14ac:dyDescent="0.35">
      <c r="B22" s="47" t="str">
        <f>'Raw FS'!B20</f>
        <v>Building</v>
      </c>
      <c r="C22" s="47"/>
      <c r="D22" s="47"/>
      <c r="E22" s="47"/>
      <c r="F22" s="58">
        <f>'Raw FS'!J20</f>
        <v>2257</v>
      </c>
      <c r="G22" s="58">
        <f>'Raw FS'!K20</f>
        <v>2249</v>
      </c>
      <c r="H22" s="58">
        <f>'Raw FS'!L20</f>
        <v>2325</v>
      </c>
      <c r="I22" s="58">
        <f>'Raw FS'!M20</f>
        <v>2883</v>
      </c>
      <c r="J22" s="58">
        <f>'Raw FS'!N20</f>
        <v>3390</v>
      </c>
    </row>
    <row r="23" spans="1:10" x14ac:dyDescent="0.35">
      <c r="B23" s="47" t="str">
        <f>'Raw FS'!B21</f>
        <v>Plant Machinery</v>
      </c>
      <c r="C23" s="47"/>
      <c r="D23" s="47"/>
      <c r="E23" s="47"/>
      <c r="F23" s="58">
        <f>'Raw FS'!J21</f>
        <v>4208</v>
      </c>
      <c r="G23" s="58">
        <f>'Raw FS'!K21</f>
        <v>4340</v>
      </c>
      <c r="H23" s="58">
        <f>'Raw FS'!L21</f>
        <v>4531</v>
      </c>
      <c r="I23" s="58">
        <f>'Raw FS'!M21</f>
        <v>4825</v>
      </c>
      <c r="J23" s="58">
        <f>'Raw FS'!N21</f>
        <v>5422</v>
      </c>
    </row>
    <row r="24" spans="1:10" x14ac:dyDescent="0.35">
      <c r="B24" s="47" t="str">
        <f>'Raw FS'!B22</f>
        <v>Equipments</v>
      </c>
      <c r="C24" s="47"/>
      <c r="D24" s="47"/>
      <c r="E24" s="47"/>
      <c r="F24" s="58">
        <f>'Raw FS'!J22</f>
        <v>241</v>
      </c>
      <c r="G24" s="58">
        <f>'Raw FS'!K22</f>
        <v>243</v>
      </c>
      <c r="H24" s="58">
        <f>'Raw FS'!L22</f>
        <v>253</v>
      </c>
      <c r="I24" s="58">
        <f>'Raw FS'!M22</f>
        <v>270</v>
      </c>
      <c r="J24" s="58">
        <f>'Raw FS'!N22</f>
        <v>298</v>
      </c>
    </row>
    <row r="25" spans="1:10" x14ac:dyDescent="0.35">
      <c r="B25" s="47" t="str">
        <f>'Raw FS'!B23</f>
        <v>Furniture n fittings</v>
      </c>
      <c r="C25" s="47"/>
      <c r="D25" s="47"/>
      <c r="E25" s="47"/>
      <c r="F25" s="58">
        <f>'Raw FS'!J23</f>
        <v>94</v>
      </c>
      <c r="G25" s="58">
        <f>'Raw FS'!K23</f>
        <v>99</v>
      </c>
      <c r="H25" s="58">
        <f>'Raw FS'!L23</f>
        <v>113</v>
      </c>
      <c r="I25" s="58">
        <f>'Raw FS'!M23</f>
        <v>146</v>
      </c>
      <c r="J25" s="58">
        <f>'Raw FS'!N23</f>
        <v>175</v>
      </c>
    </row>
    <row r="26" spans="1:10" x14ac:dyDescent="0.35">
      <c r="B26" s="47" t="str">
        <f>'Raw FS'!B24</f>
        <v>Vehicles</v>
      </c>
      <c r="C26" s="47"/>
      <c r="D26" s="47"/>
      <c r="E26" s="47"/>
      <c r="F26" s="58">
        <f>'Raw FS'!J24</f>
        <v>43</v>
      </c>
      <c r="G26" s="58">
        <f>'Raw FS'!K24</f>
        <v>38</v>
      </c>
      <c r="H26" s="58">
        <f>'Raw FS'!L24</f>
        <v>32</v>
      </c>
      <c r="I26" s="58">
        <f>'Raw FS'!M24</f>
        <v>36</v>
      </c>
      <c r="J26" s="58">
        <f>'Raw FS'!N24</f>
        <v>40</v>
      </c>
    </row>
    <row r="27" spans="1:10" x14ac:dyDescent="0.35">
      <c r="B27" s="47" t="str">
        <f>'Raw FS'!B25</f>
        <v>Intangible Assets</v>
      </c>
      <c r="C27" s="47"/>
      <c r="D27" s="47"/>
      <c r="E27" s="47"/>
      <c r="F27" s="58">
        <f>'Raw FS'!J25</f>
        <v>505</v>
      </c>
      <c r="G27" s="58">
        <f>'Raw FS'!K25</f>
        <v>476</v>
      </c>
      <c r="H27" s="58">
        <f>'Raw FS'!L25</f>
        <v>345</v>
      </c>
      <c r="I27" s="58">
        <f>'Raw FS'!M25</f>
        <v>422</v>
      </c>
      <c r="J27" s="58">
        <f>'Raw FS'!N25</f>
        <v>850</v>
      </c>
    </row>
    <row r="28" spans="1:10" x14ac:dyDescent="0.35">
      <c r="B28" s="47" t="str">
        <f>'Raw FS'!B26</f>
        <v>Other fixed assets</v>
      </c>
      <c r="C28" s="47"/>
      <c r="D28" s="47"/>
      <c r="E28" s="47"/>
      <c r="F28" s="58">
        <f>'Raw FS'!J26</f>
        <v>293</v>
      </c>
      <c r="G28" s="58">
        <f>'Raw FS'!K26</f>
        <v>302</v>
      </c>
      <c r="H28" s="58">
        <f>'Raw FS'!L26</f>
        <v>294</v>
      </c>
      <c r="I28" s="58">
        <f>'Raw FS'!M26</f>
        <v>289</v>
      </c>
      <c r="J28" s="58">
        <f>'Raw FS'!N26</f>
        <v>321</v>
      </c>
    </row>
    <row r="29" spans="1:10" ht="4" customHeight="1" x14ac:dyDescent="0.35">
      <c r="F29" s="32"/>
      <c r="G29" s="32"/>
      <c r="H29" s="32"/>
      <c r="I29" s="32"/>
      <c r="J29" s="32"/>
    </row>
    <row r="30" spans="1:10" x14ac:dyDescent="0.35">
      <c r="B30" s="55" t="s">
        <v>150</v>
      </c>
      <c r="C30" s="55"/>
      <c r="D30" s="55"/>
      <c r="E30" s="55"/>
      <c r="F30" s="59">
        <f>SUM(F21:F29)</f>
        <v>8281</v>
      </c>
      <c r="G30" s="59">
        <f t="shared" ref="G30:J30" si="3">SUM(G21:G29)</f>
        <v>8391</v>
      </c>
      <c r="H30" s="59">
        <f t="shared" si="3"/>
        <v>8537</v>
      </c>
      <c r="I30" s="59">
        <f t="shared" si="3"/>
        <v>9675</v>
      </c>
      <c r="J30" s="59">
        <f t="shared" si="3"/>
        <v>11622</v>
      </c>
    </row>
    <row r="31" spans="1:10" x14ac:dyDescent="0.35">
      <c r="B31" t="s">
        <v>166</v>
      </c>
      <c r="F31" s="32">
        <f>-'Raw FS'!J28</f>
        <v>-2010</v>
      </c>
      <c r="G31" s="32">
        <f>-'Raw FS'!K28</f>
        <v>-2533</v>
      </c>
      <c r="H31" s="32">
        <f>-'Raw FS'!L28</f>
        <v>-3019</v>
      </c>
      <c r="I31" s="32">
        <f>-'Raw FS'!M28</f>
        <v>-3814</v>
      </c>
      <c r="J31" s="32">
        <f>-'Raw FS'!N28</f>
        <v>-4381</v>
      </c>
    </row>
    <row r="32" spans="1:10" ht="15" thickBot="1" x14ac:dyDescent="0.4">
      <c r="A32" t="s">
        <v>57</v>
      </c>
      <c r="B32" s="56" t="s">
        <v>167</v>
      </c>
      <c r="C32" s="56"/>
      <c r="D32" s="56"/>
      <c r="E32" s="56"/>
      <c r="F32" s="60">
        <f>SUM(F30:F31)</f>
        <v>6271</v>
      </c>
      <c r="G32" s="60">
        <f t="shared" ref="G32:I32" si="4">SUM(G30:G31)</f>
        <v>5858</v>
      </c>
      <c r="H32" s="60">
        <f t="shared" si="4"/>
        <v>5518</v>
      </c>
      <c r="I32" s="60">
        <f t="shared" si="4"/>
        <v>5861</v>
      </c>
      <c r="J32" s="60">
        <f>SUM(J30:J31)</f>
        <v>7241</v>
      </c>
    </row>
    <row r="33" spans="1:10" x14ac:dyDescent="0.35">
      <c r="F33" s="32"/>
      <c r="G33" s="32"/>
      <c r="H33" s="32"/>
      <c r="I33" s="32"/>
      <c r="J33" s="32"/>
    </row>
    <row r="34" spans="1:10" x14ac:dyDescent="0.35">
      <c r="A34" t="s">
        <v>57</v>
      </c>
      <c r="B34" s="12" t="s">
        <v>168</v>
      </c>
      <c r="C34" s="12"/>
      <c r="D34" s="12"/>
      <c r="E34" s="12"/>
      <c r="F34" s="61">
        <f>F32+F18</f>
        <v>8709</v>
      </c>
      <c r="G34" s="61">
        <f t="shared" ref="G34:J34" si="5">G32+G18</f>
        <v>8792</v>
      </c>
      <c r="H34" s="61">
        <f t="shared" si="5"/>
        <v>11247</v>
      </c>
      <c r="I34" s="61">
        <f t="shared" si="5"/>
        <v>12345</v>
      </c>
      <c r="J34" s="61">
        <f t="shared" si="5"/>
        <v>13623</v>
      </c>
    </row>
    <row r="35" spans="1:10" x14ac:dyDescent="0.35">
      <c r="B35" s="12" t="s">
        <v>169</v>
      </c>
      <c r="C35" s="12"/>
      <c r="D35" s="12"/>
      <c r="E35" s="12"/>
      <c r="F35" s="61">
        <f>HistoricalFS!H29+HistoricalFS!H23</f>
        <v>3376.3199999999979</v>
      </c>
      <c r="G35" s="61">
        <f>HistoricalFS!I29+HistoricalFS!I23</f>
        <v>4064.3300000000031</v>
      </c>
      <c r="H35" s="61">
        <f>HistoricalFS!J29+HistoricalFS!J23</f>
        <v>3987.2499999999986</v>
      </c>
      <c r="I35" s="61">
        <f>HistoricalFS!K29+HistoricalFS!K23</f>
        <v>5401.8199999999952</v>
      </c>
      <c r="J35" s="61">
        <f>HistoricalFS!L29+HistoricalFS!L23</f>
        <v>6731.9800000000014</v>
      </c>
    </row>
    <row r="37" spans="1:10" ht="15" thickBot="1" x14ac:dyDescent="0.4">
      <c r="A37" t="s">
        <v>57</v>
      </c>
      <c r="B37" s="56" t="s">
        <v>170</v>
      </c>
      <c r="C37" s="56"/>
      <c r="D37" s="56"/>
      <c r="E37" s="56"/>
      <c r="F37" s="57">
        <f>F35/F34</f>
        <v>0.38768170857733353</v>
      </c>
      <c r="G37" s="57">
        <f t="shared" ref="G37:J37" si="6">G35/G34</f>
        <v>0.46227593266606043</v>
      </c>
      <c r="H37" s="57">
        <f t="shared" si="6"/>
        <v>0.35451676002489541</v>
      </c>
      <c r="I37" s="57">
        <f t="shared" si="6"/>
        <v>0.43757148643175336</v>
      </c>
      <c r="J37" s="57">
        <f t="shared" si="6"/>
        <v>0.49416281288996561</v>
      </c>
    </row>
    <row r="40" spans="1:10" x14ac:dyDescent="0.35">
      <c r="A40" t="s">
        <v>57</v>
      </c>
      <c r="B40" s="43" t="s">
        <v>171</v>
      </c>
      <c r="C40" s="54"/>
      <c r="D40" s="54"/>
      <c r="E40" s="54"/>
      <c r="F40" s="44">
        <f>'Raw FS'!J$2</f>
        <v>43891</v>
      </c>
      <c r="G40" s="44">
        <f>'Raw FS'!K$2</f>
        <v>44256</v>
      </c>
      <c r="H40" s="44">
        <f>'Raw FS'!L$2</f>
        <v>44621</v>
      </c>
      <c r="I40" s="44">
        <f>'Raw FS'!M$2</f>
        <v>44986</v>
      </c>
      <c r="J40" s="44">
        <f>'Raw FS'!N$2</f>
        <v>45352</v>
      </c>
    </row>
    <row r="42" spans="1:10" x14ac:dyDescent="0.35">
      <c r="B42" s="47" t="s">
        <v>172</v>
      </c>
      <c r="C42" s="47"/>
      <c r="D42" s="47"/>
      <c r="E42" s="47"/>
      <c r="F42" s="58">
        <f>-SUM('Raw FS'!J55:J56)</f>
        <v>367</v>
      </c>
      <c r="G42" s="58">
        <f>-SUM('Raw FS'!K55:K56)</f>
        <v>254</v>
      </c>
      <c r="H42" s="58">
        <f>-SUM('Raw FS'!L55:L56)</f>
        <v>511</v>
      </c>
      <c r="I42" s="58">
        <f>-SUM('Raw FS'!M55:M56)</f>
        <v>1420</v>
      </c>
      <c r="J42" s="58">
        <f>-SUM('Raw FS'!N55:N56)</f>
        <v>2491</v>
      </c>
    </row>
    <row r="43" spans="1:10" x14ac:dyDescent="0.35">
      <c r="B43" s="47" t="s">
        <v>174</v>
      </c>
      <c r="C43" s="47"/>
      <c r="D43" s="47"/>
      <c r="E43" s="47"/>
      <c r="F43" s="58">
        <v>0</v>
      </c>
      <c r="G43" s="58">
        <f>G18-F18</f>
        <v>496</v>
      </c>
      <c r="H43" s="58">
        <f t="shared" ref="H43:J43" si="7">H18-G18</f>
        <v>2795</v>
      </c>
      <c r="I43" s="58">
        <f t="shared" si="7"/>
        <v>755</v>
      </c>
      <c r="J43" s="58">
        <f t="shared" si="7"/>
        <v>-102</v>
      </c>
    </row>
    <row r="44" spans="1:10" x14ac:dyDescent="0.35">
      <c r="B44" s="47"/>
      <c r="C44" s="47"/>
      <c r="D44" s="47"/>
      <c r="E44" s="47"/>
      <c r="F44" s="58"/>
      <c r="G44" s="58"/>
      <c r="H44" s="58"/>
      <c r="I44" s="58"/>
      <c r="J44" s="58"/>
    </row>
    <row r="45" spans="1:10" x14ac:dyDescent="0.35">
      <c r="B45" s="47" t="s">
        <v>169</v>
      </c>
      <c r="C45" s="47"/>
      <c r="D45" s="47"/>
      <c r="E45" s="47"/>
      <c r="F45" s="58">
        <f>F35</f>
        <v>3376.3199999999979</v>
      </c>
      <c r="G45" s="58">
        <f t="shared" ref="G45:J45" si="8">G35</f>
        <v>4064.3300000000031</v>
      </c>
      <c r="H45" s="58">
        <f t="shared" si="8"/>
        <v>3987.2499999999986</v>
      </c>
      <c r="I45" s="58">
        <f t="shared" si="8"/>
        <v>5401.8199999999952</v>
      </c>
      <c r="J45" s="58">
        <f t="shared" si="8"/>
        <v>6731.9800000000014</v>
      </c>
    </row>
    <row r="46" spans="1:10" x14ac:dyDescent="0.35">
      <c r="B46" s="47" t="s">
        <v>175</v>
      </c>
      <c r="C46" s="47"/>
      <c r="D46" s="47"/>
      <c r="E46" s="47"/>
      <c r="F46" s="62">
        <v>0.25</v>
      </c>
      <c r="G46" s="68">
        <f>F46</f>
        <v>0.25</v>
      </c>
      <c r="H46" s="68">
        <f t="shared" ref="H46:J46" si="9">G46</f>
        <v>0.25</v>
      </c>
      <c r="I46" s="68">
        <f t="shared" si="9"/>
        <v>0.25</v>
      </c>
      <c r="J46" s="68">
        <f t="shared" si="9"/>
        <v>0.25</v>
      </c>
    </row>
    <row r="47" spans="1:10" x14ac:dyDescent="0.35">
      <c r="B47" s="47" t="s">
        <v>178</v>
      </c>
      <c r="C47" s="47"/>
      <c r="D47" s="47"/>
      <c r="E47" s="47"/>
      <c r="F47" s="58">
        <f>F45*(1-F46)</f>
        <v>2532.2399999999984</v>
      </c>
      <c r="G47" s="58">
        <f>G45*(1-G46)</f>
        <v>3048.2475000000022</v>
      </c>
      <c r="H47" s="58">
        <f>H45*(1-H46)</f>
        <v>2990.4374999999991</v>
      </c>
      <c r="I47" s="58">
        <f>I45*(1-I46)</f>
        <v>4051.3649999999961</v>
      </c>
      <c r="J47" s="58">
        <f>J45*(1-J46)</f>
        <v>5048.9850000000006</v>
      </c>
    </row>
    <row r="48" spans="1:10" x14ac:dyDescent="0.35">
      <c r="B48" s="47"/>
      <c r="C48" s="47"/>
      <c r="D48" s="47"/>
      <c r="E48" s="47"/>
      <c r="F48" s="47"/>
      <c r="G48" s="47"/>
      <c r="H48" s="47"/>
      <c r="I48" s="47"/>
      <c r="J48" s="47"/>
    </row>
    <row r="49" spans="1:10" x14ac:dyDescent="0.35">
      <c r="B49" s="47" t="s">
        <v>176</v>
      </c>
      <c r="C49" s="47"/>
      <c r="D49" s="47"/>
      <c r="E49" s="47"/>
      <c r="F49" s="47"/>
      <c r="G49" s="58">
        <f>SUM(G42:G43)</f>
        <v>750</v>
      </c>
      <c r="H49" s="58">
        <f t="shared" ref="H49:J49" si="10">SUM(H42:H43)</f>
        <v>3306</v>
      </c>
      <c r="I49" s="58">
        <f t="shared" si="10"/>
        <v>2175</v>
      </c>
      <c r="J49" s="58">
        <f t="shared" si="10"/>
        <v>2389</v>
      </c>
    </row>
    <row r="50" spans="1:10" ht="4" customHeight="1" x14ac:dyDescent="0.35">
      <c r="G50" s="32"/>
      <c r="H50" s="32"/>
      <c r="I50" s="32"/>
      <c r="J50" s="32"/>
    </row>
    <row r="51" spans="1:10" ht="15" thickBot="1" x14ac:dyDescent="0.4">
      <c r="B51" s="56" t="s">
        <v>177</v>
      </c>
      <c r="C51" s="56"/>
      <c r="D51" s="56"/>
      <c r="E51" s="56"/>
      <c r="F51" s="56"/>
      <c r="G51" s="57">
        <f>G49/G47</f>
        <v>0.24604301323957437</v>
      </c>
      <c r="H51" s="57">
        <f t="shared" ref="H51:J51" si="11">H49/H47</f>
        <v>1.1055238572951285</v>
      </c>
      <c r="I51" s="57">
        <f t="shared" si="11"/>
        <v>0.53685609664890777</v>
      </c>
      <c r="J51" s="57">
        <f t="shared" si="11"/>
        <v>0.4731644082919636</v>
      </c>
    </row>
    <row r="53" spans="1:10" x14ac:dyDescent="0.35">
      <c r="I53" s="63" t="s">
        <v>179</v>
      </c>
      <c r="J53" s="64">
        <f>AVERAGE(G51:J51)</f>
        <v>0.59039684386889357</v>
      </c>
    </row>
    <row r="54" spans="1:10" x14ac:dyDescent="0.35">
      <c r="I54" s="63" t="s">
        <v>180</v>
      </c>
      <c r="J54" s="64">
        <f>MEDIAN(G51:J51)</f>
        <v>0.50501025247043563</v>
      </c>
    </row>
    <row r="56" spans="1:10" x14ac:dyDescent="0.35">
      <c r="A56" t="s">
        <v>57</v>
      </c>
      <c r="B56" s="43" t="s">
        <v>181</v>
      </c>
      <c r="C56" s="54"/>
      <c r="D56" s="54"/>
      <c r="E56" s="54"/>
      <c r="F56" s="44">
        <f>'Raw FS'!J$2</f>
        <v>43891</v>
      </c>
      <c r="G56" s="44">
        <f>'Raw FS'!K$2</f>
        <v>44256</v>
      </c>
      <c r="H56" s="44">
        <f>'Raw FS'!L$2</f>
        <v>44621</v>
      </c>
      <c r="I56" s="44">
        <f>'Raw FS'!M$2</f>
        <v>44986</v>
      </c>
      <c r="J56" s="44">
        <f>'Raw FS'!N$2</f>
        <v>45352</v>
      </c>
    </row>
    <row r="58" spans="1:10" x14ac:dyDescent="0.35">
      <c r="B58" s="47" t="s">
        <v>177</v>
      </c>
      <c r="C58" s="47"/>
      <c r="D58" s="47"/>
      <c r="E58" s="47"/>
      <c r="F58" s="47"/>
      <c r="G58" s="65">
        <f>G51</f>
        <v>0.24604301323957437</v>
      </c>
      <c r="H58" s="65">
        <f t="shared" ref="H58:J58" si="12">H51</f>
        <v>1.1055238572951285</v>
      </c>
      <c r="I58" s="65">
        <f t="shared" si="12"/>
        <v>0.53685609664890777</v>
      </c>
      <c r="J58" s="65">
        <f t="shared" si="12"/>
        <v>0.4731644082919636</v>
      </c>
    </row>
    <row r="59" spans="1:10" x14ac:dyDescent="0.35">
      <c r="B59" s="47" t="s">
        <v>170</v>
      </c>
      <c r="C59" s="47"/>
      <c r="D59" s="47"/>
      <c r="E59" s="47"/>
      <c r="F59" s="47"/>
      <c r="G59" s="65">
        <f>G37</f>
        <v>0.46227593266606043</v>
      </c>
      <c r="H59" s="65">
        <f t="shared" ref="H59:J59" si="13">H37</f>
        <v>0.35451676002489541</v>
      </c>
      <c r="I59" s="65">
        <f t="shared" si="13"/>
        <v>0.43757148643175336</v>
      </c>
      <c r="J59" s="65">
        <f t="shared" si="13"/>
        <v>0.49416281288996561</v>
      </c>
    </row>
    <row r="60" spans="1:10" ht="4" customHeight="1" x14ac:dyDescent="0.35"/>
    <row r="61" spans="1:10" ht="15" thickBot="1" x14ac:dyDescent="0.4">
      <c r="B61" s="56" t="s">
        <v>182</v>
      </c>
      <c r="C61" s="56"/>
      <c r="D61" s="56"/>
      <c r="E61" s="56"/>
      <c r="F61" s="56"/>
      <c r="G61" s="66">
        <f>G58*G59</f>
        <v>0.11373976342129209</v>
      </c>
      <c r="H61" s="66">
        <f t="shared" ref="H61:J61" si="14">H58*H59</f>
        <v>0.39192673601849376</v>
      </c>
      <c r="I61" s="66">
        <f t="shared" si="14"/>
        <v>0.23491292021061161</v>
      </c>
      <c r="J61" s="66">
        <f t="shared" si="14"/>
        <v>0.23382025496097289</v>
      </c>
    </row>
    <row r="63" spans="1:10" x14ac:dyDescent="0.35">
      <c r="I63" s="63" t="s">
        <v>179</v>
      </c>
      <c r="J63" s="64">
        <f>AVERAGE(G61:J61)</f>
        <v>0.24359991865284258</v>
      </c>
    </row>
    <row r="64" spans="1:10" x14ac:dyDescent="0.35">
      <c r="I64" s="63" t="s">
        <v>180</v>
      </c>
      <c r="J64" s="64">
        <f>MEDIAN(G61:J61)</f>
        <v>0.23436658758579226</v>
      </c>
    </row>
  </sheetData>
  <pageMargins left="0.7" right="0.7" top="0.75" bottom="0.75" header="0.3" footer="0.3"/>
  <pageSetup paperSize="9" scale="82" orientation="portrait" horizontalDpi="4294967292" verticalDpi="1200" r:id="rId1"/>
  <ignoredErrors>
    <ignoredError sqref="F42 G42:J42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A3D6-18AE-48DC-874A-DC9D4140B509}">
  <sheetPr>
    <tabColor theme="8" tint="-0.499984740745262"/>
  </sheetPr>
  <dimension ref="A1"/>
  <sheetViews>
    <sheetView workbookViewId="0"/>
  </sheetViews>
  <sheetFormatPr defaultRowHeight="14.5" x14ac:dyDescent="0.35"/>
  <sheetData/>
  <sheetProtection algorithmName="SHA-512" hashValue="WmsF+ioUdJMk7vQ7n3Sf+v2NkqIYkZC1ErqBUGgyDnS3iAq5znwupoOrnoNI8xhjPU6UechIaFafQF+xiRiKYA==" saltValue="zDrulaamxkHAVhIBAVDfM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B3429-376A-4D9D-8A6F-F46ED47878EC}">
  <sheetPr>
    <tabColor rgb="FFFF0000"/>
    <pageSetUpPr fitToPage="1"/>
  </sheetPr>
  <dimension ref="A2:N75"/>
  <sheetViews>
    <sheetView showGridLines="0" zoomScale="63" workbookViewId="0">
      <pane ySplit="2" topLeftCell="A55" activePane="bottomLeft" state="frozen"/>
      <selection pane="bottomLeft" sqref="A1:N75"/>
    </sheetView>
  </sheetViews>
  <sheetFormatPr defaultRowHeight="14.5" x14ac:dyDescent="0.35"/>
  <cols>
    <col min="1" max="1" width="1.81640625" customWidth="1"/>
    <col min="2" max="2" width="26" bestFit="1" customWidth="1"/>
    <col min="3" max="5" width="8.36328125" bestFit="1" customWidth="1"/>
    <col min="6" max="6" width="9.36328125" bestFit="1" customWidth="1"/>
    <col min="7" max="7" width="9.6328125" bestFit="1" customWidth="1"/>
    <col min="8" max="8" width="9.7265625" bestFit="1" customWidth="1"/>
    <col min="9" max="11" width="9.36328125" bestFit="1" customWidth="1"/>
    <col min="12" max="14" width="9.7265625" bestFit="1" customWidth="1"/>
  </cols>
  <sheetData>
    <row r="2" spans="1:14" x14ac:dyDescent="0.35">
      <c r="B2" s="43" t="s">
        <v>158</v>
      </c>
      <c r="C2" s="44">
        <v>41334</v>
      </c>
      <c r="D2" s="44">
        <v>41699</v>
      </c>
      <c r="E2" s="44">
        <v>42064</v>
      </c>
      <c r="F2" s="44">
        <v>42430</v>
      </c>
      <c r="G2" s="44">
        <v>42795</v>
      </c>
      <c r="H2" s="44">
        <v>43160</v>
      </c>
      <c r="I2" s="44">
        <v>43525</v>
      </c>
      <c r="J2" s="44">
        <v>43891</v>
      </c>
      <c r="K2" s="44">
        <v>44256</v>
      </c>
      <c r="L2" s="44">
        <v>44621</v>
      </c>
      <c r="M2" s="44">
        <v>44986</v>
      </c>
      <c r="N2" s="44">
        <v>45352</v>
      </c>
    </row>
    <row r="3" spans="1:14" s="29" customFormat="1" x14ac:dyDescent="0.35">
      <c r="A3"/>
      <c r="B3" s="46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x14ac:dyDescent="0.35">
      <c r="B4" s="12" t="s">
        <v>129</v>
      </c>
      <c r="C4" s="48">
        <v>96</v>
      </c>
      <c r="D4" s="48">
        <v>96</v>
      </c>
      <c r="E4" s="48">
        <v>96</v>
      </c>
      <c r="F4" s="48">
        <v>96</v>
      </c>
      <c r="G4" s="48">
        <v>96</v>
      </c>
      <c r="H4" s="48">
        <v>96</v>
      </c>
      <c r="I4" s="48">
        <v>96</v>
      </c>
      <c r="J4" s="48">
        <v>96</v>
      </c>
      <c r="K4" s="48">
        <v>96</v>
      </c>
      <c r="L4" s="48">
        <v>96</v>
      </c>
      <c r="M4" s="48">
        <v>96</v>
      </c>
      <c r="N4" s="48">
        <v>96</v>
      </c>
    </row>
    <row r="5" spans="1:14" x14ac:dyDescent="0.35">
      <c r="B5" s="12" t="s">
        <v>22</v>
      </c>
      <c r="C5" s="48">
        <v>3288</v>
      </c>
      <c r="D5" s="48">
        <v>3943</v>
      </c>
      <c r="E5" s="48">
        <v>4646</v>
      </c>
      <c r="F5" s="48">
        <v>6429</v>
      </c>
      <c r="G5" s="48">
        <v>7508</v>
      </c>
      <c r="H5" s="48">
        <v>8314</v>
      </c>
      <c r="I5" s="48">
        <v>9375</v>
      </c>
      <c r="J5" s="48">
        <v>10034</v>
      </c>
      <c r="K5" s="48">
        <v>12710</v>
      </c>
      <c r="L5" s="48">
        <v>13716</v>
      </c>
      <c r="M5" s="48">
        <v>15896</v>
      </c>
      <c r="N5" s="48">
        <v>18632</v>
      </c>
    </row>
    <row r="6" spans="1:14" x14ac:dyDescent="0.35">
      <c r="B6" s="12" t="s">
        <v>130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x14ac:dyDescent="0.35">
      <c r="B7" t="s">
        <v>131</v>
      </c>
      <c r="C7" s="48">
        <v>47</v>
      </c>
      <c r="D7" s="48">
        <v>41</v>
      </c>
      <c r="E7" s="48">
        <v>78</v>
      </c>
      <c r="F7" s="48">
        <v>73</v>
      </c>
      <c r="G7" s="48">
        <v>41</v>
      </c>
      <c r="H7" s="48">
        <v>28</v>
      </c>
      <c r="I7" s="48">
        <v>19</v>
      </c>
      <c r="J7" s="48">
        <v>19</v>
      </c>
      <c r="K7" s="48">
        <v>15</v>
      </c>
      <c r="L7" s="48">
        <v>45</v>
      </c>
      <c r="M7" s="48">
        <v>76</v>
      </c>
      <c r="N7" s="48">
        <v>54</v>
      </c>
    </row>
    <row r="8" spans="1:14" x14ac:dyDescent="0.35">
      <c r="B8" t="s">
        <v>132</v>
      </c>
      <c r="C8" s="48">
        <v>190</v>
      </c>
      <c r="D8" s="48">
        <v>199</v>
      </c>
      <c r="E8" s="48">
        <v>332</v>
      </c>
      <c r="F8" s="48">
        <v>231</v>
      </c>
      <c r="G8" s="48">
        <v>504</v>
      </c>
      <c r="H8" s="48">
        <v>492</v>
      </c>
      <c r="I8" s="48">
        <v>597</v>
      </c>
      <c r="J8" s="48">
        <v>321</v>
      </c>
      <c r="K8" s="48">
        <v>334</v>
      </c>
      <c r="L8" s="48">
        <v>731</v>
      </c>
      <c r="M8" s="48">
        <v>896</v>
      </c>
      <c r="N8" s="48">
        <v>1053</v>
      </c>
    </row>
    <row r="9" spans="1:14" x14ac:dyDescent="0.35">
      <c r="B9" t="s">
        <v>133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693</v>
      </c>
      <c r="J9" s="48">
        <v>764</v>
      </c>
      <c r="K9" s="48">
        <v>745</v>
      </c>
      <c r="L9" s="48">
        <v>811</v>
      </c>
      <c r="M9" s="48">
        <v>960</v>
      </c>
      <c r="N9" s="48">
        <v>1367</v>
      </c>
    </row>
    <row r="10" spans="1:14" x14ac:dyDescent="0.35">
      <c r="B10" t="s">
        <v>134</v>
      </c>
      <c r="C10" s="48">
        <v>14</v>
      </c>
      <c r="D10" s="48">
        <v>9</v>
      </c>
      <c r="E10" s="48">
        <v>8</v>
      </c>
      <c r="F10" s="48">
        <v>20</v>
      </c>
      <c r="G10" s="48">
        <v>15</v>
      </c>
      <c r="H10" s="48">
        <v>13</v>
      </c>
      <c r="I10" s="48">
        <v>11</v>
      </c>
      <c r="J10" s="48">
        <v>15</v>
      </c>
      <c r="K10" s="48">
        <v>0</v>
      </c>
      <c r="L10" s="48">
        <v>0</v>
      </c>
      <c r="M10" s="48">
        <v>0</v>
      </c>
      <c r="N10" s="48">
        <v>0</v>
      </c>
    </row>
    <row r="11" spans="1:14" x14ac:dyDescent="0.35">
      <c r="B11" s="12" t="s">
        <v>135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14" x14ac:dyDescent="0.35">
      <c r="B12" t="s">
        <v>136</v>
      </c>
      <c r="C12" s="48">
        <v>161</v>
      </c>
      <c r="D12" s="48">
        <v>246</v>
      </c>
      <c r="E12" s="48">
        <v>264</v>
      </c>
      <c r="F12" s="48">
        <v>384</v>
      </c>
      <c r="G12" s="48">
        <v>375</v>
      </c>
      <c r="H12" s="48">
        <v>328</v>
      </c>
      <c r="I12" s="48">
        <v>361</v>
      </c>
      <c r="J12" s="48">
        <v>404</v>
      </c>
      <c r="K12" s="48">
        <v>423</v>
      </c>
      <c r="L12" s="48">
        <v>388</v>
      </c>
      <c r="M12" s="48">
        <v>454</v>
      </c>
      <c r="N12" s="48">
        <v>695</v>
      </c>
    </row>
    <row r="13" spans="1:14" x14ac:dyDescent="0.35">
      <c r="B13" t="s">
        <v>137</v>
      </c>
      <c r="C13" s="48">
        <v>1442</v>
      </c>
      <c r="D13" s="48">
        <v>1746</v>
      </c>
      <c r="E13" s="48">
        <v>1549</v>
      </c>
      <c r="F13" s="48">
        <v>1565</v>
      </c>
      <c r="G13" s="48">
        <v>1923</v>
      </c>
      <c r="H13" s="48">
        <v>2160</v>
      </c>
      <c r="I13" s="48">
        <v>2394</v>
      </c>
      <c r="J13" s="48">
        <v>2137</v>
      </c>
      <c r="K13" s="48">
        <v>3379</v>
      </c>
      <c r="L13" s="48">
        <v>4164</v>
      </c>
      <c r="M13" s="48">
        <v>3635</v>
      </c>
      <c r="N13" s="48">
        <v>3831</v>
      </c>
    </row>
    <row r="14" spans="1:14" x14ac:dyDescent="0.35">
      <c r="B14" t="s">
        <v>138</v>
      </c>
      <c r="C14" s="48">
        <v>0</v>
      </c>
      <c r="D14" s="48">
        <v>0</v>
      </c>
      <c r="E14" s="48">
        <v>5</v>
      </c>
      <c r="F14" s="48">
        <v>12</v>
      </c>
      <c r="G14" s="48">
        <v>17</v>
      </c>
      <c r="H14" s="48">
        <v>16</v>
      </c>
      <c r="I14" s="48">
        <v>13</v>
      </c>
      <c r="J14" s="48">
        <v>29</v>
      </c>
      <c r="K14" s="48">
        <v>41</v>
      </c>
      <c r="L14" s="48">
        <v>76</v>
      </c>
      <c r="M14" s="48">
        <v>108</v>
      </c>
      <c r="N14" s="48">
        <v>154</v>
      </c>
    </row>
    <row r="15" spans="1:14" x14ac:dyDescent="0.35">
      <c r="B15" t="s">
        <v>139</v>
      </c>
      <c r="C15" s="31">
        <v>1547</v>
      </c>
      <c r="D15" s="31">
        <v>1795</v>
      </c>
      <c r="E15" s="31">
        <v>1937</v>
      </c>
      <c r="F15" s="31">
        <v>1750</v>
      </c>
      <c r="G15" s="31">
        <v>1925</v>
      </c>
      <c r="H15" s="31">
        <v>2316</v>
      </c>
      <c r="I15" s="31">
        <v>2690</v>
      </c>
      <c r="J15" s="31">
        <v>2320</v>
      </c>
      <c r="K15" s="31">
        <v>2613</v>
      </c>
      <c r="L15" s="31">
        <v>2932</v>
      </c>
      <c r="M15" s="31">
        <v>3657</v>
      </c>
      <c r="N15" s="31">
        <v>4017</v>
      </c>
    </row>
    <row r="16" spans="1:14" x14ac:dyDescent="0.35">
      <c r="B16" s="45" t="s">
        <v>140</v>
      </c>
      <c r="C16" s="49">
        <v>6784</v>
      </c>
      <c r="D16" s="49">
        <v>8075</v>
      </c>
      <c r="E16" s="49">
        <v>8914</v>
      </c>
      <c r="F16" s="49">
        <v>10559</v>
      </c>
      <c r="G16" s="49">
        <v>12405</v>
      </c>
      <c r="H16" s="49">
        <v>13763</v>
      </c>
      <c r="I16" s="49">
        <v>16249</v>
      </c>
      <c r="J16" s="49">
        <v>16138</v>
      </c>
      <c r="K16" s="49">
        <v>20355</v>
      </c>
      <c r="L16" s="49">
        <v>22958</v>
      </c>
      <c r="M16" s="49">
        <v>25779</v>
      </c>
      <c r="N16" s="49">
        <v>29901</v>
      </c>
    </row>
    <row r="17" spans="2:14" x14ac:dyDescent="0.35"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</row>
    <row r="18" spans="2:14" x14ac:dyDescent="0.35">
      <c r="B18" s="12" t="s">
        <v>141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</row>
    <row r="19" spans="2:14" x14ac:dyDescent="0.35">
      <c r="B19" t="s">
        <v>142</v>
      </c>
      <c r="C19" s="48">
        <v>238</v>
      </c>
      <c r="D19" s="48">
        <v>247</v>
      </c>
      <c r="E19" s="48">
        <v>251</v>
      </c>
      <c r="F19" s="48">
        <v>429</v>
      </c>
      <c r="G19" s="48">
        <v>408</v>
      </c>
      <c r="H19" s="48">
        <v>586</v>
      </c>
      <c r="I19" s="48">
        <v>605</v>
      </c>
      <c r="J19" s="48">
        <v>640</v>
      </c>
      <c r="K19" s="48">
        <v>644</v>
      </c>
      <c r="L19" s="48">
        <v>644</v>
      </c>
      <c r="M19" s="48">
        <v>804</v>
      </c>
      <c r="N19" s="48">
        <v>1126</v>
      </c>
    </row>
    <row r="20" spans="2:14" x14ac:dyDescent="0.35">
      <c r="B20" t="s">
        <v>143</v>
      </c>
      <c r="C20" s="48">
        <v>874</v>
      </c>
      <c r="D20" s="48">
        <v>931</v>
      </c>
      <c r="E20" s="48">
        <v>962</v>
      </c>
      <c r="F20" s="48">
        <v>923</v>
      </c>
      <c r="G20" s="48">
        <v>931</v>
      </c>
      <c r="H20" s="48">
        <v>957</v>
      </c>
      <c r="I20" s="48">
        <v>2402</v>
      </c>
      <c r="J20" s="48">
        <v>2257</v>
      </c>
      <c r="K20" s="48">
        <v>2249</v>
      </c>
      <c r="L20" s="48">
        <v>2325</v>
      </c>
      <c r="M20" s="48">
        <v>2883</v>
      </c>
      <c r="N20" s="48">
        <v>3390</v>
      </c>
    </row>
    <row r="21" spans="2:14" x14ac:dyDescent="0.35">
      <c r="B21" t="s">
        <v>144</v>
      </c>
      <c r="C21" s="48">
        <v>1956</v>
      </c>
      <c r="D21" s="48">
        <v>2054</v>
      </c>
      <c r="E21" s="48">
        <v>2132</v>
      </c>
      <c r="F21" s="48">
        <v>1793</v>
      </c>
      <c r="G21" s="48">
        <v>1980</v>
      </c>
      <c r="H21" s="48">
        <v>2157</v>
      </c>
      <c r="I21" s="48">
        <v>4006</v>
      </c>
      <c r="J21" s="48">
        <v>4208</v>
      </c>
      <c r="K21" s="48">
        <v>4340</v>
      </c>
      <c r="L21" s="48">
        <v>4531</v>
      </c>
      <c r="M21" s="48">
        <v>4825</v>
      </c>
      <c r="N21" s="48">
        <v>5422</v>
      </c>
    </row>
    <row r="22" spans="2:14" x14ac:dyDescent="0.35">
      <c r="B22" t="s">
        <v>145</v>
      </c>
      <c r="C22" s="48">
        <v>137</v>
      </c>
      <c r="D22" s="48">
        <v>155</v>
      </c>
      <c r="E22" s="48">
        <v>171</v>
      </c>
      <c r="F22" s="48">
        <v>97</v>
      </c>
      <c r="G22" s="48">
        <v>119</v>
      </c>
      <c r="H22" s="48">
        <v>200</v>
      </c>
      <c r="I22" s="48">
        <v>221</v>
      </c>
      <c r="J22" s="48">
        <v>241</v>
      </c>
      <c r="K22" s="48">
        <v>243</v>
      </c>
      <c r="L22" s="48">
        <v>253</v>
      </c>
      <c r="M22" s="48">
        <v>270</v>
      </c>
      <c r="N22" s="48">
        <v>298</v>
      </c>
    </row>
    <row r="23" spans="2:14" x14ac:dyDescent="0.35">
      <c r="B23" t="s">
        <v>146</v>
      </c>
      <c r="C23" s="48">
        <v>57</v>
      </c>
      <c r="D23" s="48">
        <v>71</v>
      </c>
      <c r="E23" s="48">
        <v>83</v>
      </c>
      <c r="F23" s="48">
        <v>49</v>
      </c>
      <c r="G23" s="48">
        <v>59</v>
      </c>
      <c r="H23" s="48">
        <v>72</v>
      </c>
      <c r="I23" s="48">
        <v>88</v>
      </c>
      <c r="J23" s="48">
        <v>94</v>
      </c>
      <c r="K23" s="48">
        <v>99</v>
      </c>
      <c r="L23" s="48">
        <v>113</v>
      </c>
      <c r="M23" s="48">
        <v>146</v>
      </c>
      <c r="N23" s="48">
        <v>175</v>
      </c>
    </row>
    <row r="24" spans="2:14" x14ac:dyDescent="0.35">
      <c r="B24" t="s">
        <v>147</v>
      </c>
      <c r="C24" s="48">
        <v>11</v>
      </c>
      <c r="D24" s="48">
        <v>14</v>
      </c>
      <c r="E24" s="48">
        <v>18</v>
      </c>
      <c r="F24" s="48">
        <v>11</v>
      </c>
      <c r="G24" s="48">
        <v>14</v>
      </c>
      <c r="H24" s="48">
        <v>27</v>
      </c>
      <c r="I24" s="48">
        <v>47</v>
      </c>
      <c r="J24" s="48">
        <v>43</v>
      </c>
      <c r="K24" s="48">
        <v>38</v>
      </c>
      <c r="L24" s="48">
        <v>32</v>
      </c>
      <c r="M24" s="48">
        <v>36</v>
      </c>
      <c r="N24" s="48">
        <v>40</v>
      </c>
    </row>
    <row r="25" spans="2:14" x14ac:dyDescent="0.35">
      <c r="B25" t="s">
        <v>148</v>
      </c>
      <c r="C25" s="48">
        <v>57</v>
      </c>
      <c r="D25" s="48">
        <v>203</v>
      </c>
      <c r="E25" s="48">
        <v>351</v>
      </c>
      <c r="F25" s="48">
        <v>339</v>
      </c>
      <c r="G25" s="48">
        <v>276</v>
      </c>
      <c r="H25" s="48">
        <v>468</v>
      </c>
      <c r="I25" s="48">
        <v>512</v>
      </c>
      <c r="J25" s="48">
        <v>505</v>
      </c>
      <c r="K25" s="48">
        <v>476</v>
      </c>
      <c r="L25" s="48">
        <v>345</v>
      </c>
      <c r="M25" s="48">
        <v>422</v>
      </c>
      <c r="N25" s="48">
        <v>850</v>
      </c>
    </row>
    <row r="26" spans="2:14" x14ac:dyDescent="0.35">
      <c r="B26" t="s">
        <v>149</v>
      </c>
      <c r="C26" s="48">
        <v>99</v>
      </c>
      <c r="D26" s="48">
        <v>128</v>
      </c>
      <c r="E26" s="48">
        <v>145</v>
      </c>
      <c r="F26" s="48">
        <v>103</v>
      </c>
      <c r="G26" s="48">
        <v>128</v>
      </c>
      <c r="H26" s="48">
        <v>238</v>
      </c>
      <c r="I26" s="48">
        <v>261</v>
      </c>
      <c r="J26" s="48">
        <v>293</v>
      </c>
      <c r="K26" s="48">
        <v>302</v>
      </c>
      <c r="L26" s="48">
        <v>294</v>
      </c>
      <c r="M26" s="48">
        <v>289</v>
      </c>
      <c r="N26" s="48">
        <v>321</v>
      </c>
    </row>
    <row r="27" spans="2:14" x14ac:dyDescent="0.35">
      <c r="B27" s="12" t="s">
        <v>150</v>
      </c>
      <c r="C27" s="51">
        <v>3429</v>
      </c>
      <c r="D27" s="51">
        <v>3804</v>
      </c>
      <c r="E27" s="51">
        <v>4112</v>
      </c>
      <c r="F27" s="51">
        <v>3744</v>
      </c>
      <c r="G27" s="51">
        <v>3914</v>
      </c>
      <c r="H27" s="51">
        <v>4705</v>
      </c>
      <c r="I27" s="51">
        <v>8141</v>
      </c>
      <c r="J27" s="51">
        <v>8282</v>
      </c>
      <c r="K27" s="51">
        <v>8392</v>
      </c>
      <c r="L27" s="51">
        <v>8538</v>
      </c>
      <c r="M27" s="51">
        <v>9676</v>
      </c>
      <c r="N27" s="51">
        <v>11622</v>
      </c>
    </row>
    <row r="28" spans="2:14" x14ac:dyDescent="0.35">
      <c r="B28" s="12" t="s">
        <v>151</v>
      </c>
      <c r="C28" s="52">
        <v>979</v>
      </c>
      <c r="D28" s="52">
        <v>1223</v>
      </c>
      <c r="E28" s="52">
        <v>1438</v>
      </c>
      <c r="F28" s="52">
        <v>275</v>
      </c>
      <c r="G28" s="52">
        <v>610</v>
      </c>
      <c r="H28" s="52">
        <v>973</v>
      </c>
      <c r="I28" s="52">
        <v>1592</v>
      </c>
      <c r="J28" s="52">
        <v>2010</v>
      </c>
      <c r="K28" s="52">
        <v>2533</v>
      </c>
      <c r="L28" s="52">
        <v>3019</v>
      </c>
      <c r="M28" s="52">
        <v>3814</v>
      </c>
      <c r="N28" s="52">
        <v>4381</v>
      </c>
    </row>
    <row r="29" spans="2:14" x14ac:dyDescent="0.35">
      <c r="B29" s="12" t="s">
        <v>19</v>
      </c>
      <c r="C29" s="50">
        <f>C27-C28</f>
        <v>2450</v>
      </c>
      <c r="D29" s="50">
        <f t="shared" ref="D29:N29" si="0">D27-D28</f>
        <v>2581</v>
      </c>
      <c r="E29" s="50">
        <f t="shared" si="0"/>
        <v>2674</v>
      </c>
      <c r="F29" s="50">
        <f t="shared" si="0"/>
        <v>3469</v>
      </c>
      <c r="G29" s="50">
        <f t="shared" si="0"/>
        <v>3304</v>
      </c>
      <c r="H29" s="50">
        <f t="shared" si="0"/>
        <v>3732</v>
      </c>
      <c r="I29" s="50">
        <f t="shared" si="0"/>
        <v>6549</v>
      </c>
      <c r="J29" s="50">
        <f t="shared" si="0"/>
        <v>6272</v>
      </c>
      <c r="K29" s="50">
        <f t="shared" si="0"/>
        <v>5859</v>
      </c>
      <c r="L29" s="50">
        <f t="shared" si="0"/>
        <v>5519</v>
      </c>
      <c r="M29" s="50">
        <f t="shared" si="0"/>
        <v>5862</v>
      </c>
      <c r="N29" s="50">
        <f t="shared" si="0"/>
        <v>7241</v>
      </c>
    </row>
    <row r="30" spans="2:14" x14ac:dyDescent="0.35">
      <c r="B30" s="12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2:14" x14ac:dyDescent="0.35">
      <c r="B31" s="12" t="s">
        <v>152</v>
      </c>
      <c r="C31" s="48">
        <v>59</v>
      </c>
      <c r="D31" s="48">
        <v>72</v>
      </c>
      <c r="E31" s="48">
        <v>196</v>
      </c>
      <c r="F31" s="48">
        <v>107</v>
      </c>
      <c r="G31" s="48">
        <v>258</v>
      </c>
      <c r="H31" s="48">
        <v>1405</v>
      </c>
      <c r="I31" s="48">
        <v>210</v>
      </c>
      <c r="J31" s="48">
        <v>140</v>
      </c>
      <c r="K31" s="48">
        <v>183</v>
      </c>
      <c r="L31" s="48">
        <v>426</v>
      </c>
      <c r="M31" s="48">
        <v>1020</v>
      </c>
      <c r="N31" s="48">
        <v>2698</v>
      </c>
    </row>
    <row r="32" spans="2:14" x14ac:dyDescent="0.35">
      <c r="B32" s="12" t="s">
        <v>17</v>
      </c>
      <c r="C32" s="48">
        <v>296</v>
      </c>
      <c r="D32" s="48">
        <v>1424</v>
      </c>
      <c r="E32" s="48">
        <v>1588</v>
      </c>
      <c r="F32" s="48">
        <v>2712</v>
      </c>
      <c r="G32" s="48">
        <v>2652</v>
      </c>
      <c r="H32" s="48">
        <v>2141</v>
      </c>
      <c r="I32" s="48">
        <v>2569</v>
      </c>
      <c r="J32" s="48">
        <v>2019</v>
      </c>
      <c r="K32" s="48">
        <v>4737</v>
      </c>
      <c r="L32" s="48">
        <v>3248</v>
      </c>
      <c r="M32" s="48">
        <v>4262</v>
      </c>
      <c r="N32" s="48">
        <v>4588</v>
      </c>
    </row>
    <row r="33" spans="2:14" x14ac:dyDescent="0.35">
      <c r="B33" s="12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2:14" x14ac:dyDescent="0.35">
      <c r="B34" s="12" t="s">
        <v>153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2:14" x14ac:dyDescent="0.35">
      <c r="B35" t="s">
        <v>154</v>
      </c>
      <c r="C35" s="48">
        <v>1830</v>
      </c>
      <c r="D35" s="48">
        <v>2070</v>
      </c>
      <c r="E35" s="48">
        <v>2259</v>
      </c>
      <c r="F35" s="48">
        <v>1998</v>
      </c>
      <c r="G35" s="48">
        <v>2627</v>
      </c>
      <c r="H35" s="48">
        <v>2658</v>
      </c>
      <c r="I35" s="48">
        <v>3150</v>
      </c>
      <c r="J35" s="48">
        <v>3390</v>
      </c>
      <c r="K35" s="48">
        <v>3799</v>
      </c>
      <c r="L35" s="48">
        <v>6153</v>
      </c>
      <c r="M35" s="48">
        <v>6211</v>
      </c>
      <c r="N35" s="48">
        <v>5923</v>
      </c>
    </row>
    <row r="36" spans="2:14" x14ac:dyDescent="0.35">
      <c r="B36" t="s">
        <v>159</v>
      </c>
      <c r="C36" s="48">
        <v>981</v>
      </c>
      <c r="D36" s="48">
        <v>1110</v>
      </c>
      <c r="E36" s="48">
        <v>1182</v>
      </c>
      <c r="F36" s="48">
        <v>1187</v>
      </c>
      <c r="G36" s="48">
        <v>1447</v>
      </c>
      <c r="H36" s="48">
        <v>1731</v>
      </c>
      <c r="I36" s="48">
        <v>1907</v>
      </c>
      <c r="J36" s="48">
        <v>1795</v>
      </c>
      <c r="K36" s="48">
        <v>2602</v>
      </c>
      <c r="L36" s="48">
        <v>3871</v>
      </c>
      <c r="M36" s="48">
        <v>4637</v>
      </c>
      <c r="N36" s="48">
        <v>4889</v>
      </c>
    </row>
    <row r="37" spans="2:14" x14ac:dyDescent="0.35">
      <c r="B37" t="s">
        <v>155</v>
      </c>
      <c r="C37" s="48">
        <v>737</v>
      </c>
      <c r="D37" s="48">
        <v>229</v>
      </c>
      <c r="E37" s="48">
        <v>204</v>
      </c>
      <c r="F37" s="48">
        <v>424</v>
      </c>
      <c r="G37" s="48">
        <v>801</v>
      </c>
      <c r="H37" s="48">
        <v>405</v>
      </c>
      <c r="I37" s="48">
        <v>445</v>
      </c>
      <c r="J37" s="48">
        <v>783</v>
      </c>
      <c r="K37" s="48">
        <v>611</v>
      </c>
      <c r="L37" s="48">
        <v>864</v>
      </c>
      <c r="M37" s="48">
        <v>844</v>
      </c>
      <c r="N37" s="48">
        <v>1084</v>
      </c>
    </row>
    <row r="38" spans="2:14" x14ac:dyDescent="0.35">
      <c r="B38" t="s">
        <v>156</v>
      </c>
      <c r="C38" s="48">
        <v>4</v>
      </c>
      <c r="D38" s="48">
        <v>7</v>
      </c>
      <c r="E38" s="48">
        <v>9</v>
      </c>
      <c r="F38" s="48">
        <v>9</v>
      </c>
      <c r="G38" s="48">
        <v>14</v>
      </c>
      <c r="H38" s="48">
        <v>13</v>
      </c>
      <c r="I38" s="48">
        <v>16</v>
      </c>
      <c r="J38" s="48">
        <v>12</v>
      </c>
      <c r="K38" s="48">
        <v>11</v>
      </c>
      <c r="L38" s="48">
        <v>8</v>
      </c>
      <c r="M38" s="48">
        <v>12</v>
      </c>
      <c r="N38" s="48">
        <v>17</v>
      </c>
    </row>
    <row r="39" spans="2:14" x14ac:dyDescent="0.35">
      <c r="B39" t="s">
        <v>157</v>
      </c>
      <c r="C39" s="53">
        <v>436</v>
      </c>
      <c r="D39" s="53">
        <v>603</v>
      </c>
      <c r="E39" s="53">
        <v>817</v>
      </c>
      <c r="F39" s="53">
        <v>705</v>
      </c>
      <c r="G39" s="53">
        <v>1303</v>
      </c>
      <c r="H39" s="53">
        <v>1678</v>
      </c>
      <c r="I39" s="53">
        <v>1456</v>
      </c>
      <c r="J39" s="53">
        <v>1727</v>
      </c>
      <c r="K39" s="53">
        <v>2555</v>
      </c>
      <c r="L39" s="53">
        <v>2869</v>
      </c>
      <c r="M39" s="53">
        <v>3024</v>
      </c>
      <c r="N39" s="53">
        <v>3555</v>
      </c>
    </row>
    <row r="40" spans="2:14" x14ac:dyDescent="0.35">
      <c r="B40" s="49" t="s">
        <v>84</v>
      </c>
      <c r="C40" s="49">
        <v>6784</v>
      </c>
      <c r="D40" s="49">
        <v>8075</v>
      </c>
      <c r="E40" s="49">
        <v>8914</v>
      </c>
      <c r="F40" s="49">
        <v>10559</v>
      </c>
      <c r="G40" s="49">
        <v>12405</v>
      </c>
      <c r="H40" s="49">
        <v>13763</v>
      </c>
      <c r="I40" s="49">
        <v>16249</v>
      </c>
      <c r="J40" s="49">
        <v>16138</v>
      </c>
      <c r="K40" s="49">
        <v>20355</v>
      </c>
      <c r="L40" s="49">
        <v>22958</v>
      </c>
      <c r="M40" s="49">
        <v>25779</v>
      </c>
      <c r="N40" s="49">
        <v>29901</v>
      </c>
    </row>
    <row r="43" spans="2:14" x14ac:dyDescent="0.35">
      <c r="B43" s="43" t="s">
        <v>173</v>
      </c>
      <c r="C43" s="44">
        <v>41334</v>
      </c>
      <c r="D43" s="44">
        <v>41699</v>
      </c>
      <c r="E43" s="44">
        <v>42064</v>
      </c>
      <c r="F43" s="44">
        <v>42430</v>
      </c>
      <c r="G43" s="44">
        <v>42795</v>
      </c>
      <c r="H43" s="44">
        <v>43160</v>
      </c>
      <c r="I43" s="44">
        <v>43525</v>
      </c>
      <c r="J43" s="44">
        <v>43891</v>
      </c>
      <c r="K43" s="44">
        <v>44256</v>
      </c>
      <c r="L43" s="44">
        <v>44621</v>
      </c>
      <c r="M43" s="44">
        <v>44986</v>
      </c>
      <c r="N43" s="44">
        <v>45352</v>
      </c>
    </row>
    <row r="44" spans="2:14" s="29" customFormat="1" ht="15" thickBot="1" x14ac:dyDescent="0.4">
      <c r="B44" s="46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2:14" ht="15" thickBot="1" x14ac:dyDescent="0.4">
      <c r="B45" s="12" t="s">
        <v>90</v>
      </c>
      <c r="C45" s="67">
        <v>1187</v>
      </c>
      <c r="D45" s="67">
        <v>1402</v>
      </c>
      <c r="E45" s="67">
        <v>1188</v>
      </c>
      <c r="F45" s="67">
        <v>2243</v>
      </c>
      <c r="G45" s="67">
        <v>1527</v>
      </c>
      <c r="H45" s="67">
        <v>2113</v>
      </c>
      <c r="I45" s="67">
        <v>2470</v>
      </c>
      <c r="J45" s="67">
        <v>3038</v>
      </c>
      <c r="K45" s="67">
        <v>3683</v>
      </c>
      <c r="L45" s="67">
        <v>986</v>
      </c>
      <c r="M45" s="67">
        <v>4193</v>
      </c>
      <c r="N45" s="67">
        <v>6104</v>
      </c>
    </row>
    <row r="46" spans="2:14" x14ac:dyDescent="0.35">
      <c r="B46" t="s">
        <v>91</v>
      </c>
      <c r="C46" s="52">
        <v>1784</v>
      </c>
      <c r="D46" s="52">
        <v>2051</v>
      </c>
      <c r="E46" s="52">
        <v>2271</v>
      </c>
      <c r="F46" s="52">
        <v>2848</v>
      </c>
      <c r="G46" s="52">
        <v>3056</v>
      </c>
      <c r="H46" s="52">
        <v>3274</v>
      </c>
      <c r="I46" s="52">
        <v>3861</v>
      </c>
      <c r="J46" s="52">
        <v>4380</v>
      </c>
      <c r="K46" s="52">
        <v>4970</v>
      </c>
      <c r="L46" s="52">
        <v>4957</v>
      </c>
      <c r="M46" s="52">
        <v>6460</v>
      </c>
      <c r="N46" s="52">
        <v>7929</v>
      </c>
    </row>
    <row r="47" spans="2:14" x14ac:dyDescent="0.35">
      <c r="B47" t="s">
        <v>14</v>
      </c>
      <c r="C47" s="48">
        <v>-299</v>
      </c>
      <c r="D47" s="48">
        <v>-254</v>
      </c>
      <c r="E47" s="48">
        <v>-155</v>
      </c>
      <c r="F47" s="48">
        <v>-146</v>
      </c>
      <c r="G47" s="48">
        <v>-475</v>
      </c>
      <c r="H47" s="48">
        <v>-483</v>
      </c>
      <c r="I47" s="48">
        <v>-205</v>
      </c>
      <c r="J47" s="48">
        <v>160</v>
      </c>
      <c r="K47" s="48">
        <v>-849</v>
      </c>
      <c r="L47" s="48">
        <v>-1326</v>
      </c>
      <c r="M47" s="48">
        <v>-834</v>
      </c>
      <c r="N47" s="48">
        <v>-362</v>
      </c>
    </row>
    <row r="48" spans="2:14" x14ac:dyDescent="0.35">
      <c r="B48" t="s">
        <v>13</v>
      </c>
      <c r="C48" s="48">
        <v>-247</v>
      </c>
      <c r="D48" s="48">
        <v>-231</v>
      </c>
      <c r="E48" s="48">
        <v>-144</v>
      </c>
      <c r="F48" s="48">
        <v>202</v>
      </c>
      <c r="G48" s="48">
        <v>-629</v>
      </c>
      <c r="H48" s="48">
        <v>-39</v>
      </c>
      <c r="I48" s="48">
        <v>-492</v>
      </c>
      <c r="J48" s="48">
        <v>-251</v>
      </c>
      <c r="K48" s="48">
        <v>-409</v>
      </c>
      <c r="L48" s="48">
        <v>-2354</v>
      </c>
      <c r="M48" s="48">
        <v>-56</v>
      </c>
      <c r="N48" s="48">
        <v>315</v>
      </c>
    </row>
    <row r="49" spans="2:14" x14ac:dyDescent="0.35">
      <c r="B49" t="s">
        <v>92</v>
      </c>
      <c r="C49" s="48">
        <v>388</v>
      </c>
      <c r="D49" s="48">
        <v>317</v>
      </c>
      <c r="E49" s="48">
        <v>-151</v>
      </c>
      <c r="F49" s="48">
        <v>142</v>
      </c>
      <c r="G49" s="48">
        <v>501</v>
      </c>
      <c r="H49" s="48">
        <v>442</v>
      </c>
      <c r="I49" s="48">
        <v>287</v>
      </c>
      <c r="J49" s="48">
        <v>-241</v>
      </c>
      <c r="K49" s="48">
        <v>1143</v>
      </c>
      <c r="L49" s="48">
        <v>644</v>
      </c>
      <c r="M49" s="48">
        <v>-539</v>
      </c>
      <c r="N49" s="48">
        <v>269</v>
      </c>
    </row>
    <row r="50" spans="2:14" x14ac:dyDescent="0.35">
      <c r="B50" t="s">
        <v>94</v>
      </c>
      <c r="C50" s="48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8">
        <v>0</v>
      </c>
      <c r="J50" s="48">
        <v>0</v>
      </c>
      <c r="K50" s="48">
        <v>-92</v>
      </c>
      <c r="L50" s="48">
        <v>242</v>
      </c>
      <c r="M50" s="48">
        <v>657</v>
      </c>
      <c r="N50" s="48">
        <v>-212</v>
      </c>
    </row>
    <row r="51" spans="2:14" x14ac:dyDescent="0.35">
      <c r="B51" t="s">
        <v>95</v>
      </c>
      <c r="C51" s="48">
        <v>-159</v>
      </c>
      <c r="D51" s="48">
        <v>-168</v>
      </c>
      <c r="E51" s="48">
        <v>-450</v>
      </c>
      <c r="F51" s="48">
        <v>198</v>
      </c>
      <c r="G51" s="48">
        <v>-603</v>
      </c>
      <c r="H51" s="48">
        <v>-80</v>
      </c>
      <c r="I51" s="48">
        <v>-410</v>
      </c>
      <c r="J51" s="48">
        <v>-331</v>
      </c>
      <c r="K51" s="48">
        <v>-206</v>
      </c>
      <c r="L51" s="48">
        <v>-2795</v>
      </c>
      <c r="M51" s="48">
        <v>-772</v>
      </c>
      <c r="N51" s="48">
        <v>10</v>
      </c>
    </row>
    <row r="52" spans="2:14" x14ac:dyDescent="0.35">
      <c r="B52" t="s">
        <v>96</v>
      </c>
      <c r="C52" s="53">
        <v>-438</v>
      </c>
      <c r="D52" s="53">
        <v>-480</v>
      </c>
      <c r="E52" s="53">
        <v>-633</v>
      </c>
      <c r="F52" s="53">
        <v>-802</v>
      </c>
      <c r="G52" s="53">
        <v>-925</v>
      </c>
      <c r="H52" s="53">
        <v>-1081</v>
      </c>
      <c r="I52" s="53">
        <v>-982</v>
      </c>
      <c r="J52" s="53">
        <v>-1011</v>
      </c>
      <c r="K52" s="53">
        <v>-1080</v>
      </c>
      <c r="L52" s="53">
        <v>-1176</v>
      </c>
      <c r="M52" s="53">
        <v>-1494</v>
      </c>
      <c r="N52" s="53">
        <v>-1835</v>
      </c>
    </row>
    <row r="53" spans="2:14" ht="15" thickBot="1" x14ac:dyDescent="0.4"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</row>
    <row r="54" spans="2:14" ht="15" thickBot="1" x14ac:dyDescent="0.4">
      <c r="B54" s="12" t="s">
        <v>97</v>
      </c>
      <c r="C54" s="67">
        <v>-463</v>
      </c>
      <c r="D54" s="67">
        <v>-586</v>
      </c>
      <c r="E54" s="67">
        <v>-465</v>
      </c>
      <c r="F54" s="67">
        <v>-866</v>
      </c>
      <c r="G54" s="67">
        <v>-681</v>
      </c>
      <c r="H54" s="67">
        <v>-1556</v>
      </c>
      <c r="I54" s="67">
        <v>-918</v>
      </c>
      <c r="J54" s="67">
        <v>-518</v>
      </c>
      <c r="K54" s="67">
        <v>-541</v>
      </c>
      <c r="L54" s="67">
        <v>-317</v>
      </c>
      <c r="M54" s="67">
        <v>-1282</v>
      </c>
      <c r="N54" s="67">
        <v>-2548</v>
      </c>
    </row>
    <row r="55" spans="2:14" x14ac:dyDescent="0.35">
      <c r="B55" t="s">
        <v>98</v>
      </c>
      <c r="C55" s="52">
        <v>-644</v>
      </c>
      <c r="D55" s="52">
        <v>-251</v>
      </c>
      <c r="E55" s="52">
        <v>-454</v>
      </c>
      <c r="F55" s="52">
        <v>-817</v>
      </c>
      <c r="G55" s="52">
        <v>-684</v>
      </c>
      <c r="H55" s="52">
        <v>-1426</v>
      </c>
      <c r="I55" s="52">
        <v>-1151</v>
      </c>
      <c r="J55" s="52">
        <v>-404</v>
      </c>
      <c r="K55" s="52">
        <v>-282</v>
      </c>
      <c r="L55" s="52">
        <v>-551</v>
      </c>
      <c r="M55" s="52">
        <v>-1446</v>
      </c>
      <c r="N55" s="52">
        <v>-2496</v>
      </c>
    </row>
    <row r="56" spans="2:14" x14ac:dyDescent="0.35">
      <c r="B56" t="s">
        <v>99</v>
      </c>
      <c r="C56" s="48">
        <v>7</v>
      </c>
      <c r="D56" s="48">
        <v>16</v>
      </c>
      <c r="E56" s="48">
        <v>16</v>
      </c>
      <c r="F56" s="48">
        <v>15</v>
      </c>
      <c r="G56" s="48">
        <v>17</v>
      </c>
      <c r="H56" s="48">
        <v>17</v>
      </c>
      <c r="I56" s="48">
        <v>17</v>
      </c>
      <c r="J56" s="48">
        <v>37</v>
      </c>
      <c r="K56" s="48">
        <v>28</v>
      </c>
      <c r="L56" s="48">
        <v>40</v>
      </c>
      <c r="M56" s="48">
        <v>26</v>
      </c>
      <c r="N56" s="48">
        <v>5</v>
      </c>
    </row>
    <row r="57" spans="2:14" x14ac:dyDescent="0.35">
      <c r="B57" t="s">
        <v>100</v>
      </c>
      <c r="C57" s="48">
        <v>-247</v>
      </c>
      <c r="D57" s="48">
        <v>-872</v>
      </c>
      <c r="E57" s="48">
        <v>-243</v>
      </c>
      <c r="F57" s="48">
        <v>-282</v>
      </c>
      <c r="G57" s="48">
        <v>-153</v>
      </c>
      <c r="H57" s="48">
        <v>-320</v>
      </c>
      <c r="I57" s="48">
        <v>-573</v>
      </c>
      <c r="J57" s="48">
        <v>-25</v>
      </c>
      <c r="K57" s="48">
        <v>-140</v>
      </c>
      <c r="L57" s="48">
        <v>0</v>
      </c>
      <c r="M57" s="48">
        <v>-146</v>
      </c>
      <c r="N57" s="48">
        <v>-212</v>
      </c>
    </row>
    <row r="58" spans="2:14" x14ac:dyDescent="0.35">
      <c r="B58" t="s">
        <v>101</v>
      </c>
      <c r="C58" s="48">
        <v>330</v>
      </c>
      <c r="D58" s="48">
        <v>463</v>
      </c>
      <c r="E58" s="48">
        <v>278</v>
      </c>
      <c r="F58" s="48">
        <v>205</v>
      </c>
      <c r="G58" s="48">
        <v>357</v>
      </c>
      <c r="H58" s="48">
        <v>362</v>
      </c>
      <c r="I58" s="48">
        <v>733</v>
      </c>
      <c r="J58" s="48">
        <v>134</v>
      </c>
      <c r="K58" s="48">
        <v>272</v>
      </c>
      <c r="L58" s="48">
        <v>207</v>
      </c>
      <c r="M58" s="48">
        <v>446</v>
      </c>
      <c r="N58" s="48">
        <v>240</v>
      </c>
    </row>
    <row r="59" spans="2:14" x14ac:dyDescent="0.35">
      <c r="B59" t="s">
        <v>102</v>
      </c>
      <c r="C59" s="48">
        <v>11</v>
      </c>
      <c r="D59" s="48">
        <v>14</v>
      </c>
      <c r="E59" s="48">
        <v>11</v>
      </c>
      <c r="F59" s="48">
        <v>15</v>
      </c>
      <c r="G59" s="48">
        <v>32</v>
      </c>
      <c r="H59" s="48">
        <v>39</v>
      </c>
      <c r="I59" s="48">
        <v>40</v>
      </c>
      <c r="J59" s="48">
        <v>65</v>
      </c>
      <c r="K59" s="48">
        <v>73</v>
      </c>
      <c r="L59" s="48">
        <v>77</v>
      </c>
      <c r="M59" s="48">
        <v>87</v>
      </c>
      <c r="N59" s="48">
        <v>135</v>
      </c>
    </row>
    <row r="60" spans="2:14" x14ac:dyDescent="0.35">
      <c r="B60" t="s">
        <v>103</v>
      </c>
      <c r="C60" s="48">
        <v>33</v>
      </c>
      <c r="D60" s="48">
        <v>65</v>
      </c>
      <c r="E60" s="48">
        <v>71</v>
      </c>
      <c r="F60" s="48">
        <v>69</v>
      </c>
      <c r="G60" s="48">
        <v>74</v>
      </c>
      <c r="H60" s="48">
        <v>38</v>
      </c>
      <c r="I60" s="48">
        <v>40</v>
      </c>
      <c r="J60" s="48">
        <v>27</v>
      </c>
      <c r="K60" s="48">
        <v>8</v>
      </c>
      <c r="L60" s="48">
        <v>15</v>
      </c>
      <c r="M60" s="48">
        <v>56</v>
      </c>
      <c r="N60" s="48">
        <v>129</v>
      </c>
    </row>
    <row r="61" spans="2:14" x14ac:dyDescent="0.35">
      <c r="B61" t="s">
        <v>104</v>
      </c>
      <c r="C61" s="48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0</v>
      </c>
      <c r="M61" s="48">
        <v>-180</v>
      </c>
      <c r="N61" s="48">
        <v>0</v>
      </c>
    </row>
    <row r="62" spans="2:14" x14ac:dyDescent="0.35">
      <c r="B62" t="s">
        <v>105</v>
      </c>
      <c r="C62" s="48">
        <v>0</v>
      </c>
      <c r="D62" s="48">
        <v>0</v>
      </c>
      <c r="E62" s="48">
        <v>0</v>
      </c>
      <c r="F62" s="48">
        <v>0</v>
      </c>
      <c r="G62" s="48">
        <v>0</v>
      </c>
      <c r="H62" s="48">
        <v>141</v>
      </c>
      <c r="I62" s="48">
        <v>0</v>
      </c>
      <c r="J62" s="48">
        <v>0</v>
      </c>
      <c r="K62" s="48">
        <v>0</v>
      </c>
      <c r="L62" s="48">
        <v>0</v>
      </c>
      <c r="M62" s="48">
        <v>0</v>
      </c>
      <c r="N62" s="48">
        <v>0</v>
      </c>
    </row>
    <row r="63" spans="2:14" x14ac:dyDescent="0.35">
      <c r="B63" t="s">
        <v>106</v>
      </c>
      <c r="C63" s="48">
        <v>0</v>
      </c>
      <c r="D63" s="48">
        <v>0</v>
      </c>
      <c r="E63" s="48">
        <v>0</v>
      </c>
      <c r="F63" s="48">
        <v>0</v>
      </c>
      <c r="G63" s="48">
        <v>0</v>
      </c>
      <c r="H63" s="48">
        <v>-525</v>
      </c>
      <c r="I63" s="48">
        <v>0</v>
      </c>
      <c r="J63" s="48">
        <v>0</v>
      </c>
      <c r="K63" s="48">
        <v>0</v>
      </c>
      <c r="L63" s="48">
        <v>0</v>
      </c>
      <c r="M63" s="48">
        <v>0</v>
      </c>
      <c r="N63" s="48">
        <v>0</v>
      </c>
    </row>
    <row r="64" spans="2:14" x14ac:dyDescent="0.35">
      <c r="B64" t="s">
        <v>108</v>
      </c>
      <c r="C64" s="53">
        <v>46</v>
      </c>
      <c r="D64" s="53">
        <v>-21</v>
      </c>
      <c r="E64" s="53">
        <v>-144</v>
      </c>
      <c r="F64" s="53">
        <v>-70</v>
      </c>
      <c r="G64" s="53">
        <v>-324</v>
      </c>
      <c r="H64" s="53">
        <v>118</v>
      </c>
      <c r="I64" s="53">
        <v>-24</v>
      </c>
      <c r="J64" s="53">
        <v>-353</v>
      </c>
      <c r="K64" s="53">
        <v>-500</v>
      </c>
      <c r="L64" s="53">
        <v>-105</v>
      </c>
      <c r="M64" s="53">
        <v>-126</v>
      </c>
      <c r="N64" s="53">
        <v>-350</v>
      </c>
    </row>
    <row r="65" spans="2:14" ht="15" thickBot="1" x14ac:dyDescent="0.4"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</row>
    <row r="66" spans="2:14" ht="15" thickBot="1" x14ac:dyDescent="0.4">
      <c r="B66" s="12" t="s">
        <v>109</v>
      </c>
      <c r="C66" s="67">
        <v>-601</v>
      </c>
      <c r="D66" s="67">
        <v>-626</v>
      </c>
      <c r="E66" s="67">
        <v>-576</v>
      </c>
      <c r="F66" s="67">
        <v>-849</v>
      </c>
      <c r="G66" s="67">
        <v>-756</v>
      </c>
      <c r="H66" s="67">
        <v>-1379</v>
      </c>
      <c r="I66" s="67">
        <v>-1117</v>
      </c>
      <c r="J66" s="67">
        <v>-2871</v>
      </c>
      <c r="K66" s="67">
        <v>-650</v>
      </c>
      <c r="L66" s="67">
        <v>-1808</v>
      </c>
      <c r="M66" s="67">
        <v>-2140</v>
      </c>
      <c r="N66" s="67">
        <v>-2982</v>
      </c>
    </row>
    <row r="67" spans="2:14" x14ac:dyDescent="0.35">
      <c r="B67" t="s">
        <v>110</v>
      </c>
      <c r="C67" s="52">
        <v>0</v>
      </c>
      <c r="D67" s="52">
        <v>0</v>
      </c>
      <c r="E67" s="52">
        <v>0</v>
      </c>
      <c r="F67" s="52">
        <v>0</v>
      </c>
      <c r="G67" s="52">
        <v>0</v>
      </c>
      <c r="H67" s="52">
        <v>0</v>
      </c>
      <c r="I67" s="52">
        <v>0</v>
      </c>
      <c r="J67" s="52">
        <v>0</v>
      </c>
      <c r="K67" s="52">
        <v>0</v>
      </c>
      <c r="L67" s="52">
        <v>0</v>
      </c>
      <c r="M67" s="52">
        <v>0</v>
      </c>
      <c r="N67" s="52">
        <v>1</v>
      </c>
    </row>
    <row r="68" spans="2:14" x14ac:dyDescent="0.35">
      <c r="B68" t="s">
        <v>112</v>
      </c>
      <c r="C68" s="48">
        <v>33</v>
      </c>
      <c r="D68" s="48">
        <v>44</v>
      </c>
      <c r="E68" s="48">
        <v>239</v>
      </c>
      <c r="F68" s="48">
        <v>8</v>
      </c>
      <c r="G68" s="48">
        <v>271</v>
      </c>
      <c r="H68" s="48">
        <v>10</v>
      </c>
      <c r="I68" s="48">
        <v>243</v>
      </c>
      <c r="J68" s="48">
        <v>18</v>
      </c>
      <c r="K68" s="48">
        <v>155</v>
      </c>
      <c r="L68" s="48">
        <v>418</v>
      </c>
      <c r="M68" s="48">
        <v>254</v>
      </c>
      <c r="N68" s="48">
        <v>101</v>
      </c>
    </row>
    <row r="69" spans="2:14" x14ac:dyDescent="0.35">
      <c r="B69" t="s">
        <v>113</v>
      </c>
      <c r="C69" s="48">
        <v>-135</v>
      </c>
      <c r="D69" s="48">
        <v>-81</v>
      </c>
      <c r="E69" s="48">
        <v>-86</v>
      </c>
      <c r="F69" s="48">
        <v>-119</v>
      </c>
      <c r="G69" s="48">
        <v>-58</v>
      </c>
      <c r="H69" s="48">
        <v>-54</v>
      </c>
      <c r="I69" s="48">
        <v>-26</v>
      </c>
      <c r="J69" s="48">
        <v>-279</v>
      </c>
      <c r="K69" s="48">
        <v>-14</v>
      </c>
      <c r="L69" s="48">
        <v>-8</v>
      </c>
      <c r="M69" s="48">
        <v>-25</v>
      </c>
      <c r="N69" s="48">
        <v>-98</v>
      </c>
    </row>
    <row r="70" spans="2:14" x14ac:dyDescent="0.35">
      <c r="B70" t="s">
        <v>114</v>
      </c>
      <c r="C70" s="48">
        <v>-37</v>
      </c>
      <c r="D70" s="48">
        <v>-42</v>
      </c>
      <c r="E70" s="48">
        <v>-35</v>
      </c>
      <c r="F70" s="48">
        <v>-40</v>
      </c>
      <c r="G70" s="48">
        <v>-36</v>
      </c>
      <c r="H70" s="48">
        <v>-35</v>
      </c>
      <c r="I70" s="48">
        <v>-106</v>
      </c>
      <c r="J70" s="48">
        <v>-101</v>
      </c>
      <c r="K70" s="48">
        <v>-89</v>
      </c>
      <c r="L70" s="48">
        <v>-94</v>
      </c>
      <c r="M70" s="48">
        <v>-142</v>
      </c>
      <c r="N70" s="48">
        <v>-191</v>
      </c>
    </row>
    <row r="71" spans="2:14" x14ac:dyDescent="0.35">
      <c r="B71" t="s">
        <v>115</v>
      </c>
      <c r="C71" s="48">
        <v>-462</v>
      </c>
      <c r="D71" s="48">
        <v>-547</v>
      </c>
      <c r="E71" s="48">
        <v>-695</v>
      </c>
      <c r="F71" s="48">
        <v>-764</v>
      </c>
      <c r="G71" s="48">
        <v>-947</v>
      </c>
      <c r="H71" s="48">
        <v>-1218</v>
      </c>
      <c r="I71" s="48">
        <v>-1049</v>
      </c>
      <c r="J71" s="48">
        <v>-2121</v>
      </c>
      <c r="K71" s="48">
        <v>-499</v>
      </c>
      <c r="L71" s="48">
        <v>-1763</v>
      </c>
      <c r="M71" s="48">
        <v>-1936</v>
      </c>
      <c r="N71" s="48">
        <v>-2551</v>
      </c>
    </row>
    <row r="72" spans="2:14" x14ac:dyDescent="0.35">
      <c r="B72" t="s">
        <v>116</v>
      </c>
      <c r="C72" s="48">
        <v>0</v>
      </c>
      <c r="D72" s="48">
        <v>0</v>
      </c>
      <c r="E72" s="48">
        <v>0</v>
      </c>
      <c r="F72" s="48">
        <v>0</v>
      </c>
      <c r="G72" s="48">
        <v>0</v>
      </c>
      <c r="H72" s="48">
        <v>0</v>
      </c>
      <c r="I72" s="48">
        <v>-180</v>
      </c>
      <c r="J72" s="48">
        <v>-179</v>
      </c>
      <c r="K72" s="48">
        <v>-203</v>
      </c>
      <c r="L72" s="48">
        <v>-221</v>
      </c>
      <c r="M72" s="48">
        <v>-256</v>
      </c>
      <c r="N72" s="48">
        <v>-286</v>
      </c>
    </row>
    <row r="73" spans="2:14" x14ac:dyDescent="0.35">
      <c r="B73" t="s">
        <v>117</v>
      </c>
      <c r="C73" s="53">
        <v>0</v>
      </c>
      <c r="D73" s="53">
        <v>0</v>
      </c>
      <c r="E73" s="53">
        <v>0</v>
      </c>
      <c r="F73" s="53">
        <v>66</v>
      </c>
      <c r="G73" s="53">
        <v>13</v>
      </c>
      <c r="H73" s="53">
        <v>-82</v>
      </c>
      <c r="I73" s="53">
        <v>0</v>
      </c>
      <c r="J73" s="53">
        <v>-209</v>
      </c>
      <c r="K73" s="53">
        <v>0</v>
      </c>
      <c r="L73" s="53">
        <v>-140</v>
      </c>
      <c r="M73" s="53">
        <v>-36</v>
      </c>
      <c r="N73" s="53">
        <v>41</v>
      </c>
    </row>
    <row r="74" spans="2:14" ht="15" thickBot="1" x14ac:dyDescent="0.4"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</row>
    <row r="75" spans="2:14" ht="15" thickBot="1" x14ac:dyDescent="0.4">
      <c r="B75" s="12" t="s">
        <v>3</v>
      </c>
      <c r="C75" s="67">
        <v>123</v>
      </c>
      <c r="D75" s="67">
        <v>190</v>
      </c>
      <c r="E75" s="67">
        <v>147</v>
      </c>
      <c r="F75" s="67">
        <v>528</v>
      </c>
      <c r="G75" s="67">
        <v>90</v>
      </c>
      <c r="H75" s="67">
        <v>-822</v>
      </c>
      <c r="I75" s="67">
        <v>434</v>
      </c>
      <c r="J75" s="67">
        <v>-351</v>
      </c>
      <c r="K75" s="67">
        <v>2492</v>
      </c>
      <c r="L75" s="67">
        <v>-1138</v>
      </c>
      <c r="M75" s="67">
        <v>771</v>
      </c>
      <c r="N75" s="67">
        <v>573</v>
      </c>
    </row>
  </sheetData>
  <pageMargins left="0.7" right="0.7" top="0.75" bottom="0.75" header="0.3" footer="0.3"/>
  <pageSetup paperSize="9" scale="96" fitToHeight="0" orientation="landscape" horizontalDpi="4294967292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24CB-50E9-47E3-84AD-F290F655A23E}">
  <sheetPr>
    <tabColor rgb="FFFF0000"/>
  </sheetPr>
  <dimension ref="A1:K93"/>
  <sheetViews>
    <sheetView zoomScaleNormal="70" zoomScalePageLayoutView="120" workbookViewId="0">
      <pane xSplit="1" ySplit="1" topLeftCell="B10" activePane="bottomRight" state="frozen"/>
      <selection activeCell="C4" sqref="C4"/>
      <selection pane="topRight" activeCell="C4" sqref="C4"/>
      <selection pane="bottomLeft" activeCell="C4" sqref="C4"/>
      <selection pane="bottomRight" activeCell="B17" sqref="B17"/>
    </sheetView>
  </sheetViews>
  <sheetFormatPr defaultColWidth="8.81640625" defaultRowHeight="14.5" x14ac:dyDescent="0.35"/>
  <cols>
    <col min="1" max="1" width="27.6328125" style="1" bestFit="1" customWidth="1"/>
    <col min="2" max="11" width="13.453125" style="1" bestFit="1" customWidth="1"/>
    <col min="12" max="16384" width="8.81640625" style="1"/>
  </cols>
  <sheetData>
    <row r="1" spans="1:11" s="3" customFormat="1" x14ac:dyDescent="0.35">
      <c r="A1" s="3" t="s">
        <v>53</v>
      </c>
      <c r="B1" s="3" t="s">
        <v>52</v>
      </c>
      <c r="E1" s="70" t="str">
        <f>IF(B2&lt;&gt;B3, "A NEW VERSION OF THE WORKSHEET IS AVAILABLE", "")</f>
        <v/>
      </c>
      <c r="F1" s="70"/>
      <c r="G1" s="70"/>
      <c r="H1" s="70"/>
      <c r="I1" s="70"/>
      <c r="J1" s="70"/>
      <c r="K1" s="70"/>
    </row>
    <row r="2" spans="1:11" x14ac:dyDescent="0.35">
      <c r="A2" s="3" t="s">
        <v>51</v>
      </c>
      <c r="B2" s="1">
        <v>2.1</v>
      </c>
      <c r="E2" s="71" t="s">
        <v>50</v>
      </c>
      <c r="F2" s="71"/>
      <c r="G2" s="71"/>
      <c r="H2" s="71"/>
      <c r="I2" s="71"/>
      <c r="J2" s="71"/>
      <c r="K2" s="71"/>
    </row>
    <row r="3" spans="1:11" x14ac:dyDescent="0.35">
      <c r="A3" s="3" t="s">
        <v>49</v>
      </c>
      <c r="B3" s="1">
        <v>2.1</v>
      </c>
    </row>
    <row r="4" spans="1:11" x14ac:dyDescent="0.35">
      <c r="A4" s="3"/>
    </row>
    <row r="5" spans="1:11" x14ac:dyDescent="0.35">
      <c r="A5" s="3" t="s">
        <v>48</v>
      </c>
    </row>
    <row r="6" spans="1:11" x14ac:dyDescent="0.35">
      <c r="A6" s="1" t="s">
        <v>47</v>
      </c>
      <c r="B6" s="1">
        <f>IF(B9&gt;0, B9/B8, 0)</f>
        <v>95.919778085078363</v>
      </c>
    </row>
    <row r="7" spans="1:11" x14ac:dyDescent="0.35">
      <c r="A7" s="1" t="s">
        <v>46</v>
      </c>
      <c r="B7">
        <v>1</v>
      </c>
    </row>
    <row r="8" spans="1:11" x14ac:dyDescent="0.35">
      <c r="A8" s="1" t="s">
        <v>45</v>
      </c>
      <c r="B8">
        <v>3037.2</v>
      </c>
    </row>
    <row r="9" spans="1:11" x14ac:dyDescent="0.35">
      <c r="A9" s="1" t="s">
        <v>44</v>
      </c>
      <c r="B9">
        <v>291327.55</v>
      </c>
    </row>
    <row r="15" spans="1:11" x14ac:dyDescent="0.35">
      <c r="A15" s="3" t="s">
        <v>43</v>
      </c>
    </row>
    <row r="16" spans="1:11" s="5" customFormat="1" x14ac:dyDescent="0.35">
      <c r="A16" s="7" t="s">
        <v>7</v>
      </c>
      <c r="B16" s="6">
        <v>42094</v>
      </c>
      <c r="C16" s="6">
        <v>42460</v>
      </c>
      <c r="D16" s="6">
        <v>42825</v>
      </c>
      <c r="E16" s="6">
        <v>43190</v>
      </c>
      <c r="F16" s="6">
        <v>43555</v>
      </c>
      <c r="G16" s="6">
        <v>43921</v>
      </c>
      <c r="H16" s="6">
        <v>44286</v>
      </c>
      <c r="I16" s="6">
        <v>44651</v>
      </c>
      <c r="J16" s="6">
        <v>45016</v>
      </c>
      <c r="K16" s="6">
        <v>45382</v>
      </c>
    </row>
    <row r="17" spans="1:11" s="4" customFormat="1" x14ac:dyDescent="0.35">
      <c r="A17" s="4" t="s">
        <v>33</v>
      </c>
      <c r="B17">
        <v>13615.26</v>
      </c>
      <c r="C17">
        <v>14271.49</v>
      </c>
      <c r="D17">
        <v>15061.99</v>
      </c>
      <c r="E17">
        <v>16824.55</v>
      </c>
      <c r="F17">
        <v>19240.13</v>
      </c>
      <c r="G17">
        <v>20211.25</v>
      </c>
      <c r="H17">
        <v>21712.79</v>
      </c>
      <c r="I17">
        <v>29101.279999999999</v>
      </c>
      <c r="J17">
        <v>34488.589999999997</v>
      </c>
      <c r="K17">
        <v>35494.730000000003</v>
      </c>
    </row>
    <row r="18" spans="1:11" s="4" customFormat="1" x14ac:dyDescent="0.35">
      <c r="A18" s="1" t="s">
        <v>42</v>
      </c>
      <c r="B18">
        <v>6874.83</v>
      </c>
      <c r="C18">
        <v>6569.83</v>
      </c>
      <c r="D18">
        <v>7452.6</v>
      </c>
      <c r="E18">
        <v>8128.17</v>
      </c>
      <c r="F18">
        <v>9974.4</v>
      </c>
      <c r="G18">
        <v>9981.99</v>
      </c>
      <c r="H18">
        <v>10425.549999999999</v>
      </c>
      <c r="I18">
        <v>17123.25</v>
      </c>
      <c r="J18">
        <v>18985.53</v>
      </c>
      <c r="K18">
        <v>17410.84</v>
      </c>
    </row>
    <row r="19" spans="1:11" s="4" customFormat="1" x14ac:dyDescent="0.35">
      <c r="A19" s="1" t="s">
        <v>41</v>
      </c>
      <c r="B19">
        <v>148.07</v>
      </c>
      <c r="C19">
        <v>-199.33</v>
      </c>
      <c r="D19">
        <v>528.6</v>
      </c>
      <c r="E19">
        <v>-142.13</v>
      </c>
      <c r="F19">
        <v>293.26</v>
      </c>
      <c r="G19">
        <v>239.15</v>
      </c>
      <c r="H19">
        <v>92.45</v>
      </c>
      <c r="I19">
        <v>1324.97</v>
      </c>
      <c r="J19">
        <v>309.73</v>
      </c>
      <c r="K19">
        <v>-363.8</v>
      </c>
    </row>
    <row r="20" spans="1:11" s="4" customFormat="1" x14ac:dyDescent="0.35">
      <c r="A20" s="1" t="s">
        <v>40</v>
      </c>
      <c r="B20">
        <v>130.68</v>
      </c>
      <c r="C20">
        <v>114.48</v>
      </c>
      <c r="D20">
        <v>106.02</v>
      </c>
      <c r="E20">
        <v>110.3</v>
      </c>
      <c r="F20">
        <v>119.63</v>
      </c>
      <c r="G20">
        <v>97.79</v>
      </c>
      <c r="H20">
        <v>86.05</v>
      </c>
      <c r="I20">
        <v>117.23</v>
      </c>
      <c r="J20">
        <v>138.29</v>
      </c>
      <c r="K20">
        <v>133.25</v>
      </c>
    </row>
    <row r="21" spans="1:11" s="4" customFormat="1" x14ac:dyDescent="0.35">
      <c r="A21" s="1" t="s">
        <v>39</v>
      </c>
      <c r="B21">
        <v>1504.47</v>
      </c>
      <c r="C21">
        <v>1535.22</v>
      </c>
      <c r="D21">
        <v>1662.75</v>
      </c>
      <c r="E21">
        <v>1691.68</v>
      </c>
      <c r="F21">
        <v>1862.35</v>
      </c>
      <c r="G21">
        <v>1946.12</v>
      </c>
      <c r="H21">
        <v>2068.31</v>
      </c>
      <c r="I21">
        <v>2880.45</v>
      </c>
      <c r="J21">
        <v>2916.2</v>
      </c>
      <c r="K21">
        <v>2767.18</v>
      </c>
    </row>
    <row r="22" spans="1:11" s="4" customFormat="1" x14ac:dyDescent="0.35">
      <c r="A22" s="1" t="s">
        <v>38</v>
      </c>
      <c r="B22">
        <v>936.86</v>
      </c>
      <c r="C22">
        <v>994.98</v>
      </c>
      <c r="D22">
        <v>1039.8900000000001</v>
      </c>
      <c r="E22">
        <v>1121.8900000000001</v>
      </c>
      <c r="F22">
        <v>1242.69</v>
      </c>
      <c r="G22">
        <v>1371.27</v>
      </c>
      <c r="H22">
        <v>1547.61</v>
      </c>
      <c r="I22">
        <v>1794.61</v>
      </c>
      <c r="J22">
        <v>2036.41</v>
      </c>
      <c r="K22">
        <v>2334.92</v>
      </c>
    </row>
    <row r="23" spans="1:11" s="4" customFormat="1" x14ac:dyDescent="0.35">
      <c r="A23" s="1" t="s">
        <v>37</v>
      </c>
      <c r="B23">
        <v>3351.66</v>
      </c>
      <c r="C23">
        <v>3912.3</v>
      </c>
      <c r="D23">
        <v>4364.04</v>
      </c>
      <c r="E23">
        <v>2254.92</v>
      </c>
      <c r="F23">
        <v>2366.87</v>
      </c>
      <c r="G23">
        <v>2311.5100000000002</v>
      </c>
      <c r="H23">
        <v>2245.69</v>
      </c>
      <c r="I23">
        <v>2941.98</v>
      </c>
      <c r="J23">
        <v>3500.84</v>
      </c>
      <c r="K23">
        <v>3811.86</v>
      </c>
    </row>
    <row r="24" spans="1:11" s="4" customFormat="1" x14ac:dyDescent="0.35">
      <c r="A24" s="1" t="s">
        <v>36</v>
      </c>
      <c r="B24">
        <v>-1278.06</v>
      </c>
      <c r="C24">
        <v>-1779.69</v>
      </c>
      <c r="D24">
        <v>-2028.47</v>
      </c>
      <c r="E24">
        <v>171.45</v>
      </c>
      <c r="F24">
        <v>202.51</v>
      </c>
      <c r="G24">
        <v>584.9</v>
      </c>
      <c r="H24">
        <v>576.42999999999995</v>
      </c>
      <c r="I24">
        <v>765.12</v>
      </c>
      <c r="J24">
        <v>961.21</v>
      </c>
      <c r="K24">
        <v>1087.9000000000001</v>
      </c>
    </row>
    <row r="25" spans="1:11" s="4" customFormat="1" x14ac:dyDescent="0.35">
      <c r="A25" s="4" t="s">
        <v>31</v>
      </c>
      <c r="B25">
        <v>142.13999999999999</v>
      </c>
      <c r="C25">
        <v>213.39</v>
      </c>
      <c r="D25">
        <v>337.9</v>
      </c>
      <c r="E25">
        <v>336.41</v>
      </c>
      <c r="F25">
        <v>273.77</v>
      </c>
      <c r="G25">
        <v>355.05</v>
      </c>
      <c r="H25">
        <v>331.65</v>
      </c>
      <c r="I25">
        <v>295.88</v>
      </c>
      <c r="J25">
        <v>431.46</v>
      </c>
      <c r="K25">
        <v>820.96</v>
      </c>
    </row>
    <row r="26" spans="1:11" s="4" customFormat="1" x14ac:dyDescent="0.35">
      <c r="A26" s="4" t="s">
        <v>30</v>
      </c>
      <c r="B26">
        <v>265.92</v>
      </c>
      <c r="C26">
        <v>275.58</v>
      </c>
      <c r="D26">
        <v>334.79</v>
      </c>
      <c r="E26">
        <v>360.47</v>
      </c>
      <c r="F26">
        <v>622.14</v>
      </c>
      <c r="G26">
        <v>780.5</v>
      </c>
      <c r="H26">
        <v>791.27</v>
      </c>
      <c r="I26">
        <v>816.36</v>
      </c>
      <c r="J26">
        <v>858.02</v>
      </c>
      <c r="K26">
        <v>853</v>
      </c>
    </row>
    <row r="27" spans="1:11" s="4" customFormat="1" x14ac:dyDescent="0.35">
      <c r="A27" s="4" t="s">
        <v>29</v>
      </c>
      <c r="B27">
        <v>42.24</v>
      </c>
      <c r="C27">
        <v>49</v>
      </c>
      <c r="D27">
        <v>37.33</v>
      </c>
      <c r="E27">
        <v>41.47</v>
      </c>
      <c r="F27">
        <v>110.47</v>
      </c>
      <c r="G27">
        <v>102.33</v>
      </c>
      <c r="H27">
        <v>91.63</v>
      </c>
      <c r="I27">
        <v>95.41</v>
      </c>
      <c r="J27">
        <v>144.44999999999999</v>
      </c>
      <c r="K27">
        <v>205.17</v>
      </c>
    </row>
    <row r="28" spans="1:11" s="4" customFormat="1" x14ac:dyDescent="0.35">
      <c r="A28" s="4" t="s">
        <v>28</v>
      </c>
      <c r="B28">
        <v>2076.87</v>
      </c>
      <c r="C28">
        <v>2613.85</v>
      </c>
      <c r="D28">
        <v>2959.54</v>
      </c>
      <c r="E28">
        <v>3138.48</v>
      </c>
      <c r="F28">
        <v>3306.1</v>
      </c>
      <c r="G28">
        <v>3629.04</v>
      </c>
      <c r="H28">
        <v>4304.3500000000004</v>
      </c>
      <c r="I28">
        <v>4187.72</v>
      </c>
      <c r="J28">
        <v>5688.83</v>
      </c>
      <c r="K28">
        <v>7347.77</v>
      </c>
    </row>
    <row r="29" spans="1:11" s="4" customFormat="1" x14ac:dyDescent="0.35">
      <c r="A29" s="4" t="s">
        <v>27</v>
      </c>
      <c r="B29">
        <v>649.54</v>
      </c>
      <c r="C29">
        <v>844.49</v>
      </c>
      <c r="D29">
        <v>943.29</v>
      </c>
      <c r="E29">
        <v>1040.96</v>
      </c>
      <c r="F29">
        <v>1098.06</v>
      </c>
      <c r="G29">
        <v>854.85</v>
      </c>
      <c r="H29">
        <v>1097.5999999999999</v>
      </c>
      <c r="I29">
        <v>1102.9100000000001</v>
      </c>
      <c r="J29">
        <v>1493.5</v>
      </c>
      <c r="K29">
        <v>1790.08</v>
      </c>
    </row>
    <row r="30" spans="1:11" s="4" customFormat="1" x14ac:dyDescent="0.35">
      <c r="A30" s="4" t="s">
        <v>26</v>
      </c>
      <c r="B30">
        <v>1395.15</v>
      </c>
      <c r="C30">
        <v>1745.16</v>
      </c>
      <c r="D30">
        <v>1939.43</v>
      </c>
      <c r="E30">
        <v>2038.93</v>
      </c>
      <c r="F30">
        <v>2155.92</v>
      </c>
      <c r="G30">
        <v>2705.17</v>
      </c>
      <c r="H30">
        <v>3139.29</v>
      </c>
      <c r="I30">
        <v>3030.57</v>
      </c>
      <c r="J30">
        <v>4106.45</v>
      </c>
      <c r="K30">
        <v>5460.23</v>
      </c>
    </row>
    <row r="31" spans="1:11" s="4" customFormat="1" x14ac:dyDescent="0.35">
      <c r="A31" s="4" t="s">
        <v>35</v>
      </c>
      <c r="B31">
        <v>585.11</v>
      </c>
      <c r="C31">
        <v>719.4</v>
      </c>
      <c r="D31">
        <v>987.98</v>
      </c>
      <c r="E31">
        <v>834.5</v>
      </c>
      <c r="F31">
        <v>1007.16</v>
      </c>
      <c r="G31">
        <v>1151.04</v>
      </c>
      <c r="H31">
        <v>1712.17</v>
      </c>
      <c r="I31">
        <v>1836.87</v>
      </c>
      <c r="J31">
        <v>2460.35</v>
      </c>
      <c r="K31">
        <v>3194.14</v>
      </c>
    </row>
    <row r="32" spans="1:11" s="4" customFormat="1" x14ac:dyDescent="0.35"/>
    <row r="33" spans="1:11" x14ac:dyDescent="0.35">
      <c r="A33" s="4"/>
    </row>
    <row r="34" spans="1:11" x14ac:dyDescent="0.35">
      <c r="A34" s="4"/>
    </row>
    <row r="35" spans="1:11" x14ac:dyDescent="0.35">
      <c r="A35" s="4"/>
    </row>
    <row r="36" spans="1:11" x14ac:dyDescent="0.35">
      <c r="A36" s="4"/>
    </row>
    <row r="37" spans="1:11" x14ac:dyDescent="0.35">
      <c r="A37" s="4"/>
    </row>
    <row r="38" spans="1:11" x14ac:dyDescent="0.35">
      <c r="A38" s="4"/>
    </row>
    <row r="39" spans="1:11" x14ac:dyDescent="0.35">
      <c r="A39" s="4"/>
    </row>
    <row r="40" spans="1:11" x14ac:dyDescent="0.35">
      <c r="A40" s="3" t="s">
        <v>34</v>
      </c>
    </row>
    <row r="41" spans="1:11" s="5" customFormat="1" x14ac:dyDescent="0.35">
      <c r="A41" s="7" t="s">
        <v>7</v>
      </c>
      <c r="B41" s="6">
        <v>44651</v>
      </c>
      <c r="C41" s="6">
        <v>44742</v>
      </c>
      <c r="D41" s="6">
        <v>44834</v>
      </c>
      <c r="E41" s="6">
        <v>44926</v>
      </c>
      <c r="F41" s="6">
        <v>45016</v>
      </c>
      <c r="G41" s="6">
        <v>45107</v>
      </c>
      <c r="H41" s="6">
        <v>45199</v>
      </c>
      <c r="I41" s="6">
        <v>45291</v>
      </c>
      <c r="J41" s="6">
        <v>45382</v>
      </c>
      <c r="K41" s="6">
        <v>45473</v>
      </c>
    </row>
    <row r="42" spans="1:11" s="4" customFormat="1" x14ac:dyDescent="0.35">
      <c r="A42" s="4" t="s">
        <v>33</v>
      </c>
      <c r="B42">
        <v>7892.67</v>
      </c>
      <c r="C42">
        <v>8606.94</v>
      </c>
      <c r="D42">
        <v>8457.57</v>
      </c>
      <c r="E42">
        <v>8636.74</v>
      </c>
      <c r="F42">
        <v>8787.34</v>
      </c>
      <c r="G42">
        <v>9182.31</v>
      </c>
      <c r="H42">
        <v>8478.57</v>
      </c>
      <c r="I42">
        <v>9103.09</v>
      </c>
      <c r="J42">
        <v>8730.76</v>
      </c>
      <c r="K42">
        <v>8969.73</v>
      </c>
    </row>
    <row r="43" spans="1:11" s="4" customFormat="1" x14ac:dyDescent="0.35">
      <c r="A43" s="4" t="s">
        <v>32</v>
      </c>
      <c r="B43">
        <v>6449.38</v>
      </c>
      <c r="C43">
        <v>7050.99</v>
      </c>
      <c r="D43">
        <v>7229.87</v>
      </c>
      <c r="E43">
        <v>7025.31</v>
      </c>
      <c r="F43">
        <v>6922.58</v>
      </c>
      <c r="G43">
        <v>7061.02</v>
      </c>
      <c r="H43">
        <v>6762.34</v>
      </c>
      <c r="I43">
        <v>7047</v>
      </c>
      <c r="J43">
        <v>7039.39</v>
      </c>
      <c r="K43">
        <v>7275.96</v>
      </c>
    </row>
    <row r="44" spans="1:11" s="4" customFormat="1" x14ac:dyDescent="0.35">
      <c r="A44" s="4" t="s">
        <v>31</v>
      </c>
      <c r="B44">
        <v>-26.38</v>
      </c>
      <c r="C44">
        <v>87.52</v>
      </c>
      <c r="D44">
        <v>117.56</v>
      </c>
      <c r="E44">
        <v>122.21</v>
      </c>
      <c r="F44">
        <v>104.17</v>
      </c>
      <c r="G44">
        <v>227.74</v>
      </c>
      <c r="H44">
        <v>194.33</v>
      </c>
      <c r="I44">
        <v>186.46</v>
      </c>
      <c r="J44">
        <v>212.43</v>
      </c>
      <c r="K44">
        <v>192.93</v>
      </c>
    </row>
    <row r="45" spans="1:11" s="4" customFormat="1" x14ac:dyDescent="0.35">
      <c r="A45" s="4" t="s">
        <v>30</v>
      </c>
      <c r="B45">
        <v>205.11</v>
      </c>
      <c r="C45">
        <v>208.1</v>
      </c>
      <c r="D45">
        <v>215.7</v>
      </c>
      <c r="E45">
        <v>214.05</v>
      </c>
      <c r="F45">
        <v>220.17</v>
      </c>
      <c r="G45">
        <v>198.32</v>
      </c>
      <c r="H45">
        <v>208.72</v>
      </c>
      <c r="I45">
        <v>220.35</v>
      </c>
      <c r="J45">
        <v>225.61</v>
      </c>
      <c r="K45">
        <v>227.7</v>
      </c>
    </row>
    <row r="46" spans="1:11" s="4" customFormat="1" x14ac:dyDescent="0.35">
      <c r="A46" s="4" t="s">
        <v>29</v>
      </c>
      <c r="B46">
        <v>22.62</v>
      </c>
      <c r="C46">
        <v>28.75</v>
      </c>
      <c r="D46">
        <v>35.4</v>
      </c>
      <c r="E46">
        <v>41.39</v>
      </c>
      <c r="F46">
        <v>38.909999999999997</v>
      </c>
      <c r="G46">
        <v>45.75</v>
      </c>
      <c r="H46">
        <v>50.9</v>
      </c>
      <c r="I46">
        <v>54.42</v>
      </c>
      <c r="J46">
        <v>54.1</v>
      </c>
      <c r="K46">
        <v>55.38</v>
      </c>
    </row>
    <row r="47" spans="1:11" s="4" customFormat="1" x14ac:dyDescent="0.35">
      <c r="A47" s="4" t="s">
        <v>28</v>
      </c>
      <c r="B47">
        <v>1189.18</v>
      </c>
      <c r="C47">
        <v>1406.62</v>
      </c>
      <c r="D47">
        <v>1094.1600000000001</v>
      </c>
      <c r="E47">
        <v>1478.2</v>
      </c>
      <c r="F47">
        <v>1709.85</v>
      </c>
      <c r="G47">
        <v>2104.96</v>
      </c>
      <c r="H47">
        <v>1650.94</v>
      </c>
      <c r="I47">
        <v>1967.78</v>
      </c>
      <c r="J47">
        <v>1624.09</v>
      </c>
      <c r="K47">
        <v>1603.62</v>
      </c>
    </row>
    <row r="48" spans="1:11" s="4" customFormat="1" x14ac:dyDescent="0.35">
      <c r="A48" s="4" t="s">
        <v>27</v>
      </c>
      <c r="B48">
        <v>315.13</v>
      </c>
      <c r="C48">
        <v>370.59</v>
      </c>
      <c r="D48">
        <v>290.33</v>
      </c>
      <c r="E48">
        <v>381.14</v>
      </c>
      <c r="F48">
        <v>451.44</v>
      </c>
      <c r="G48">
        <v>530.12</v>
      </c>
      <c r="H48">
        <v>418.55</v>
      </c>
      <c r="I48">
        <v>492.62</v>
      </c>
      <c r="J48">
        <v>348.79</v>
      </c>
      <c r="K48">
        <v>416.83</v>
      </c>
    </row>
    <row r="49" spans="1:11" s="4" customFormat="1" x14ac:dyDescent="0.35">
      <c r="A49" s="4" t="s">
        <v>26</v>
      </c>
      <c r="B49">
        <v>850.42</v>
      </c>
      <c r="C49">
        <v>1016.93</v>
      </c>
      <c r="D49">
        <v>782.71</v>
      </c>
      <c r="E49">
        <v>1072.67</v>
      </c>
      <c r="F49">
        <v>1234.1400000000001</v>
      </c>
      <c r="G49">
        <v>1550.37</v>
      </c>
      <c r="H49">
        <v>1205.42</v>
      </c>
      <c r="I49">
        <v>1447.72</v>
      </c>
      <c r="J49">
        <v>1256.72</v>
      </c>
      <c r="K49">
        <v>1169.98</v>
      </c>
    </row>
    <row r="50" spans="1:11" x14ac:dyDescent="0.35">
      <c r="A50" s="4" t="s">
        <v>25</v>
      </c>
      <c r="B50">
        <v>1443.29</v>
      </c>
      <c r="C50">
        <v>1555.95</v>
      </c>
      <c r="D50">
        <v>1227.7</v>
      </c>
      <c r="E50">
        <v>1611.43</v>
      </c>
      <c r="F50">
        <v>1864.76</v>
      </c>
      <c r="G50">
        <v>2121.29</v>
      </c>
      <c r="H50">
        <v>1716.23</v>
      </c>
      <c r="I50">
        <v>2056.09</v>
      </c>
      <c r="J50">
        <v>1691.37</v>
      </c>
      <c r="K50">
        <v>1693.77</v>
      </c>
    </row>
    <row r="51" spans="1:11" x14ac:dyDescent="0.35">
      <c r="A51" s="4"/>
    </row>
    <row r="52" spans="1:11" x14ac:dyDescent="0.35">
      <c r="A52" s="4"/>
    </row>
    <row r="53" spans="1:11" x14ac:dyDescent="0.35">
      <c r="A53" s="4"/>
    </row>
    <row r="54" spans="1:11" x14ac:dyDescent="0.35">
      <c r="A54" s="4"/>
    </row>
    <row r="55" spans="1:11" x14ac:dyDescent="0.35">
      <c r="A55" s="3" t="s">
        <v>24</v>
      </c>
    </row>
    <row r="56" spans="1:11" s="5" customFormat="1" x14ac:dyDescent="0.35">
      <c r="A56" s="7" t="s">
        <v>7</v>
      </c>
      <c r="B56" s="6">
        <v>42094</v>
      </c>
      <c r="C56" s="6">
        <v>42460</v>
      </c>
      <c r="D56" s="6">
        <v>42825</v>
      </c>
      <c r="E56" s="6">
        <v>43190</v>
      </c>
      <c r="F56" s="6">
        <v>43555</v>
      </c>
      <c r="G56" s="6">
        <v>43921</v>
      </c>
      <c r="H56" s="6">
        <v>44286</v>
      </c>
      <c r="I56" s="6">
        <v>44651</v>
      </c>
      <c r="J56" s="6">
        <v>45016</v>
      </c>
      <c r="K56" s="6">
        <v>45382</v>
      </c>
    </row>
    <row r="57" spans="1:11" x14ac:dyDescent="0.35">
      <c r="A57" s="4" t="s">
        <v>23</v>
      </c>
      <c r="B57">
        <v>95.92</v>
      </c>
      <c r="C57">
        <v>95.92</v>
      </c>
      <c r="D57">
        <v>95.92</v>
      </c>
      <c r="E57">
        <v>95.92</v>
      </c>
      <c r="F57">
        <v>95.92</v>
      </c>
      <c r="G57">
        <v>95.92</v>
      </c>
      <c r="H57">
        <v>95.92</v>
      </c>
      <c r="I57">
        <v>95.92</v>
      </c>
      <c r="J57">
        <v>95.92</v>
      </c>
      <c r="K57">
        <v>95.92</v>
      </c>
    </row>
    <row r="58" spans="1:11" x14ac:dyDescent="0.35">
      <c r="A58" s="4" t="s">
        <v>22</v>
      </c>
      <c r="B58">
        <v>4646.4399999999996</v>
      </c>
      <c r="C58">
        <v>6428.9</v>
      </c>
      <c r="D58">
        <v>7507.97</v>
      </c>
      <c r="E58">
        <v>8314.31</v>
      </c>
      <c r="F58">
        <v>9374.6299999999992</v>
      </c>
      <c r="G58">
        <v>10034.24</v>
      </c>
      <c r="H58">
        <v>12710.37</v>
      </c>
      <c r="I58">
        <v>13715.64</v>
      </c>
      <c r="J58">
        <v>15896.31</v>
      </c>
      <c r="K58">
        <v>18632.38</v>
      </c>
    </row>
    <row r="59" spans="1:11" x14ac:dyDescent="0.35">
      <c r="A59" s="4" t="s">
        <v>21</v>
      </c>
      <c r="B59">
        <v>418.17</v>
      </c>
      <c r="C59">
        <v>323.29000000000002</v>
      </c>
      <c r="D59">
        <v>560.34</v>
      </c>
      <c r="E59">
        <v>533.42999999999995</v>
      </c>
      <c r="F59">
        <v>1319.6</v>
      </c>
      <c r="G59">
        <v>1118.5</v>
      </c>
      <c r="H59">
        <v>1093.1199999999999</v>
      </c>
      <c r="I59">
        <v>1586.88</v>
      </c>
      <c r="J59">
        <v>1932.62</v>
      </c>
      <c r="K59">
        <v>2474.38</v>
      </c>
    </row>
    <row r="60" spans="1:11" x14ac:dyDescent="0.35">
      <c r="A60" s="4" t="s">
        <v>20</v>
      </c>
      <c r="B60">
        <v>3753.97</v>
      </c>
      <c r="C60">
        <v>3710.92</v>
      </c>
      <c r="D60">
        <v>4240.96</v>
      </c>
      <c r="E60">
        <v>4819.82</v>
      </c>
      <c r="F60">
        <v>5458.69</v>
      </c>
      <c r="G60">
        <v>4889.3100000000004</v>
      </c>
      <c r="H60">
        <v>6455.93</v>
      </c>
      <c r="I60">
        <v>7559.99</v>
      </c>
      <c r="J60">
        <v>7854.48</v>
      </c>
      <c r="K60">
        <v>8698.09</v>
      </c>
    </row>
    <row r="61" spans="1:11" s="3" customFormat="1" x14ac:dyDescent="0.35">
      <c r="A61" s="3" t="s">
        <v>15</v>
      </c>
      <c r="B61">
        <v>8914.5</v>
      </c>
      <c r="C61">
        <v>10559.03</v>
      </c>
      <c r="D61">
        <v>12405.19</v>
      </c>
      <c r="E61">
        <v>13763.48</v>
      </c>
      <c r="F61">
        <v>16248.84</v>
      </c>
      <c r="G61">
        <v>16137.97</v>
      </c>
      <c r="H61">
        <v>20355.34</v>
      </c>
      <c r="I61">
        <v>22958.43</v>
      </c>
      <c r="J61">
        <v>25779.33</v>
      </c>
      <c r="K61">
        <v>29900.77</v>
      </c>
    </row>
    <row r="62" spans="1:11" x14ac:dyDescent="0.35">
      <c r="A62" s="4" t="s">
        <v>19</v>
      </c>
      <c r="B62">
        <v>2660.04</v>
      </c>
      <c r="C62">
        <v>3416.35</v>
      </c>
      <c r="D62">
        <v>3303.74</v>
      </c>
      <c r="E62">
        <v>3732.24</v>
      </c>
      <c r="F62">
        <v>6496.56</v>
      </c>
      <c r="G62">
        <v>6272.31</v>
      </c>
      <c r="H62">
        <v>5858.52</v>
      </c>
      <c r="I62">
        <v>5519.06</v>
      </c>
      <c r="J62">
        <v>5770.46</v>
      </c>
      <c r="K62">
        <v>7146.62</v>
      </c>
    </row>
    <row r="63" spans="1:11" x14ac:dyDescent="0.35">
      <c r="A63" s="4" t="s">
        <v>18</v>
      </c>
      <c r="B63">
        <v>196</v>
      </c>
      <c r="C63">
        <v>106.59</v>
      </c>
      <c r="D63">
        <v>257.54000000000002</v>
      </c>
      <c r="E63">
        <v>1405.11</v>
      </c>
      <c r="F63">
        <v>209.67</v>
      </c>
      <c r="G63">
        <v>140.24</v>
      </c>
      <c r="H63">
        <v>182.98</v>
      </c>
      <c r="I63">
        <v>426.43</v>
      </c>
      <c r="J63">
        <v>1019.59</v>
      </c>
      <c r="K63">
        <v>2698.37</v>
      </c>
    </row>
    <row r="64" spans="1:11" x14ac:dyDescent="0.35">
      <c r="A64" s="4" t="s">
        <v>17</v>
      </c>
      <c r="B64">
        <v>1587.79</v>
      </c>
      <c r="C64">
        <v>2712.13</v>
      </c>
      <c r="D64">
        <v>2651.99</v>
      </c>
      <c r="E64">
        <v>2140.6999999999998</v>
      </c>
      <c r="F64">
        <v>2568.58</v>
      </c>
      <c r="G64">
        <v>2018.85</v>
      </c>
      <c r="H64">
        <v>4736.8</v>
      </c>
      <c r="I64">
        <v>3247.53</v>
      </c>
      <c r="J64">
        <v>4261.71</v>
      </c>
      <c r="K64">
        <v>4587.92</v>
      </c>
    </row>
    <row r="65" spans="1:11" x14ac:dyDescent="0.35">
      <c r="A65" s="4" t="s">
        <v>16</v>
      </c>
      <c r="B65">
        <v>4470.67</v>
      </c>
      <c r="C65">
        <v>4323.96</v>
      </c>
      <c r="D65">
        <v>6191.92</v>
      </c>
      <c r="E65">
        <v>6485.43</v>
      </c>
      <c r="F65">
        <v>6974.03</v>
      </c>
      <c r="G65">
        <v>7706.57</v>
      </c>
      <c r="H65">
        <v>9577.0400000000009</v>
      </c>
      <c r="I65">
        <v>13765.41</v>
      </c>
      <c r="J65">
        <v>14727.57</v>
      </c>
      <c r="K65">
        <v>15467.86</v>
      </c>
    </row>
    <row r="66" spans="1:11" s="3" customFormat="1" x14ac:dyDescent="0.35">
      <c r="A66" s="3" t="s">
        <v>15</v>
      </c>
      <c r="B66">
        <v>8914.5</v>
      </c>
      <c r="C66">
        <v>10559.03</v>
      </c>
      <c r="D66">
        <v>12405.19</v>
      </c>
      <c r="E66">
        <v>13763.48</v>
      </c>
      <c r="F66">
        <v>16248.84</v>
      </c>
      <c r="G66">
        <v>16137.97</v>
      </c>
      <c r="H66">
        <v>20355.34</v>
      </c>
      <c r="I66">
        <v>22958.43</v>
      </c>
      <c r="J66">
        <v>25779.33</v>
      </c>
      <c r="K66">
        <v>29900.77</v>
      </c>
    </row>
    <row r="67" spans="1:11" s="4" customFormat="1" x14ac:dyDescent="0.35">
      <c r="A67" s="4" t="s">
        <v>14</v>
      </c>
      <c r="B67">
        <v>1182.07</v>
      </c>
      <c r="C67">
        <v>1186.8399999999999</v>
      </c>
      <c r="D67">
        <v>1446.6</v>
      </c>
      <c r="E67">
        <v>1730.63</v>
      </c>
      <c r="F67">
        <v>1907.33</v>
      </c>
      <c r="G67">
        <v>1795.22</v>
      </c>
      <c r="H67">
        <v>2602.17</v>
      </c>
      <c r="I67">
        <v>3871.44</v>
      </c>
      <c r="J67">
        <v>4636.9399999999996</v>
      </c>
      <c r="K67">
        <v>4889.05</v>
      </c>
    </row>
    <row r="68" spans="1:11" x14ac:dyDescent="0.35">
      <c r="A68" s="4" t="s">
        <v>13</v>
      </c>
      <c r="B68">
        <v>2258.52</v>
      </c>
      <c r="C68">
        <v>1998.24</v>
      </c>
      <c r="D68">
        <v>2626.94</v>
      </c>
      <c r="E68">
        <v>2658.31</v>
      </c>
      <c r="F68">
        <v>3149.86</v>
      </c>
      <c r="G68">
        <v>3389.81</v>
      </c>
      <c r="H68">
        <v>3798.6</v>
      </c>
      <c r="I68">
        <v>6152.98</v>
      </c>
      <c r="J68">
        <v>6210.64</v>
      </c>
      <c r="K68">
        <v>5923.41</v>
      </c>
    </row>
    <row r="69" spans="1:11" x14ac:dyDescent="0.35">
      <c r="A69" s="1" t="s">
        <v>12</v>
      </c>
      <c r="B69">
        <v>204.39</v>
      </c>
      <c r="C69">
        <v>424.2</v>
      </c>
      <c r="D69">
        <v>801.21</v>
      </c>
      <c r="E69">
        <v>404.65</v>
      </c>
      <c r="F69">
        <v>444.88</v>
      </c>
      <c r="G69">
        <v>782.83</v>
      </c>
      <c r="H69">
        <v>610.75</v>
      </c>
      <c r="I69">
        <v>864.33</v>
      </c>
      <c r="J69">
        <v>843.82</v>
      </c>
      <c r="K69">
        <v>1084.01</v>
      </c>
    </row>
    <row r="70" spans="1:11" x14ac:dyDescent="0.35">
      <c r="A70" s="1" t="s">
        <v>11</v>
      </c>
      <c r="B70">
        <v>959197790</v>
      </c>
      <c r="C70">
        <v>959197790</v>
      </c>
      <c r="D70">
        <v>959197790</v>
      </c>
      <c r="E70">
        <v>959197790</v>
      </c>
      <c r="F70">
        <v>959197790</v>
      </c>
      <c r="G70">
        <v>959197790</v>
      </c>
      <c r="H70">
        <v>959197790</v>
      </c>
      <c r="I70">
        <v>959197790</v>
      </c>
      <c r="J70">
        <v>959197790</v>
      </c>
      <c r="K70">
        <v>959197790</v>
      </c>
    </row>
    <row r="71" spans="1:11" x14ac:dyDescent="0.35">
      <c r="A71" s="1" t="s">
        <v>10</v>
      </c>
    </row>
    <row r="72" spans="1:11" x14ac:dyDescent="0.35">
      <c r="A72" s="1" t="s">
        <v>9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 x14ac:dyDescent="0.35">
      <c r="A74" s="4"/>
    </row>
    <row r="75" spans="1:11" x14ac:dyDescent="0.35">
      <c r="A75" s="4"/>
    </row>
    <row r="76" spans="1:11" x14ac:dyDescent="0.35">
      <c r="A76" s="4"/>
    </row>
    <row r="77" spans="1:11" x14ac:dyDescent="0.35">
      <c r="A77" s="4"/>
    </row>
    <row r="78" spans="1:11" x14ac:dyDescent="0.35">
      <c r="A78" s="4"/>
    </row>
    <row r="79" spans="1:11" x14ac:dyDescent="0.35">
      <c r="A79" s="4"/>
    </row>
    <row r="80" spans="1:11" x14ac:dyDescent="0.35">
      <c r="A80" s="3" t="s">
        <v>8</v>
      </c>
    </row>
    <row r="81" spans="1:11" s="5" customFormat="1" x14ac:dyDescent="0.35">
      <c r="A81" s="7" t="s">
        <v>7</v>
      </c>
      <c r="B81" s="6">
        <v>42094</v>
      </c>
      <c r="C81" s="6">
        <v>42460</v>
      </c>
      <c r="D81" s="6">
        <v>42825</v>
      </c>
      <c r="E81" s="6">
        <v>43190</v>
      </c>
      <c r="F81" s="6">
        <v>43555</v>
      </c>
      <c r="G81" s="6">
        <v>43921</v>
      </c>
      <c r="H81" s="6">
        <v>44286</v>
      </c>
      <c r="I81" s="6">
        <v>44651</v>
      </c>
      <c r="J81" s="6">
        <v>45016</v>
      </c>
      <c r="K81" s="6">
        <v>45382</v>
      </c>
    </row>
    <row r="82" spans="1:11" s="3" customFormat="1" x14ac:dyDescent="0.35">
      <c r="A82" s="4" t="s">
        <v>6</v>
      </c>
      <c r="B82">
        <v>1187.69</v>
      </c>
      <c r="C82">
        <v>2242.9499999999998</v>
      </c>
      <c r="D82">
        <v>1527.33</v>
      </c>
      <c r="E82">
        <v>2113.44</v>
      </c>
      <c r="F82">
        <v>2469.54</v>
      </c>
      <c r="G82">
        <v>3038.15</v>
      </c>
      <c r="H82">
        <v>3683.35</v>
      </c>
      <c r="I82">
        <v>986.49</v>
      </c>
      <c r="J82">
        <v>4193.43</v>
      </c>
      <c r="K82">
        <v>6103.6</v>
      </c>
    </row>
    <row r="83" spans="1:11" s="4" customFormat="1" x14ac:dyDescent="0.35">
      <c r="A83" s="4" t="s">
        <v>5</v>
      </c>
      <c r="B83">
        <v>-464.99</v>
      </c>
      <c r="C83">
        <v>-866.21</v>
      </c>
      <c r="D83">
        <v>-681.11</v>
      </c>
      <c r="E83">
        <v>-1556.14</v>
      </c>
      <c r="F83">
        <v>-917.79</v>
      </c>
      <c r="G83">
        <v>-517.91</v>
      </c>
      <c r="H83">
        <v>-540.54</v>
      </c>
      <c r="I83">
        <v>-316.75</v>
      </c>
      <c r="J83">
        <v>-1282.3399999999999</v>
      </c>
      <c r="K83">
        <v>-2548.48</v>
      </c>
    </row>
    <row r="84" spans="1:11" s="4" customFormat="1" x14ac:dyDescent="0.35">
      <c r="A84" s="4" t="s">
        <v>4</v>
      </c>
      <c r="B84">
        <v>-576.09</v>
      </c>
      <c r="C84">
        <v>-848.98</v>
      </c>
      <c r="D84">
        <v>-756.43</v>
      </c>
      <c r="E84">
        <v>-1379.14</v>
      </c>
      <c r="F84">
        <v>-1117.46</v>
      </c>
      <c r="G84">
        <v>-2871.46</v>
      </c>
      <c r="H84">
        <v>-650.4</v>
      </c>
      <c r="I84">
        <v>-1807.61</v>
      </c>
      <c r="J84">
        <v>-2140.0500000000002</v>
      </c>
      <c r="K84">
        <v>-2982.5</v>
      </c>
    </row>
    <row r="85" spans="1:11" s="3" customFormat="1" x14ac:dyDescent="0.35">
      <c r="A85" s="4" t="s">
        <v>3</v>
      </c>
      <c r="B85">
        <v>146.61000000000001</v>
      </c>
      <c r="C85">
        <v>527.76</v>
      </c>
      <c r="D85">
        <v>89.79</v>
      </c>
      <c r="E85">
        <v>-821.84</v>
      </c>
      <c r="F85">
        <v>434.29</v>
      </c>
      <c r="G85">
        <v>-351.22</v>
      </c>
      <c r="H85">
        <v>2492.41</v>
      </c>
      <c r="I85">
        <v>-1137.8699999999999</v>
      </c>
      <c r="J85">
        <v>771.04</v>
      </c>
      <c r="K85">
        <v>572.62</v>
      </c>
    </row>
    <row r="86" spans="1:11" x14ac:dyDescent="0.35">
      <c r="A86" s="4"/>
    </row>
    <row r="87" spans="1:11" x14ac:dyDescent="0.35">
      <c r="A87" s="4"/>
    </row>
    <row r="88" spans="1:11" x14ac:dyDescent="0.35">
      <c r="A88" s="4"/>
    </row>
    <row r="89" spans="1:11" x14ac:dyDescent="0.35">
      <c r="A89" s="4"/>
    </row>
    <row r="90" spans="1:11" s="3" customFormat="1" x14ac:dyDescent="0.35">
      <c r="A90" s="3" t="s">
        <v>2</v>
      </c>
      <c r="B90">
        <v>811.3</v>
      </c>
      <c r="C90">
        <v>868.4</v>
      </c>
      <c r="D90">
        <v>1073.5</v>
      </c>
      <c r="E90">
        <v>1120.4000000000001</v>
      </c>
      <c r="F90">
        <v>1492.7</v>
      </c>
      <c r="G90">
        <v>1666.5</v>
      </c>
      <c r="H90">
        <v>2537.4</v>
      </c>
      <c r="I90">
        <v>3079.95</v>
      </c>
      <c r="J90">
        <v>2761.65</v>
      </c>
      <c r="K90">
        <v>2846.75</v>
      </c>
    </row>
    <row r="92" spans="1:11" s="3" customFormat="1" x14ac:dyDescent="0.35">
      <c r="A92" s="3" t="s">
        <v>1</v>
      </c>
    </row>
    <row r="93" spans="1:11" x14ac:dyDescent="0.35">
      <c r="A93" s="1" t="s">
        <v>0</v>
      </c>
      <c r="B93" s="2">
        <v>95.92</v>
      </c>
      <c r="C93" s="2">
        <v>95.92</v>
      </c>
      <c r="D93" s="2">
        <v>95.92</v>
      </c>
      <c r="E93" s="2">
        <v>95.92</v>
      </c>
      <c r="F93" s="2">
        <v>95.92</v>
      </c>
      <c r="G93" s="2">
        <v>95.92</v>
      </c>
      <c r="H93" s="2">
        <v>95.92</v>
      </c>
      <c r="I93" s="2">
        <v>95.92</v>
      </c>
      <c r="J93" s="2">
        <v>95.92</v>
      </c>
      <c r="K93" s="2">
        <v>95.92</v>
      </c>
    </row>
  </sheetData>
  <sheetProtection algorithmName="SHA-512" hashValue="2lp6TJKHsd+r//MA9b1yFzXa4pU9JIu0dLLNoMZNGqITQ4R6O07bTQa5+/mG4USEAMgntRZ2dJJCbz7XQdAFFQ==" saltValue="q1vNl5nfb3AfNflcEMg8jg==" spinCount="100000" sheet="1" objects="1" scenarios="1"/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7AC43BE3-6206-4CFF-8126-9B193E2C14D1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87FAF-5167-4B6B-940B-A7C33FC5D2A0}">
  <sheetPr>
    <tabColor rgb="FFFF0000"/>
  </sheetPr>
  <dimension ref="B2:L33"/>
  <sheetViews>
    <sheetView topLeftCell="A17" workbookViewId="0">
      <selection activeCell="E33" sqref="E33"/>
    </sheetView>
  </sheetViews>
  <sheetFormatPr defaultRowHeight="14.5" x14ac:dyDescent="0.35"/>
  <cols>
    <col min="2" max="2" width="26" bestFit="1" customWidth="1"/>
  </cols>
  <sheetData>
    <row r="2" spans="2:12" x14ac:dyDescent="0.35">
      <c r="C2" s="8">
        <v>42064</v>
      </c>
      <c r="D2" s="8">
        <v>42430</v>
      </c>
      <c r="E2" s="8">
        <v>42795</v>
      </c>
      <c r="F2" s="8">
        <v>43160</v>
      </c>
      <c r="G2" s="8">
        <v>43525</v>
      </c>
      <c r="H2" s="8">
        <v>43891</v>
      </c>
      <c r="I2" s="8">
        <v>44256</v>
      </c>
      <c r="J2" s="8">
        <v>44621</v>
      </c>
      <c r="K2" s="8">
        <v>44986</v>
      </c>
      <c r="L2" s="8">
        <v>45352</v>
      </c>
    </row>
    <row r="3" spans="2:12" x14ac:dyDescent="0.35">
      <c r="B3" t="s">
        <v>90</v>
      </c>
      <c r="C3" s="34">
        <v>35531</v>
      </c>
      <c r="D3" s="34">
        <v>37900</v>
      </c>
      <c r="E3" s="34">
        <v>30199</v>
      </c>
      <c r="F3" s="34">
        <v>23857</v>
      </c>
      <c r="G3" s="34">
        <v>18891</v>
      </c>
      <c r="H3" s="34">
        <v>26633</v>
      </c>
      <c r="I3" s="34">
        <v>29001</v>
      </c>
      <c r="J3" s="34">
        <v>14283</v>
      </c>
      <c r="K3" s="34">
        <v>35388</v>
      </c>
      <c r="L3" s="34">
        <v>67915</v>
      </c>
    </row>
    <row r="4" spans="2:12" x14ac:dyDescent="0.35">
      <c r="B4" t="s">
        <v>91</v>
      </c>
      <c r="C4" s="34">
        <v>43397</v>
      </c>
      <c r="D4" s="34">
        <v>38626</v>
      </c>
      <c r="E4" s="34">
        <v>28840</v>
      </c>
      <c r="F4" s="34">
        <v>33312</v>
      </c>
      <c r="G4" s="34">
        <v>28771</v>
      </c>
      <c r="H4" s="34">
        <v>23352</v>
      </c>
      <c r="I4" s="34">
        <v>31198</v>
      </c>
      <c r="J4" s="34">
        <v>26943</v>
      </c>
      <c r="K4" s="34">
        <v>41694</v>
      </c>
      <c r="L4" s="34">
        <v>65106</v>
      </c>
    </row>
    <row r="5" spans="2:12" x14ac:dyDescent="0.35">
      <c r="B5" t="s">
        <v>14</v>
      </c>
      <c r="C5" s="34">
        <v>-3179</v>
      </c>
      <c r="D5" s="34">
        <v>-2223</v>
      </c>
      <c r="E5" s="34">
        <v>-4152</v>
      </c>
      <c r="F5" s="34">
        <v>-10688</v>
      </c>
      <c r="G5" s="34">
        <v>-9109</v>
      </c>
      <c r="H5" s="34">
        <v>9950</v>
      </c>
      <c r="I5" s="34">
        <v>-5505</v>
      </c>
      <c r="J5">
        <v>185</v>
      </c>
      <c r="K5" s="34">
        <v>-2213</v>
      </c>
      <c r="L5" s="34">
        <v>-1875</v>
      </c>
    </row>
    <row r="6" spans="2:12" x14ac:dyDescent="0.35">
      <c r="B6" t="s">
        <v>13</v>
      </c>
      <c r="C6" s="34">
        <v>-3692</v>
      </c>
      <c r="D6" s="34">
        <v>-5743</v>
      </c>
      <c r="E6" s="34">
        <v>-6621</v>
      </c>
      <c r="F6" s="34">
        <v>-3560</v>
      </c>
      <c r="G6" s="34">
        <v>2069</v>
      </c>
      <c r="H6" s="34">
        <v>2326</v>
      </c>
      <c r="I6" s="34">
        <v>3814</v>
      </c>
      <c r="J6">
        <v>472</v>
      </c>
      <c r="K6" s="34">
        <v>-5665</v>
      </c>
      <c r="L6" s="34">
        <v>-7265</v>
      </c>
    </row>
    <row r="7" spans="2:12" x14ac:dyDescent="0.35">
      <c r="B7" t="s">
        <v>92</v>
      </c>
      <c r="C7" s="34">
        <v>3598</v>
      </c>
      <c r="D7" s="34">
        <v>3947</v>
      </c>
      <c r="E7" s="34">
        <v>9301</v>
      </c>
      <c r="F7" s="34">
        <v>7320</v>
      </c>
      <c r="G7" s="34">
        <v>-4692</v>
      </c>
      <c r="H7" s="34">
        <v>-8085</v>
      </c>
      <c r="I7" s="34">
        <v>5748</v>
      </c>
      <c r="J7" s="34">
        <v>-7012</v>
      </c>
      <c r="K7" s="34">
        <v>6945</v>
      </c>
      <c r="L7" s="34">
        <v>13706</v>
      </c>
    </row>
    <row r="8" spans="2:12" x14ac:dyDescent="0.35">
      <c r="B8" t="s">
        <v>93</v>
      </c>
      <c r="C8">
        <v>0</v>
      </c>
      <c r="D8">
        <v>-520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2:12" x14ac:dyDescent="0.35">
      <c r="B9" t="s">
        <v>94</v>
      </c>
      <c r="C9">
        <v>-398</v>
      </c>
      <c r="D9" s="34">
        <v>5852</v>
      </c>
      <c r="E9" s="34">
        <v>4727</v>
      </c>
      <c r="F9">
        <v>494</v>
      </c>
      <c r="G9" s="34">
        <v>4512</v>
      </c>
      <c r="H9">
        <v>875</v>
      </c>
      <c r="I9" s="34">
        <v>-4150</v>
      </c>
      <c r="J9" s="34">
        <v>-4396</v>
      </c>
      <c r="K9" s="34">
        <v>-2194</v>
      </c>
      <c r="L9" s="34">
        <v>2760</v>
      </c>
    </row>
    <row r="10" spans="2:12" x14ac:dyDescent="0.35">
      <c r="B10" t="s">
        <v>95</v>
      </c>
      <c r="C10" s="34">
        <v>-3672</v>
      </c>
      <c r="D10" s="34">
        <v>1313</v>
      </c>
      <c r="E10" s="34">
        <v>3254</v>
      </c>
      <c r="F10" s="34">
        <v>-6434</v>
      </c>
      <c r="G10" s="34">
        <v>-7221</v>
      </c>
      <c r="H10" s="34">
        <v>5065</v>
      </c>
      <c r="I10">
        <v>-93</v>
      </c>
      <c r="J10" s="34">
        <v>-10750</v>
      </c>
      <c r="K10" s="34">
        <v>-3127</v>
      </c>
      <c r="L10" s="34">
        <v>7325</v>
      </c>
    </row>
    <row r="11" spans="2:12" x14ac:dyDescent="0.35">
      <c r="B11" t="s">
        <v>96</v>
      </c>
      <c r="C11" s="34">
        <v>-4194</v>
      </c>
      <c r="D11" s="34">
        <v>-2040</v>
      </c>
      <c r="E11" s="34">
        <v>-1895</v>
      </c>
      <c r="F11" s="34">
        <v>-3021</v>
      </c>
      <c r="G11" s="34">
        <v>-2659</v>
      </c>
      <c r="H11" s="34">
        <v>-1785</v>
      </c>
      <c r="I11" s="34">
        <v>-2105</v>
      </c>
      <c r="J11" s="34">
        <v>-1910</v>
      </c>
      <c r="K11" s="34">
        <v>-3179</v>
      </c>
      <c r="L11" s="34">
        <v>-4516</v>
      </c>
    </row>
    <row r="12" spans="2:12" x14ac:dyDescent="0.35">
      <c r="B12" t="s">
        <v>97</v>
      </c>
      <c r="C12" s="34">
        <v>-36232</v>
      </c>
      <c r="D12" s="34">
        <v>-36694</v>
      </c>
      <c r="E12" s="34">
        <v>-39571</v>
      </c>
      <c r="F12" s="34">
        <v>-25139</v>
      </c>
      <c r="G12" s="34">
        <v>-20878</v>
      </c>
      <c r="H12" s="34">
        <v>-33115</v>
      </c>
      <c r="I12" s="34">
        <v>-25672</v>
      </c>
      <c r="J12" s="34">
        <v>-4444</v>
      </c>
      <c r="K12" s="34">
        <v>-15417</v>
      </c>
      <c r="L12" s="34">
        <v>-22782</v>
      </c>
    </row>
    <row r="13" spans="2:12" x14ac:dyDescent="0.35">
      <c r="B13" t="s">
        <v>98</v>
      </c>
      <c r="C13" s="34">
        <v>-31962</v>
      </c>
      <c r="D13" s="34">
        <v>-31503</v>
      </c>
      <c r="E13" s="34">
        <v>-16072</v>
      </c>
      <c r="F13" s="34">
        <v>-35079</v>
      </c>
      <c r="G13" s="34">
        <v>-35304</v>
      </c>
      <c r="H13" s="34">
        <v>-29702</v>
      </c>
      <c r="I13" s="34">
        <v>-20205</v>
      </c>
      <c r="J13" s="34">
        <v>-15168</v>
      </c>
      <c r="K13" s="34">
        <v>-19230</v>
      </c>
      <c r="L13" s="34">
        <v>-31414</v>
      </c>
    </row>
    <row r="14" spans="2:12" x14ac:dyDescent="0.35">
      <c r="B14" t="s">
        <v>99</v>
      </c>
      <c r="C14">
        <v>74</v>
      </c>
      <c r="D14">
        <v>59</v>
      </c>
      <c r="E14">
        <v>53</v>
      </c>
      <c r="F14">
        <v>30</v>
      </c>
      <c r="G14">
        <v>67</v>
      </c>
      <c r="H14">
        <v>171</v>
      </c>
      <c r="I14">
        <v>351</v>
      </c>
      <c r="J14">
        <v>230</v>
      </c>
      <c r="K14">
        <v>285</v>
      </c>
      <c r="L14">
        <v>231</v>
      </c>
    </row>
    <row r="15" spans="2:12" x14ac:dyDescent="0.35">
      <c r="B15" t="s">
        <v>100</v>
      </c>
      <c r="C15" s="34">
        <v>-5461</v>
      </c>
      <c r="D15" s="34">
        <v>-4728</v>
      </c>
      <c r="E15">
        <v>-6</v>
      </c>
      <c r="F15">
        <v>-329</v>
      </c>
      <c r="G15">
        <v>-130</v>
      </c>
      <c r="H15" s="34">
        <v>-1439</v>
      </c>
      <c r="I15" s="34">
        <v>-7530</v>
      </c>
      <c r="J15" s="34">
        <v>-3008</v>
      </c>
      <c r="K15">
        <v>-50</v>
      </c>
      <c r="L15">
        <v>-74</v>
      </c>
    </row>
    <row r="16" spans="2:12" x14ac:dyDescent="0.35">
      <c r="B16" t="s">
        <v>101</v>
      </c>
      <c r="C16">
        <v>42</v>
      </c>
      <c r="D16">
        <v>89</v>
      </c>
      <c r="E16" s="34">
        <v>1965</v>
      </c>
      <c r="F16" s="34">
        <v>2381</v>
      </c>
      <c r="G16" s="34">
        <v>5644</v>
      </c>
      <c r="H16">
        <v>21</v>
      </c>
      <c r="I16">
        <v>226</v>
      </c>
      <c r="J16">
        <v>104</v>
      </c>
      <c r="K16" s="34">
        <v>6895</v>
      </c>
      <c r="L16" s="34">
        <v>10820</v>
      </c>
    </row>
    <row r="17" spans="2:12" x14ac:dyDescent="0.35">
      <c r="B17" t="s">
        <v>102</v>
      </c>
      <c r="C17">
        <v>698</v>
      </c>
      <c r="D17">
        <v>731</v>
      </c>
      <c r="E17">
        <v>638</v>
      </c>
      <c r="F17">
        <v>690</v>
      </c>
      <c r="G17">
        <v>761</v>
      </c>
      <c r="H17" s="34">
        <v>1104</v>
      </c>
      <c r="I17">
        <v>428</v>
      </c>
      <c r="J17">
        <v>653</v>
      </c>
      <c r="K17">
        <v>973</v>
      </c>
      <c r="L17" s="34">
        <v>2493</v>
      </c>
    </row>
    <row r="18" spans="2:12" x14ac:dyDescent="0.35">
      <c r="B18" t="s">
        <v>103</v>
      </c>
      <c r="C18">
        <v>80</v>
      </c>
      <c r="D18">
        <v>58</v>
      </c>
      <c r="E18">
        <v>620</v>
      </c>
      <c r="F18" s="34">
        <v>1797</v>
      </c>
      <c r="G18">
        <v>232</v>
      </c>
      <c r="H18">
        <v>21</v>
      </c>
      <c r="I18">
        <v>18</v>
      </c>
      <c r="J18">
        <v>32</v>
      </c>
      <c r="K18">
        <v>46</v>
      </c>
      <c r="L18">
        <v>47</v>
      </c>
    </row>
    <row r="19" spans="2:12" x14ac:dyDescent="0.35">
      <c r="B19" t="s">
        <v>104</v>
      </c>
      <c r="C19">
        <v>-160</v>
      </c>
      <c r="D19">
        <v>0</v>
      </c>
      <c r="E19">
        <v>-107</v>
      </c>
      <c r="F19">
        <v>-4</v>
      </c>
      <c r="G19">
        <v>-9</v>
      </c>
      <c r="H19">
        <v>-606</v>
      </c>
      <c r="I19">
        <v>-10</v>
      </c>
      <c r="J19">
        <v>0</v>
      </c>
      <c r="K19">
        <v>0</v>
      </c>
      <c r="L19">
        <v>-150</v>
      </c>
    </row>
    <row r="20" spans="2:12" x14ac:dyDescent="0.35">
      <c r="B20" t="s">
        <v>105</v>
      </c>
      <c r="C20">
        <v>0</v>
      </c>
      <c r="D20">
        <v>0</v>
      </c>
      <c r="E20">
        <v>0</v>
      </c>
      <c r="F20">
        <v>14</v>
      </c>
      <c r="G20">
        <v>533</v>
      </c>
      <c r="H20">
        <v>0</v>
      </c>
      <c r="I20">
        <v>0</v>
      </c>
      <c r="J20">
        <v>0</v>
      </c>
      <c r="K20">
        <v>19</v>
      </c>
      <c r="L20">
        <v>108</v>
      </c>
    </row>
    <row r="21" spans="2:12" x14ac:dyDescent="0.35">
      <c r="B21" t="s">
        <v>106</v>
      </c>
      <c r="C21">
        <v>0</v>
      </c>
      <c r="D21">
        <v>-111</v>
      </c>
      <c r="E21">
        <v>0</v>
      </c>
      <c r="F21">
        <v>0</v>
      </c>
      <c r="G21">
        <v>-8</v>
      </c>
      <c r="H21">
        <v>-27</v>
      </c>
      <c r="I21">
        <v>0</v>
      </c>
      <c r="J21">
        <v>-98</v>
      </c>
      <c r="K21">
        <v>0</v>
      </c>
      <c r="L21">
        <v>0</v>
      </c>
    </row>
    <row r="22" spans="2:12" x14ac:dyDescent="0.35">
      <c r="B22" t="s">
        <v>107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-24</v>
      </c>
    </row>
    <row r="23" spans="2:12" x14ac:dyDescent="0.35">
      <c r="B23" t="s">
        <v>108</v>
      </c>
      <c r="C23">
        <v>456</v>
      </c>
      <c r="D23" s="34">
        <v>-1289</v>
      </c>
      <c r="E23" s="34">
        <v>-26663</v>
      </c>
      <c r="F23" s="34">
        <v>5360</v>
      </c>
      <c r="G23" s="34">
        <v>7335</v>
      </c>
      <c r="H23" s="34">
        <v>-2659</v>
      </c>
      <c r="I23" s="34">
        <v>1051</v>
      </c>
      <c r="J23" s="34">
        <v>12813</v>
      </c>
      <c r="K23" s="34">
        <v>-4357</v>
      </c>
      <c r="L23" s="34">
        <v>-4817</v>
      </c>
    </row>
    <row r="24" spans="2:12" x14ac:dyDescent="0.35">
      <c r="B24" t="s">
        <v>109</v>
      </c>
      <c r="C24" s="34">
        <v>5201</v>
      </c>
      <c r="D24" s="34">
        <v>-3795</v>
      </c>
      <c r="E24" s="34">
        <v>6205</v>
      </c>
      <c r="F24" s="34">
        <v>2012</v>
      </c>
      <c r="G24" s="34">
        <v>8830</v>
      </c>
      <c r="H24" s="34">
        <v>3390</v>
      </c>
      <c r="I24" s="34">
        <v>9904</v>
      </c>
      <c r="J24" s="34">
        <v>-3380</v>
      </c>
      <c r="K24" s="34">
        <v>-26243</v>
      </c>
      <c r="L24" s="34">
        <v>-37006</v>
      </c>
    </row>
    <row r="25" spans="2:12" x14ac:dyDescent="0.35">
      <c r="B25" t="s">
        <v>110</v>
      </c>
      <c r="C25">
        <v>0</v>
      </c>
      <c r="D25" s="34">
        <v>7433</v>
      </c>
      <c r="E25">
        <v>5</v>
      </c>
      <c r="F25">
        <v>0</v>
      </c>
      <c r="G25">
        <v>0</v>
      </c>
      <c r="H25" s="34">
        <v>3889</v>
      </c>
      <c r="I25" s="34">
        <v>2603</v>
      </c>
      <c r="J25">
        <v>19</v>
      </c>
      <c r="K25">
        <v>20</v>
      </c>
      <c r="L25">
        <v>82</v>
      </c>
    </row>
    <row r="26" spans="2:12" x14ac:dyDescent="0.35">
      <c r="B26" t="s">
        <v>111</v>
      </c>
      <c r="C26">
        <v>-744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 x14ac:dyDescent="0.35">
      <c r="B27" t="s">
        <v>112</v>
      </c>
      <c r="C27" s="34">
        <v>36363</v>
      </c>
      <c r="D27" s="34">
        <v>19519</v>
      </c>
      <c r="E27" s="34">
        <v>33390</v>
      </c>
      <c r="F27" s="34">
        <v>37482</v>
      </c>
      <c r="G27" s="34">
        <v>51128</v>
      </c>
      <c r="H27" s="34">
        <v>38297</v>
      </c>
      <c r="I27" s="34">
        <v>46641</v>
      </c>
      <c r="J27" s="34">
        <v>46578</v>
      </c>
      <c r="K27" s="34">
        <v>43934</v>
      </c>
      <c r="L27" s="34">
        <v>18747</v>
      </c>
    </row>
    <row r="28" spans="2:12" x14ac:dyDescent="0.35">
      <c r="B28" t="s">
        <v>113</v>
      </c>
      <c r="C28" s="34">
        <v>-23332</v>
      </c>
      <c r="D28" s="34">
        <v>-24924</v>
      </c>
      <c r="E28" s="34">
        <v>-21732</v>
      </c>
      <c r="F28" s="34">
        <v>-29964</v>
      </c>
      <c r="G28" s="34">
        <v>-35198</v>
      </c>
      <c r="H28" s="34">
        <v>-29847</v>
      </c>
      <c r="I28" s="34">
        <v>-29709</v>
      </c>
      <c r="J28" s="34">
        <v>-42816</v>
      </c>
      <c r="K28" s="34">
        <v>-62557</v>
      </c>
      <c r="L28" s="34">
        <v>-47332</v>
      </c>
    </row>
    <row r="29" spans="2:12" x14ac:dyDescent="0.35">
      <c r="B29" t="s">
        <v>114</v>
      </c>
      <c r="C29" s="34">
        <v>-6307</v>
      </c>
      <c r="D29" s="34">
        <v>-5716</v>
      </c>
      <c r="E29" s="34">
        <v>-5336</v>
      </c>
      <c r="F29" s="34">
        <v>-5411</v>
      </c>
      <c r="G29" s="34">
        <v>-7005</v>
      </c>
      <c r="H29" s="34">
        <v>-7518</v>
      </c>
      <c r="I29" s="34">
        <v>-8123</v>
      </c>
      <c r="J29" s="34">
        <v>-9251</v>
      </c>
      <c r="K29" s="34">
        <v>-9336</v>
      </c>
      <c r="L29" s="34">
        <v>-9332</v>
      </c>
    </row>
    <row r="30" spans="2:12" x14ac:dyDescent="0.35">
      <c r="B30" t="s">
        <v>115</v>
      </c>
      <c r="C30">
        <v>-720</v>
      </c>
      <c r="D30">
        <v>-108</v>
      </c>
      <c r="E30">
        <v>-121</v>
      </c>
      <c r="F30">
        <v>-96</v>
      </c>
      <c r="G30">
        <v>-95</v>
      </c>
      <c r="H30">
        <v>-57</v>
      </c>
      <c r="I30">
        <v>-30</v>
      </c>
      <c r="J30">
        <v>-100</v>
      </c>
      <c r="K30">
        <v>-141</v>
      </c>
      <c r="L30" s="34">
        <v>-1059</v>
      </c>
    </row>
    <row r="31" spans="2:12" x14ac:dyDescent="0.35">
      <c r="B31" t="s">
        <v>116</v>
      </c>
      <c r="C31">
        <v>0</v>
      </c>
      <c r="D31">
        <v>0</v>
      </c>
      <c r="E31">
        <v>0</v>
      </c>
      <c r="F31">
        <v>0</v>
      </c>
      <c r="G31">
        <v>0</v>
      </c>
      <c r="H31" s="34">
        <v>-1346</v>
      </c>
      <c r="I31" s="34">
        <v>-1477</v>
      </c>
      <c r="J31" s="34">
        <v>-1559</v>
      </c>
      <c r="K31" s="34">
        <v>-1517</v>
      </c>
      <c r="L31" s="34">
        <v>-1924</v>
      </c>
    </row>
    <row r="32" spans="2:12" x14ac:dyDescent="0.35">
      <c r="B32" t="s">
        <v>117</v>
      </c>
      <c r="C32">
        <v>-57</v>
      </c>
      <c r="D32">
        <v>0</v>
      </c>
      <c r="E32">
        <v>0</v>
      </c>
      <c r="F32">
        <v>0</v>
      </c>
      <c r="G32">
        <v>0</v>
      </c>
      <c r="H32">
        <v>-29</v>
      </c>
      <c r="I32">
        <v>0</v>
      </c>
      <c r="J32" s="34">
        <v>3750</v>
      </c>
      <c r="K32" s="34">
        <v>3355</v>
      </c>
      <c r="L32" s="34">
        <v>3812</v>
      </c>
    </row>
    <row r="33" spans="2:12" x14ac:dyDescent="0.35">
      <c r="B33" t="s">
        <v>3</v>
      </c>
      <c r="C33" s="34">
        <v>4500</v>
      </c>
      <c r="D33" s="34">
        <v>-2589</v>
      </c>
      <c r="E33" s="34">
        <v>-3167</v>
      </c>
      <c r="F33">
        <v>730</v>
      </c>
      <c r="G33" s="34">
        <v>6843</v>
      </c>
      <c r="H33" s="34">
        <v>-3092</v>
      </c>
      <c r="I33" s="34">
        <v>13232</v>
      </c>
      <c r="J33" s="34">
        <v>6459</v>
      </c>
      <c r="K33" s="34">
        <v>-6272</v>
      </c>
      <c r="L33" s="34">
        <v>8128</v>
      </c>
    </row>
  </sheetData>
  <sheetProtection algorithmName="SHA-512" hashValue="EJrP+6WXiIK8kUwi/g9ZYfzcS3W9rVO5pNr4abalZeGbqWOfIr4cHCMRSNAd45oOIjkO65PsrPl8aVsrS45ZXQ==" saltValue="X39SslbarhVHRh/OTZsz7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Guide</vt:lpstr>
      <vt:lpstr>Financials&gt;</vt:lpstr>
      <vt:lpstr>HistoricalFS</vt:lpstr>
      <vt:lpstr>Intrinsic Growth</vt:lpstr>
      <vt:lpstr>Data Room&gt;</vt:lpstr>
      <vt:lpstr>Raw FS</vt:lpstr>
      <vt:lpstr>Data Sheet</vt:lpstr>
      <vt:lpstr>Cash Flow Data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Kavan Shah</dc:creator>
  <cp:lastModifiedBy>Shah K (FCI)</cp:lastModifiedBy>
  <cp:lastPrinted>2024-10-14T20:16:30Z</cp:lastPrinted>
  <dcterms:created xsi:type="dcterms:W3CDTF">2015-06-05T18:17:20Z</dcterms:created>
  <dcterms:modified xsi:type="dcterms:W3CDTF">2024-10-21T22:01:57Z</dcterms:modified>
</cp:coreProperties>
</file>