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van\Desktop\"/>
    </mc:Choice>
  </mc:AlternateContent>
  <xr:revisionPtr revIDLastSave="0" documentId="13_ncr:1_{7C851F82-DB28-4215-B66D-521961DB20EE}" xr6:coauthVersionLast="47" xr6:coauthVersionMax="47" xr10:uidLastSave="{00000000-0000-0000-0000-000000000000}"/>
  <bookViews>
    <workbookView xWindow="-110" yWindow="-110" windowWidth="19420" windowHeight="10300" tabRatio="853" firstSheet="3" activeTab="10" xr2:uid="{00000000-000D-0000-FFFF-FFFF00000000}"/>
  </bookViews>
  <sheets>
    <sheet name="Guide" sheetId="8" r:id="rId1"/>
    <sheet name="Financials&gt;" sheetId="1" r:id="rId2"/>
    <sheet name="HistoricalFS" sheetId="3" r:id="rId3"/>
    <sheet name="Ratio Analysis" sheetId="6" r:id="rId4"/>
    <sheet name="Common Size Statement" sheetId="9" r:id="rId5"/>
    <sheet name="Forecasting" sheetId="7" r:id="rId6"/>
    <sheet name="WACC" sheetId="12" r:id="rId7"/>
    <sheet name="Intrinsic Growth" sheetId="15" r:id="rId8"/>
    <sheet name="DCF" sheetId="14" r:id="rId9"/>
    <sheet name="Comps_Val (RV)" sheetId="17" r:id="rId10"/>
    <sheet name="Football Field" sheetId="19" r:id="rId11"/>
    <sheet name="Data&gt;" sheetId="4" r:id="rId12"/>
    <sheet name="Data Sheet" sheetId="2" r:id="rId13"/>
    <sheet name="Cash Flow Data" sheetId="5" r:id="rId14"/>
    <sheet name="Beta Comps" sheetId="10" r:id="rId15"/>
    <sheet name="Beta - Regression" sheetId="11" r:id="rId16"/>
    <sheet name="RM" sheetId="13" r:id="rId17"/>
    <sheet name="Raw FS" sheetId="16" r:id="rId18"/>
    <sheet name="RV Data" sheetId="18" r:id="rId19"/>
  </sheets>
  <definedNames>
    <definedName name="_xlnm._FilterDatabase" localSheetId="15" hidden="1">'Beta - Regression'!$F$7:$F$7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4" l="1"/>
  <c r="O33" i="17"/>
  <c r="Q9" i="17"/>
  <c r="P9" i="17"/>
  <c r="O9" i="17"/>
  <c r="M15" i="17"/>
  <c r="M14" i="17"/>
  <c r="M13" i="17"/>
  <c r="M12" i="17"/>
  <c r="M11" i="17"/>
  <c r="M10" i="17"/>
  <c r="M9" i="17"/>
  <c r="L15" i="17"/>
  <c r="L14" i="17"/>
  <c r="L13" i="17"/>
  <c r="L12" i="17"/>
  <c r="L11" i="17"/>
  <c r="L10" i="17"/>
  <c r="L9" i="17"/>
  <c r="K15" i="17"/>
  <c r="K14" i="17"/>
  <c r="K13" i="17"/>
  <c r="K12" i="17"/>
  <c r="K11" i="17"/>
  <c r="K10" i="17"/>
  <c r="K9" i="17"/>
  <c r="H9" i="17"/>
  <c r="G15" i="17"/>
  <c r="G14" i="17"/>
  <c r="G13" i="17"/>
  <c r="G12" i="17"/>
  <c r="G11" i="17"/>
  <c r="G10" i="17"/>
  <c r="G9" i="17"/>
  <c r="Q27" i="17" s="1"/>
  <c r="F10" i="17"/>
  <c r="F9" i="17"/>
  <c r="E15" i="17"/>
  <c r="E14" i="17"/>
  <c r="E13" i="17"/>
  <c r="E12" i="17"/>
  <c r="E11" i="17"/>
  <c r="E10" i="17"/>
  <c r="E9" i="17"/>
  <c r="O29" i="17" s="1"/>
  <c r="D15" i="17"/>
  <c r="D14" i="17"/>
  <c r="D13" i="17"/>
  <c r="D12" i="17"/>
  <c r="D11" i="17"/>
  <c r="D10" i="17"/>
  <c r="D9" i="17"/>
  <c r="B15" i="17"/>
  <c r="B14" i="17"/>
  <c r="B13" i="17"/>
  <c r="B12" i="17"/>
  <c r="B11" i="17"/>
  <c r="B10" i="17"/>
  <c r="B9" i="17"/>
  <c r="H9" i="18"/>
  <c r="H8" i="18"/>
  <c r="H7" i="18"/>
  <c r="H6" i="18"/>
  <c r="H5" i="18"/>
  <c r="H4" i="18"/>
  <c r="H3" i="18"/>
  <c r="E9" i="18"/>
  <c r="I9" i="18" s="1"/>
  <c r="E8" i="18"/>
  <c r="I8" i="18" s="1"/>
  <c r="E7" i="18"/>
  <c r="I7" i="18" s="1"/>
  <c r="E6" i="18"/>
  <c r="I6" i="18" s="1"/>
  <c r="E5" i="18"/>
  <c r="I5" i="18" s="1"/>
  <c r="E4" i="18"/>
  <c r="I4" i="18" s="1"/>
  <c r="E3" i="18"/>
  <c r="I3" i="18" s="1"/>
  <c r="F14" i="17"/>
  <c r="Q14" i="17" s="1"/>
  <c r="F13" i="17"/>
  <c r="Q13" i="17" s="1"/>
  <c r="F11" i="17"/>
  <c r="Q11" i="17" s="1"/>
  <c r="E37" i="14"/>
  <c r="E34" i="14"/>
  <c r="E24" i="14"/>
  <c r="J11" i="14"/>
  <c r="K11" i="14" s="1"/>
  <c r="L11" i="14" s="1"/>
  <c r="E18" i="14"/>
  <c r="E23" i="14" s="1"/>
  <c r="H9" i="14"/>
  <c r="I9" i="14" s="1"/>
  <c r="I7" i="14"/>
  <c r="J7" i="14" s="1"/>
  <c r="K7" i="14" s="1"/>
  <c r="L7" i="14" s="1"/>
  <c r="H6" i="14"/>
  <c r="H8" i="14" s="1"/>
  <c r="H4" i="14"/>
  <c r="I4" i="14" s="1"/>
  <c r="J4" i="14" s="1"/>
  <c r="K4" i="14" s="1"/>
  <c r="L4" i="14" s="1"/>
  <c r="G49" i="15"/>
  <c r="J22" i="15"/>
  <c r="I22" i="15"/>
  <c r="H22" i="15"/>
  <c r="G22" i="15"/>
  <c r="B28" i="15"/>
  <c r="B27" i="15"/>
  <c r="B26" i="15"/>
  <c r="B25" i="15"/>
  <c r="B24" i="15"/>
  <c r="B23" i="15"/>
  <c r="B22" i="15"/>
  <c r="B21" i="15"/>
  <c r="B15" i="15"/>
  <c r="B14" i="15"/>
  <c r="B13" i="15"/>
  <c r="B9" i="15"/>
  <c r="B8" i="15"/>
  <c r="B7" i="15"/>
  <c r="B6" i="15"/>
  <c r="J3" i="15"/>
  <c r="I3" i="15"/>
  <c r="H3" i="15"/>
  <c r="G3" i="15"/>
  <c r="F3" i="15"/>
  <c r="H58" i="15"/>
  <c r="J56" i="15"/>
  <c r="I56" i="15"/>
  <c r="H56" i="15"/>
  <c r="G56" i="15"/>
  <c r="F56" i="15"/>
  <c r="J54" i="15"/>
  <c r="J51" i="15"/>
  <c r="I51" i="15"/>
  <c r="H51" i="15"/>
  <c r="G51" i="15"/>
  <c r="J53" i="15" s="1"/>
  <c r="J49" i="15"/>
  <c r="I49" i="15"/>
  <c r="H49" i="15"/>
  <c r="J47" i="15"/>
  <c r="I47" i="15"/>
  <c r="H47" i="15"/>
  <c r="G47" i="15"/>
  <c r="F47" i="15"/>
  <c r="J45" i="15"/>
  <c r="I45" i="15"/>
  <c r="H45" i="15"/>
  <c r="G45" i="15"/>
  <c r="F45" i="15"/>
  <c r="J43" i="15"/>
  <c r="I43" i="15"/>
  <c r="F42" i="15"/>
  <c r="J40" i="15"/>
  <c r="I40" i="15"/>
  <c r="H40" i="15"/>
  <c r="G40" i="15"/>
  <c r="F40" i="15"/>
  <c r="J35" i="15"/>
  <c r="I35" i="15"/>
  <c r="H35" i="15"/>
  <c r="G35" i="15"/>
  <c r="F35" i="15"/>
  <c r="F34" i="15"/>
  <c r="I32" i="15"/>
  <c r="F32" i="15"/>
  <c r="J31" i="15"/>
  <c r="I31" i="15"/>
  <c r="H31" i="15"/>
  <c r="G31" i="15"/>
  <c r="F31" i="15"/>
  <c r="F30" i="15"/>
  <c r="J30" i="15"/>
  <c r="J32" i="15" s="1"/>
  <c r="I30" i="15"/>
  <c r="H30" i="15"/>
  <c r="H32" i="15" s="1"/>
  <c r="G30" i="15"/>
  <c r="G32" i="15" s="1"/>
  <c r="G34" i="15" s="1"/>
  <c r="J28" i="15"/>
  <c r="I28" i="15"/>
  <c r="H28" i="15"/>
  <c r="G28" i="15"/>
  <c r="J27" i="15"/>
  <c r="I27" i="15"/>
  <c r="H27" i="15"/>
  <c r="G27" i="15"/>
  <c r="J26" i="15"/>
  <c r="I26" i="15"/>
  <c r="H26" i="15"/>
  <c r="G26" i="15"/>
  <c r="J25" i="15"/>
  <c r="I25" i="15"/>
  <c r="H25" i="15"/>
  <c r="G25" i="15"/>
  <c r="J24" i="15"/>
  <c r="I24" i="15"/>
  <c r="H24" i="15"/>
  <c r="G24" i="15"/>
  <c r="J23" i="15"/>
  <c r="I23" i="15"/>
  <c r="H23" i="15"/>
  <c r="G23" i="15"/>
  <c r="F28" i="15"/>
  <c r="F27" i="15"/>
  <c r="F26" i="15"/>
  <c r="F25" i="15"/>
  <c r="F24" i="15"/>
  <c r="F23" i="15"/>
  <c r="F22" i="15"/>
  <c r="J21" i="15"/>
  <c r="I21" i="15"/>
  <c r="H21" i="15"/>
  <c r="G21" i="15"/>
  <c r="F21" i="15"/>
  <c r="F18" i="15"/>
  <c r="G18" i="15"/>
  <c r="H18" i="15"/>
  <c r="J16" i="15"/>
  <c r="J18" i="15" s="1"/>
  <c r="I16" i="15"/>
  <c r="H16" i="15"/>
  <c r="G16" i="15"/>
  <c r="F16" i="15"/>
  <c r="J15" i="15"/>
  <c r="I15" i="15"/>
  <c r="H15" i="15"/>
  <c r="G15" i="15"/>
  <c r="F15" i="15"/>
  <c r="J14" i="15"/>
  <c r="I14" i="15"/>
  <c r="H14" i="15"/>
  <c r="G14" i="15"/>
  <c r="F14" i="15"/>
  <c r="J13" i="15"/>
  <c r="I13" i="15"/>
  <c r="H13" i="15"/>
  <c r="G13" i="15"/>
  <c r="F13" i="15"/>
  <c r="F10" i="15"/>
  <c r="G10" i="15"/>
  <c r="H10" i="15"/>
  <c r="I10" i="15"/>
  <c r="J10" i="15"/>
  <c r="J9" i="15"/>
  <c r="I9" i="15"/>
  <c r="H9" i="15"/>
  <c r="G9" i="15"/>
  <c r="F9" i="15"/>
  <c r="J8" i="15"/>
  <c r="I8" i="15"/>
  <c r="H8" i="15"/>
  <c r="G8" i="15"/>
  <c r="F8" i="15"/>
  <c r="J7" i="15"/>
  <c r="I7" i="15"/>
  <c r="H7" i="15"/>
  <c r="G7" i="15"/>
  <c r="F7" i="15"/>
  <c r="J6" i="15"/>
  <c r="I6" i="15"/>
  <c r="H6" i="15"/>
  <c r="G6" i="15"/>
  <c r="F6" i="15"/>
  <c r="J42" i="15"/>
  <c r="I42" i="15"/>
  <c r="H42" i="15"/>
  <c r="G42" i="15"/>
  <c r="G46" i="15"/>
  <c r="H46" i="15" s="1"/>
  <c r="I46" i="15" s="1"/>
  <c r="J46" i="15" s="1"/>
  <c r="I18" i="15"/>
  <c r="N29" i="16"/>
  <c r="M29" i="16"/>
  <c r="L29" i="16"/>
  <c r="K29" i="16"/>
  <c r="J29" i="16"/>
  <c r="I29" i="16"/>
  <c r="H29" i="16"/>
  <c r="G29" i="16"/>
  <c r="F29" i="16"/>
  <c r="E29" i="16"/>
  <c r="D29" i="16"/>
  <c r="C29" i="16"/>
  <c r="Q10" i="17" l="1"/>
  <c r="F12" i="17"/>
  <c r="Q12" i="17" s="1"/>
  <c r="F15" i="17"/>
  <c r="Q15" i="17" s="1"/>
  <c r="P29" i="17"/>
  <c r="H10" i="17"/>
  <c r="H11" i="17"/>
  <c r="H13" i="17"/>
  <c r="H14" i="17"/>
  <c r="O27" i="17"/>
  <c r="Q29" i="17"/>
  <c r="P27" i="17"/>
  <c r="L12" i="14"/>
  <c r="I12" i="14"/>
  <c r="K12" i="14"/>
  <c r="J12" i="14"/>
  <c r="H10" i="14"/>
  <c r="I6" i="14"/>
  <c r="J9" i="14"/>
  <c r="J34" i="15"/>
  <c r="F37" i="15"/>
  <c r="I34" i="15"/>
  <c r="Q17" i="17" l="1"/>
  <c r="Q21" i="17"/>
  <c r="H12" i="17"/>
  <c r="P12" i="17" s="1"/>
  <c r="Q19" i="17"/>
  <c r="Q20" i="17"/>
  <c r="Q28" i="17" s="1"/>
  <c r="Q26" i="17" s="1"/>
  <c r="Q18" i="17"/>
  <c r="Q22" i="17"/>
  <c r="H15" i="17"/>
  <c r="P15" i="17" s="1"/>
  <c r="P11" i="17"/>
  <c r="O11" i="17"/>
  <c r="P14" i="17"/>
  <c r="O14" i="17"/>
  <c r="P10" i="17"/>
  <c r="O10" i="17"/>
  <c r="P13" i="17"/>
  <c r="O13" i="17"/>
  <c r="J6" i="14"/>
  <c r="I8" i="14"/>
  <c r="I10" i="14" s="1"/>
  <c r="I14" i="14" s="1"/>
  <c r="K9" i="14"/>
  <c r="I37" i="15"/>
  <c r="I59" i="15" s="1"/>
  <c r="I61" i="15" s="1"/>
  <c r="J37" i="15"/>
  <c r="J59" i="15" s="1"/>
  <c r="J61" i="15" s="1"/>
  <c r="J58" i="15"/>
  <c r="G43" i="15"/>
  <c r="G37" i="15"/>
  <c r="G59" i="15" s="1"/>
  <c r="H43" i="15"/>
  <c r="H34" i="15"/>
  <c r="I58" i="15"/>
  <c r="O12" i="17" l="1"/>
  <c r="O15" i="17"/>
  <c r="O20" i="17" s="1"/>
  <c r="O26" i="17" s="1"/>
  <c r="O28" i="17" s="1"/>
  <c r="O31" i="17" s="1"/>
  <c r="Q31" i="17"/>
  <c r="Q33" i="17" s="1"/>
  <c r="O22" i="17"/>
  <c r="O18" i="17"/>
  <c r="O19" i="17"/>
  <c r="O17" i="17"/>
  <c r="P19" i="17"/>
  <c r="P20" i="17"/>
  <c r="P26" i="17" s="1"/>
  <c r="P28" i="17" s="1"/>
  <c r="P31" i="17" s="1"/>
  <c r="P33" i="17" s="1"/>
  <c r="P18" i="17"/>
  <c r="P21" i="17"/>
  <c r="P17" i="17"/>
  <c r="P22" i="17"/>
  <c r="K6" i="14"/>
  <c r="J8" i="14"/>
  <c r="J10" i="14" s="1"/>
  <c r="J14" i="14" s="1"/>
  <c r="H37" i="15"/>
  <c r="H59" i="15" s="1"/>
  <c r="H61" i="15" s="1"/>
  <c r="G58" i="15"/>
  <c r="G61" i="15" s="1"/>
  <c r="O21" i="17" l="1"/>
  <c r="L6" i="14"/>
  <c r="L8" i="14" s="1"/>
  <c r="L10" i="14" s="1"/>
  <c r="K8" i="14"/>
  <c r="K10" i="14" s="1"/>
  <c r="K14" i="14" s="1"/>
  <c r="J63" i="15"/>
  <c r="J64" i="15"/>
  <c r="E22" i="14" l="1"/>
  <c r="L14" i="14"/>
  <c r="E30" i="14" s="1"/>
  <c r="L40" i="9"/>
  <c r="K40" i="9"/>
  <c r="J40" i="9"/>
  <c r="I40" i="9"/>
  <c r="H40" i="9"/>
  <c r="G40" i="9"/>
  <c r="F40" i="9"/>
  <c r="E40" i="9"/>
  <c r="D40" i="9"/>
  <c r="L34" i="9"/>
  <c r="K34" i="9"/>
  <c r="J34" i="9"/>
  <c r="I34" i="9"/>
  <c r="H34" i="9"/>
  <c r="G34" i="9"/>
  <c r="F34" i="9"/>
  <c r="E34" i="9"/>
  <c r="D34" i="9"/>
  <c r="L26" i="9"/>
  <c r="K26" i="9"/>
  <c r="J26" i="9"/>
  <c r="I26" i="9"/>
  <c r="H26" i="9"/>
  <c r="G26" i="9"/>
  <c r="F26" i="9"/>
  <c r="E26" i="9"/>
  <c r="D26" i="9"/>
  <c r="C26" i="9"/>
  <c r="B41" i="9"/>
  <c r="B40" i="9"/>
  <c r="B39" i="9"/>
  <c r="B38" i="9"/>
  <c r="B37" i="9"/>
  <c r="B36" i="9"/>
  <c r="B35" i="9"/>
  <c r="B32" i="9"/>
  <c r="B31" i="9"/>
  <c r="B30" i="9"/>
  <c r="B29" i="9"/>
  <c r="B22" i="9"/>
  <c r="B33" i="2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E34" i="12"/>
  <c r="M41" i="3"/>
  <c r="K28" i="12"/>
  <c r="K26" i="12"/>
  <c r="F5" i="13"/>
  <c r="F3" i="13"/>
  <c r="C4" i="13"/>
  <c r="K27" i="12"/>
  <c r="C35" i="5"/>
  <c r="E36" i="12"/>
  <c r="D36" i="12"/>
  <c r="E35" i="12"/>
  <c r="K41" i="12" s="1"/>
  <c r="D38" i="12"/>
  <c r="D35" i="12"/>
  <c r="D34" i="12"/>
  <c r="C36" i="12"/>
  <c r="C35" i="12"/>
  <c r="C34" i="12"/>
  <c r="K14" i="12"/>
  <c r="K15" i="12"/>
  <c r="K16" i="12"/>
  <c r="K17" i="12"/>
  <c r="K13" i="12"/>
  <c r="J13" i="12"/>
  <c r="I13" i="12"/>
  <c r="H13" i="12"/>
  <c r="F17" i="12"/>
  <c r="F16" i="12"/>
  <c r="F15" i="12"/>
  <c r="H15" i="12" s="1"/>
  <c r="F14" i="12"/>
  <c r="H14" i="12" s="1"/>
  <c r="F13" i="12"/>
  <c r="E13" i="12"/>
  <c r="E17" i="12"/>
  <c r="E16" i="12"/>
  <c r="E15" i="12"/>
  <c r="E14" i="12"/>
  <c r="B17" i="12"/>
  <c r="B16" i="12"/>
  <c r="B15" i="12"/>
  <c r="B14" i="12"/>
  <c r="B13" i="12"/>
  <c r="E27" i="12"/>
  <c r="K43" i="12" s="1"/>
  <c r="G20" i="12"/>
  <c r="E26" i="12" s="1"/>
  <c r="H17" i="12"/>
  <c r="G17" i="12"/>
  <c r="I17" i="12"/>
  <c r="G16" i="12"/>
  <c r="H16" i="12"/>
  <c r="I16" i="12"/>
  <c r="G15" i="12"/>
  <c r="G14" i="12"/>
  <c r="G19" i="12" s="1"/>
  <c r="J20" i="12"/>
  <c r="J13" i="11"/>
  <c r="J7" i="11"/>
  <c r="M6" i="11"/>
  <c r="E26" i="14" l="1"/>
  <c r="E38" i="12"/>
  <c r="K44" i="12"/>
  <c r="I15" i="12"/>
  <c r="I14" i="12"/>
  <c r="I20" i="12"/>
  <c r="I19" i="12"/>
  <c r="K35" i="12"/>
  <c r="J19" i="12"/>
  <c r="E31" i="14" l="1"/>
  <c r="E32" i="14" s="1"/>
  <c r="G21" i="14" s="1"/>
  <c r="H20" i="12"/>
  <c r="H19" i="12"/>
  <c r="K34" i="12"/>
  <c r="K20" i="12"/>
  <c r="K33" i="12" s="1"/>
  <c r="K19" i="12"/>
  <c r="E36" i="14" l="1"/>
  <c r="E39" i="14" s="1"/>
  <c r="K36" i="12"/>
  <c r="K40" i="12" s="1"/>
  <c r="K46" i="12" s="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E42" i="14" l="1"/>
  <c r="C108" i="3"/>
  <c r="D108" i="3"/>
  <c r="B3" i="7"/>
  <c r="L41" i="9"/>
  <c r="K41" i="9"/>
  <c r="J41" i="9"/>
  <c r="I41" i="9"/>
  <c r="H41" i="9"/>
  <c r="G41" i="9"/>
  <c r="F41" i="9"/>
  <c r="E41" i="9"/>
  <c r="D41" i="9"/>
  <c r="C41" i="9"/>
  <c r="C40" i="9"/>
  <c r="L39" i="9"/>
  <c r="K39" i="9"/>
  <c r="J39" i="9"/>
  <c r="I39" i="9"/>
  <c r="H39" i="9"/>
  <c r="G39" i="9"/>
  <c r="F39" i="9"/>
  <c r="E39" i="9"/>
  <c r="D39" i="9"/>
  <c r="C39" i="9"/>
  <c r="L38" i="9"/>
  <c r="K38" i="9"/>
  <c r="J38" i="9"/>
  <c r="I38" i="9"/>
  <c r="H38" i="9"/>
  <c r="G38" i="9"/>
  <c r="F38" i="9"/>
  <c r="E38" i="9"/>
  <c r="D38" i="9"/>
  <c r="C38" i="9"/>
  <c r="L37" i="9"/>
  <c r="K37" i="9"/>
  <c r="J37" i="9"/>
  <c r="I37" i="9"/>
  <c r="H37" i="9"/>
  <c r="G37" i="9"/>
  <c r="F37" i="9"/>
  <c r="E37" i="9"/>
  <c r="D37" i="9"/>
  <c r="C37" i="9"/>
  <c r="L36" i="9"/>
  <c r="K36" i="9"/>
  <c r="J36" i="9"/>
  <c r="I36" i="9"/>
  <c r="H36" i="9"/>
  <c r="G36" i="9"/>
  <c r="F36" i="9"/>
  <c r="E36" i="9"/>
  <c r="D36" i="9"/>
  <c r="C36" i="9"/>
  <c r="L35" i="9"/>
  <c r="K35" i="9"/>
  <c r="J35" i="9"/>
  <c r="I35" i="9"/>
  <c r="H35" i="9"/>
  <c r="G35" i="9"/>
  <c r="F35" i="9"/>
  <c r="E35" i="9"/>
  <c r="D35" i="9"/>
  <c r="C35" i="9"/>
  <c r="K74" i="2"/>
  <c r="J74" i="2"/>
  <c r="I74" i="2"/>
  <c r="H74" i="2"/>
  <c r="G74" i="2"/>
  <c r="F74" i="2"/>
  <c r="E74" i="2"/>
  <c r="D74" i="2"/>
  <c r="C74" i="2"/>
  <c r="B74" i="2"/>
  <c r="K75" i="2"/>
  <c r="J75" i="2"/>
  <c r="I75" i="2"/>
  <c r="H75" i="2"/>
  <c r="G75" i="2"/>
  <c r="F75" i="2"/>
  <c r="E75" i="2"/>
  <c r="D75" i="2"/>
  <c r="C75" i="2"/>
  <c r="B75" i="2"/>
  <c r="C34" i="9" s="1"/>
  <c r="L32" i="9"/>
  <c r="K32" i="9"/>
  <c r="J32" i="9"/>
  <c r="I32" i="9"/>
  <c r="H32" i="9"/>
  <c r="G32" i="9"/>
  <c r="F32" i="9"/>
  <c r="E32" i="9"/>
  <c r="D32" i="9"/>
  <c r="C32" i="9"/>
  <c r="L31" i="9"/>
  <c r="K31" i="9"/>
  <c r="J31" i="9"/>
  <c r="I31" i="9"/>
  <c r="H31" i="9"/>
  <c r="G31" i="9"/>
  <c r="F31" i="9"/>
  <c r="E31" i="9"/>
  <c r="D31" i="9"/>
  <c r="C31" i="9"/>
  <c r="L30" i="9"/>
  <c r="K30" i="9"/>
  <c r="J30" i="9"/>
  <c r="I30" i="9"/>
  <c r="H30" i="9"/>
  <c r="G30" i="9"/>
  <c r="F30" i="9"/>
  <c r="E30" i="9"/>
  <c r="D30" i="9"/>
  <c r="C30" i="9"/>
  <c r="L29" i="9"/>
  <c r="K29" i="9"/>
  <c r="J29" i="9"/>
  <c r="I29" i="9"/>
  <c r="H29" i="9"/>
  <c r="G29" i="9"/>
  <c r="F29" i="9"/>
  <c r="E29" i="9"/>
  <c r="D29" i="9"/>
  <c r="C29" i="9"/>
  <c r="L28" i="9"/>
  <c r="K28" i="9"/>
  <c r="J28" i="9"/>
  <c r="I28" i="9"/>
  <c r="H28" i="9"/>
  <c r="G28" i="9"/>
  <c r="F28" i="9"/>
  <c r="E28" i="9"/>
  <c r="D28" i="9"/>
  <c r="C28" i="9"/>
  <c r="B24" i="9"/>
  <c r="B3" i="9"/>
  <c r="C22" i="9"/>
  <c r="K33" i="2"/>
  <c r="J33" i="2"/>
  <c r="I33" i="2"/>
  <c r="H33" i="2"/>
  <c r="I22" i="9" s="1"/>
  <c r="G33" i="2"/>
  <c r="F33" i="2"/>
  <c r="E33" i="2"/>
  <c r="D33" i="2"/>
  <c r="E22" i="9" s="1"/>
  <c r="C33" i="2"/>
  <c r="L22" i="9"/>
  <c r="K22" i="9"/>
  <c r="J22" i="9"/>
  <c r="H22" i="9"/>
  <c r="G22" i="9"/>
  <c r="F22" i="9"/>
  <c r="D22" i="9"/>
  <c r="L21" i="9"/>
  <c r="K21" i="9"/>
  <c r="J21" i="9"/>
  <c r="I21" i="9"/>
  <c r="H21" i="9"/>
  <c r="G21" i="9"/>
  <c r="F21" i="9"/>
  <c r="E21" i="9"/>
  <c r="D21" i="9"/>
  <c r="C21" i="9"/>
  <c r="L20" i="9"/>
  <c r="K20" i="9"/>
  <c r="J20" i="9"/>
  <c r="I20" i="9"/>
  <c r="H20" i="9"/>
  <c r="G20" i="9"/>
  <c r="F20" i="9"/>
  <c r="E20" i="9"/>
  <c r="D20" i="9"/>
  <c r="C20" i="9"/>
  <c r="L19" i="9"/>
  <c r="K19" i="9"/>
  <c r="J19" i="9"/>
  <c r="I19" i="9"/>
  <c r="H19" i="9"/>
  <c r="G19" i="9"/>
  <c r="F19" i="9"/>
  <c r="E19" i="9"/>
  <c r="D19" i="9"/>
  <c r="C19" i="9"/>
  <c r="L18" i="9"/>
  <c r="K18" i="9"/>
  <c r="J18" i="9"/>
  <c r="I18" i="9"/>
  <c r="H18" i="9"/>
  <c r="G18" i="9"/>
  <c r="F18" i="9"/>
  <c r="E18" i="9"/>
  <c r="D18" i="9"/>
  <c r="C18" i="9"/>
  <c r="L17" i="9"/>
  <c r="K17" i="9"/>
  <c r="J17" i="9"/>
  <c r="I17" i="9"/>
  <c r="H17" i="9"/>
  <c r="G17" i="9"/>
  <c r="F17" i="9"/>
  <c r="E17" i="9"/>
  <c r="D17" i="9"/>
  <c r="C17" i="9"/>
  <c r="L16" i="9"/>
  <c r="K16" i="9"/>
  <c r="J16" i="9"/>
  <c r="I16" i="9"/>
  <c r="H16" i="9"/>
  <c r="G16" i="9"/>
  <c r="F16" i="9"/>
  <c r="E16" i="9"/>
  <c r="D16" i="9"/>
  <c r="C16" i="9"/>
  <c r="L15" i="9"/>
  <c r="K15" i="9"/>
  <c r="J15" i="9"/>
  <c r="I15" i="9"/>
  <c r="H15" i="9"/>
  <c r="G15" i="9"/>
  <c r="F15" i="9"/>
  <c r="E15" i="9"/>
  <c r="D15" i="9"/>
  <c r="C15" i="9"/>
  <c r="L14" i="9"/>
  <c r="K14" i="9"/>
  <c r="J14" i="9"/>
  <c r="I14" i="9"/>
  <c r="H14" i="9"/>
  <c r="G14" i="9"/>
  <c r="F14" i="9"/>
  <c r="E14" i="9"/>
  <c r="D14" i="9"/>
  <c r="C14" i="9"/>
  <c r="L13" i="9"/>
  <c r="K13" i="9"/>
  <c r="J13" i="9"/>
  <c r="I13" i="9"/>
  <c r="H13" i="9"/>
  <c r="G13" i="9"/>
  <c r="F13" i="9"/>
  <c r="E13" i="9"/>
  <c r="D13" i="9"/>
  <c r="C13" i="9"/>
  <c r="L12" i="9"/>
  <c r="K12" i="9"/>
  <c r="J12" i="9"/>
  <c r="I12" i="9"/>
  <c r="H12" i="9"/>
  <c r="G12" i="9"/>
  <c r="F12" i="9"/>
  <c r="E12" i="9"/>
  <c r="D12" i="9"/>
  <c r="C12" i="9"/>
  <c r="L11" i="9"/>
  <c r="K11" i="9"/>
  <c r="J11" i="9"/>
  <c r="I11" i="9"/>
  <c r="H11" i="9"/>
  <c r="G11" i="9"/>
  <c r="F11" i="9"/>
  <c r="E11" i="9"/>
  <c r="D11" i="9"/>
  <c r="C11" i="9"/>
  <c r="L5" i="9"/>
  <c r="K5" i="9"/>
  <c r="J5" i="9"/>
  <c r="I5" i="9"/>
  <c r="H5" i="9"/>
  <c r="G5" i="9"/>
  <c r="F5" i="9"/>
  <c r="E5" i="9"/>
  <c r="D5" i="9"/>
  <c r="C5" i="9"/>
  <c r="L10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L8" i="9"/>
  <c r="K8" i="9"/>
  <c r="J8" i="9"/>
  <c r="I8" i="9"/>
  <c r="H8" i="9"/>
  <c r="G8" i="9"/>
  <c r="F8" i="9"/>
  <c r="E8" i="9"/>
  <c r="D8" i="9"/>
  <c r="C8" i="9"/>
  <c r="L7" i="9"/>
  <c r="K7" i="9"/>
  <c r="J7" i="9"/>
  <c r="I7" i="9"/>
  <c r="H7" i="9"/>
  <c r="G7" i="9"/>
  <c r="F7" i="9"/>
  <c r="E7" i="9"/>
  <c r="D7" i="9"/>
  <c r="C7" i="9"/>
  <c r="N7" i="7" l="1" a="1"/>
  <c r="N13" i="7" s="1"/>
  <c r="L5" i="7"/>
  <c r="L8" i="7"/>
  <c r="L9" i="7" s="1"/>
  <c r="L10" i="7" s="1"/>
  <c r="L11" i="7" s="1"/>
  <c r="L12" i="7" s="1"/>
  <c r="L13" i="7" s="1"/>
  <c r="L14" i="7" s="1"/>
  <c r="L15" i="7" s="1"/>
  <c r="L16" i="7" s="1"/>
  <c r="L17" i="7" s="1"/>
  <c r="M7" i="7"/>
  <c r="M8" i="7" s="1"/>
  <c r="M9" i="7" s="1"/>
  <c r="M10" i="7" s="1"/>
  <c r="M11" i="7" s="1"/>
  <c r="M12" i="7" s="1"/>
  <c r="M13" i="7" s="1"/>
  <c r="M14" i="7" s="1"/>
  <c r="M15" i="7" s="1"/>
  <c r="M16" i="7" s="1"/>
  <c r="I7" i="7" a="1"/>
  <c r="I13" i="7" s="1"/>
  <c r="G5" i="7"/>
  <c r="G8" i="7"/>
  <c r="G9" i="7" s="1"/>
  <c r="G10" i="7" s="1"/>
  <c r="G11" i="7" s="1"/>
  <c r="G12" i="7" s="1"/>
  <c r="G13" i="7" s="1"/>
  <c r="G14" i="7" s="1"/>
  <c r="G15" i="7" s="1"/>
  <c r="G16" i="7" s="1"/>
  <c r="G17" i="7" s="1"/>
  <c r="H7" i="7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C7" i="7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B5" i="7"/>
  <c r="D7" i="7" a="1"/>
  <c r="D7" i="7" s="1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E31" i="6"/>
  <c r="D30" i="6"/>
  <c r="D36" i="6" s="1"/>
  <c r="L29" i="6"/>
  <c r="L35" i="6" s="1"/>
  <c r="J28" i="6"/>
  <c r="J34" i="6" s="1"/>
  <c r="C29" i="6"/>
  <c r="J10" i="6"/>
  <c r="I10" i="6"/>
  <c r="B3" i="6"/>
  <c r="L4" i="6"/>
  <c r="K4" i="6"/>
  <c r="J4" i="6"/>
  <c r="I4" i="6"/>
  <c r="H4" i="6"/>
  <c r="G4" i="6"/>
  <c r="F4" i="6"/>
  <c r="E4" i="6"/>
  <c r="D4" i="6"/>
  <c r="C4" i="6"/>
  <c r="L106" i="3"/>
  <c r="I106" i="3"/>
  <c r="E106" i="3"/>
  <c r="D106" i="3"/>
  <c r="L105" i="3"/>
  <c r="K105" i="3"/>
  <c r="J105" i="3"/>
  <c r="I105" i="3"/>
  <c r="H105" i="3"/>
  <c r="G105" i="3"/>
  <c r="F105" i="3"/>
  <c r="E105" i="3"/>
  <c r="D105" i="3"/>
  <c r="C105" i="3"/>
  <c r="L104" i="3"/>
  <c r="K104" i="3"/>
  <c r="J104" i="3"/>
  <c r="I104" i="3"/>
  <c r="H104" i="3"/>
  <c r="G104" i="3"/>
  <c r="F104" i="3"/>
  <c r="E104" i="3"/>
  <c r="D104" i="3"/>
  <c r="C104" i="3"/>
  <c r="L103" i="3"/>
  <c r="K103" i="3"/>
  <c r="J103" i="3"/>
  <c r="I103" i="3"/>
  <c r="H103" i="3"/>
  <c r="G103" i="3"/>
  <c r="F103" i="3"/>
  <c r="E103" i="3"/>
  <c r="D103" i="3"/>
  <c r="C103" i="3"/>
  <c r="L102" i="3"/>
  <c r="K102" i="3"/>
  <c r="J102" i="3"/>
  <c r="I102" i="3"/>
  <c r="H102" i="3"/>
  <c r="G102" i="3"/>
  <c r="F102" i="3"/>
  <c r="E102" i="3"/>
  <c r="D102" i="3"/>
  <c r="C102" i="3"/>
  <c r="L101" i="3"/>
  <c r="K101" i="3"/>
  <c r="J101" i="3"/>
  <c r="I101" i="3"/>
  <c r="H101" i="3"/>
  <c r="G101" i="3"/>
  <c r="F101" i="3"/>
  <c r="E101" i="3"/>
  <c r="D101" i="3"/>
  <c r="C101" i="3"/>
  <c r="L100" i="3"/>
  <c r="K100" i="3"/>
  <c r="J100" i="3"/>
  <c r="I100" i="3"/>
  <c r="H100" i="3"/>
  <c r="G100" i="3"/>
  <c r="F100" i="3"/>
  <c r="E100" i="3"/>
  <c r="D100" i="3"/>
  <c r="C100" i="3"/>
  <c r="L99" i="3"/>
  <c r="K99" i="3"/>
  <c r="J99" i="3"/>
  <c r="I99" i="3"/>
  <c r="H99" i="3"/>
  <c r="G99" i="3"/>
  <c r="F99" i="3"/>
  <c r="E99" i="3"/>
  <c r="D99" i="3"/>
  <c r="C99" i="3"/>
  <c r="L98" i="3"/>
  <c r="K98" i="3"/>
  <c r="K106" i="3" s="1"/>
  <c r="J98" i="3"/>
  <c r="J106" i="3" s="1"/>
  <c r="I98" i="3"/>
  <c r="H98" i="3"/>
  <c r="H106" i="3" s="1"/>
  <c r="G98" i="3"/>
  <c r="G106" i="3" s="1"/>
  <c r="F98" i="3"/>
  <c r="F106" i="3" s="1"/>
  <c r="E98" i="3"/>
  <c r="D98" i="3"/>
  <c r="C98" i="3"/>
  <c r="C106" i="3" s="1"/>
  <c r="F95" i="3"/>
  <c r="L94" i="3"/>
  <c r="K94" i="3"/>
  <c r="J94" i="3"/>
  <c r="I94" i="3"/>
  <c r="H94" i="3"/>
  <c r="G94" i="3"/>
  <c r="F94" i="3"/>
  <c r="E94" i="3"/>
  <c r="D94" i="3"/>
  <c r="C94" i="3"/>
  <c r="L93" i="3"/>
  <c r="K93" i="3"/>
  <c r="J93" i="3"/>
  <c r="I93" i="3"/>
  <c r="H93" i="3"/>
  <c r="G93" i="3"/>
  <c r="F93" i="3"/>
  <c r="E93" i="3"/>
  <c r="D93" i="3"/>
  <c r="C93" i="3"/>
  <c r="L92" i="3"/>
  <c r="K92" i="3"/>
  <c r="J92" i="3"/>
  <c r="I92" i="3"/>
  <c r="H92" i="3"/>
  <c r="G92" i="3"/>
  <c r="F92" i="3"/>
  <c r="E92" i="3"/>
  <c r="D92" i="3"/>
  <c r="C92" i="3"/>
  <c r="L91" i="3"/>
  <c r="K91" i="3"/>
  <c r="J91" i="3"/>
  <c r="I91" i="3"/>
  <c r="H91" i="3"/>
  <c r="G91" i="3"/>
  <c r="F91" i="3"/>
  <c r="E91" i="3"/>
  <c r="D91" i="3"/>
  <c r="C91" i="3"/>
  <c r="L90" i="3"/>
  <c r="K90" i="3"/>
  <c r="J90" i="3"/>
  <c r="I90" i="3"/>
  <c r="H90" i="3"/>
  <c r="G90" i="3"/>
  <c r="F90" i="3"/>
  <c r="E90" i="3"/>
  <c r="D90" i="3"/>
  <c r="C90" i="3"/>
  <c r="L89" i="3"/>
  <c r="K89" i="3"/>
  <c r="J89" i="3"/>
  <c r="I89" i="3"/>
  <c r="H89" i="3"/>
  <c r="G89" i="3"/>
  <c r="F89" i="3"/>
  <c r="E89" i="3"/>
  <c r="D89" i="3"/>
  <c r="C89" i="3"/>
  <c r="L88" i="3"/>
  <c r="K88" i="3"/>
  <c r="J88" i="3"/>
  <c r="I88" i="3"/>
  <c r="H88" i="3"/>
  <c r="G88" i="3"/>
  <c r="F88" i="3"/>
  <c r="E88" i="3"/>
  <c r="D88" i="3"/>
  <c r="C88" i="3"/>
  <c r="L87" i="3"/>
  <c r="K87" i="3"/>
  <c r="J87" i="3"/>
  <c r="I87" i="3"/>
  <c r="H87" i="3"/>
  <c r="G87" i="3"/>
  <c r="F87" i="3"/>
  <c r="E87" i="3"/>
  <c r="D87" i="3"/>
  <c r="C87" i="3"/>
  <c r="L86" i="3"/>
  <c r="K86" i="3"/>
  <c r="J86" i="3"/>
  <c r="I86" i="3"/>
  <c r="H86" i="3"/>
  <c r="G86" i="3"/>
  <c r="F86" i="3"/>
  <c r="E86" i="3"/>
  <c r="D86" i="3"/>
  <c r="C86" i="3"/>
  <c r="L85" i="3"/>
  <c r="K85" i="3"/>
  <c r="K95" i="3" s="1"/>
  <c r="J85" i="3"/>
  <c r="J95" i="3" s="1"/>
  <c r="I85" i="3"/>
  <c r="H85" i="3"/>
  <c r="G85" i="3"/>
  <c r="G95" i="3" s="1"/>
  <c r="F85" i="3"/>
  <c r="E85" i="3"/>
  <c r="D85" i="3"/>
  <c r="C85" i="3"/>
  <c r="C95" i="3" s="1"/>
  <c r="L84" i="3"/>
  <c r="L95" i="3" s="1"/>
  <c r="K84" i="3"/>
  <c r="J84" i="3"/>
  <c r="I84" i="3"/>
  <c r="I95" i="3" s="1"/>
  <c r="H84" i="3"/>
  <c r="H95" i="3" s="1"/>
  <c r="G84" i="3"/>
  <c r="F84" i="3"/>
  <c r="E84" i="3"/>
  <c r="E95" i="3" s="1"/>
  <c r="D84" i="3"/>
  <c r="D95" i="3" s="1"/>
  <c r="C84" i="3"/>
  <c r="L80" i="3"/>
  <c r="K80" i="3"/>
  <c r="J80" i="3"/>
  <c r="I80" i="3"/>
  <c r="H80" i="3"/>
  <c r="G80" i="3"/>
  <c r="F80" i="3"/>
  <c r="E80" i="3"/>
  <c r="D80" i="3"/>
  <c r="C80" i="3"/>
  <c r="L79" i="3"/>
  <c r="K79" i="3"/>
  <c r="J79" i="3"/>
  <c r="I79" i="3"/>
  <c r="H79" i="3"/>
  <c r="G79" i="3"/>
  <c r="F79" i="3"/>
  <c r="E79" i="3"/>
  <c r="D79" i="3"/>
  <c r="C79" i="3"/>
  <c r="L78" i="3"/>
  <c r="K78" i="3"/>
  <c r="J78" i="3"/>
  <c r="I78" i="3"/>
  <c r="H78" i="3"/>
  <c r="G78" i="3"/>
  <c r="F78" i="3"/>
  <c r="E78" i="3"/>
  <c r="D78" i="3"/>
  <c r="C78" i="3"/>
  <c r="L77" i="3"/>
  <c r="K77" i="3"/>
  <c r="J77" i="3"/>
  <c r="I77" i="3"/>
  <c r="H77" i="3"/>
  <c r="G77" i="3"/>
  <c r="F77" i="3"/>
  <c r="E77" i="3"/>
  <c r="D77" i="3"/>
  <c r="C77" i="3"/>
  <c r="L76" i="3"/>
  <c r="K76" i="3"/>
  <c r="J76" i="3"/>
  <c r="I76" i="3"/>
  <c r="H76" i="3"/>
  <c r="G76" i="3"/>
  <c r="F76" i="3"/>
  <c r="E76" i="3"/>
  <c r="D76" i="3"/>
  <c r="C76" i="3"/>
  <c r="L75" i="3"/>
  <c r="K75" i="3"/>
  <c r="J75" i="3"/>
  <c r="I75" i="3"/>
  <c r="H75" i="3"/>
  <c r="G75" i="3"/>
  <c r="F75" i="3"/>
  <c r="E75" i="3"/>
  <c r="D75" i="3"/>
  <c r="C75" i="3"/>
  <c r="L74" i="3"/>
  <c r="K74" i="3"/>
  <c r="J74" i="3"/>
  <c r="I74" i="3"/>
  <c r="H74" i="3"/>
  <c r="G74" i="3"/>
  <c r="F74" i="3"/>
  <c r="E74" i="3"/>
  <c r="D74" i="3"/>
  <c r="C74" i="3"/>
  <c r="L73" i="3"/>
  <c r="K73" i="3"/>
  <c r="K81" i="3" s="1"/>
  <c r="J73" i="3"/>
  <c r="J81" i="3" s="1"/>
  <c r="I73" i="3"/>
  <c r="H73" i="3"/>
  <c r="G73" i="3"/>
  <c r="G81" i="3" s="1"/>
  <c r="F73" i="3"/>
  <c r="F81" i="3" s="1"/>
  <c r="E73" i="3"/>
  <c r="D73" i="3"/>
  <c r="C73" i="3"/>
  <c r="C81" i="3" s="1"/>
  <c r="L59" i="3"/>
  <c r="K59" i="3"/>
  <c r="J59" i="3"/>
  <c r="I59" i="3"/>
  <c r="H59" i="3"/>
  <c r="G59" i="3"/>
  <c r="F59" i="3"/>
  <c r="E59" i="3"/>
  <c r="D59" i="3"/>
  <c r="C59" i="3"/>
  <c r="L64" i="3"/>
  <c r="K64" i="3"/>
  <c r="J64" i="3"/>
  <c r="I64" i="3"/>
  <c r="H64" i="3"/>
  <c r="G64" i="3"/>
  <c r="F64" i="3"/>
  <c r="E64" i="3"/>
  <c r="D64" i="3"/>
  <c r="C64" i="3"/>
  <c r="L63" i="3"/>
  <c r="K63" i="3"/>
  <c r="K65" i="3" s="1"/>
  <c r="J63" i="3"/>
  <c r="J65" i="3" s="1"/>
  <c r="I63" i="3"/>
  <c r="H63" i="3"/>
  <c r="H30" i="6" s="1"/>
  <c r="H36" i="6" s="1"/>
  <c r="G63" i="3"/>
  <c r="G65" i="3" s="1"/>
  <c r="F63" i="3"/>
  <c r="F65" i="3" s="1"/>
  <c r="E63" i="3"/>
  <c r="D63" i="3"/>
  <c r="C63" i="3"/>
  <c r="C65" i="3" s="1"/>
  <c r="L62" i="3"/>
  <c r="L65" i="3" s="1"/>
  <c r="K62" i="3"/>
  <c r="J62" i="3"/>
  <c r="I62" i="3"/>
  <c r="I65" i="3" s="1"/>
  <c r="H62" i="3"/>
  <c r="H65" i="3" s="1"/>
  <c r="G62" i="3"/>
  <c r="F62" i="3"/>
  <c r="E62" i="3"/>
  <c r="E65" i="3" s="1"/>
  <c r="D62" i="3"/>
  <c r="D65" i="3" s="1"/>
  <c r="C62" i="3"/>
  <c r="L58" i="3"/>
  <c r="K58" i="3"/>
  <c r="J58" i="3"/>
  <c r="I58" i="3"/>
  <c r="H58" i="3"/>
  <c r="G58" i="3"/>
  <c r="F58" i="3"/>
  <c r="E58" i="3"/>
  <c r="D58" i="3"/>
  <c r="C58" i="3"/>
  <c r="L57" i="3"/>
  <c r="K57" i="3"/>
  <c r="J57" i="3"/>
  <c r="I57" i="3"/>
  <c r="H57" i="3"/>
  <c r="G57" i="3"/>
  <c r="F57" i="3"/>
  <c r="E57" i="3"/>
  <c r="D57" i="3"/>
  <c r="C57" i="3"/>
  <c r="L56" i="3"/>
  <c r="K56" i="3"/>
  <c r="K60" i="3" s="1"/>
  <c r="J56" i="3"/>
  <c r="J60" i="3" s="1"/>
  <c r="I56" i="3"/>
  <c r="H56" i="3"/>
  <c r="G56" i="3"/>
  <c r="G60" i="3" s="1"/>
  <c r="F56" i="3"/>
  <c r="F60" i="3" s="1"/>
  <c r="E56" i="3"/>
  <c r="E60" i="3" s="1"/>
  <c r="E67" i="3" s="1"/>
  <c r="E69" i="3" s="1"/>
  <c r="D56" i="3"/>
  <c r="D60" i="3" s="1"/>
  <c r="C56" i="3"/>
  <c r="C60" i="3" s="1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2" i="3"/>
  <c r="K52" i="3"/>
  <c r="J52" i="3"/>
  <c r="I52" i="3"/>
  <c r="H52" i="3"/>
  <c r="G52" i="3"/>
  <c r="F52" i="3"/>
  <c r="E52" i="3"/>
  <c r="D52" i="3"/>
  <c r="C52" i="3"/>
  <c r="L51" i="3"/>
  <c r="K51" i="3"/>
  <c r="J51" i="3"/>
  <c r="I51" i="3"/>
  <c r="H51" i="3"/>
  <c r="G51" i="3"/>
  <c r="F51" i="3"/>
  <c r="F32" i="6" s="1"/>
  <c r="E51" i="3"/>
  <c r="D51" i="3"/>
  <c r="C51" i="3"/>
  <c r="L50" i="3"/>
  <c r="L32" i="6" s="1"/>
  <c r="K50" i="3"/>
  <c r="J50" i="3"/>
  <c r="I50" i="3"/>
  <c r="H50" i="3"/>
  <c r="H32" i="6" s="1"/>
  <c r="G50" i="3"/>
  <c r="F50" i="3"/>
  <c r="E50" i="3"/>
  <c r="D50" i="3"/>
  <c r="C50" i="3"/>
  <c r="M38" i="3"/>
  <c r="M43" i="3" s="1"/>
  <c r="L38" i="3"/>
  <c r="L43" i="3" s="1"/>
  <c r="K38" i="3"/>
  <c r="K43" i="3" s="1"/>
  <c r="K10" i="6" s="1"/>
  <c r="J38" i="3"/>
  <c r="J43" i="3" s="1"/>
  <c r="I38" i="3"/>
  <c r="I43" i="3" s="1"/>
  <c r="H38" i="3"/>
  <c r="H43" i="3" s="1"/>
  <c r="G38" i="3"/>
  <c r="G43" i="3" s="1"/>
  <c r="G10" i="6" s="1"/>
  <c r="F38" i="3"/>
  <c r="F43" i="3" s="1"/>
  <c r="E38" i="3"/>
  <c r="E43" i="3" s="1"/>
  <c r="E10" i="6" s="1"/>
  <c r="D38" i="3"/>
  <c r="D43" i="3" s="1"/>
  <c r="D10" i="6" s="1"/>
  <c r="C38" i="3"/>
  <c r="C43" i="3" s="1"/>
  <c r="L32" i="3"/>
  <c r="K32" i="3"/>
  <c r="J32" i="3"/>
  <c r="I32" i="3"/>
  <c r="H32" i="3"/>
  <c r="G32" i="3"/>
  <c r="F32" i="3"/>
  <c r="E32" i="3"/>
  <c r="D32" i="3"/>
  <c r="C32" i="3"/>
  <c r="M32" i="3"/>
  <c r="M26" i="3"/>
  <c r="D26" i="3"/>
  <c r="E26" i="3"/>
  <c r="F26" i="3"/>
  <c r="G26" i="3"/>
  <c r="H26" i="3"/>
  <c r="I26" i="3"/>
  <c r="J26" i="3"/>
  <c r="K26" i="3"/>
  <c r="L26" i="3"/>
  <c r="C26" i="3"/>
  <c r="M23" i="3"/>
  <c r="D23" i="3"/>
  <c r="E23" i="3"/>
  <c r="F23" i="3"/>
  <c r="G23" i="3"/>
  <c r="H23" i="3"/>
  <c r="I23" i="3"/>
  <c r="J23" i="3"/>
  <c r="K23" i="3"/>
  <c r="L23" i="3"/>
  <c r="C23" i="3"/>
  <c r="D17" i="3"/>
  <c r="E17" i="3"/>
  <c r="F17" i="3"/>
  <c r="G17" i="3"/>
  <c r="H17" i="3"/>
  <c r="I17" i="3"/>
  <c r="J17" i="3"/>
  <c r="K17" i="3"/>
  <c r="L17" i="3"/>
  <c r="C17" i="3"/>
  <c r="M11" i="3"/>
  <c r="D11" i="3"/>
  <c r="E11" i="3"/>
  <c r="F11" i="3"/>
  <c r="G11" i="3"/>
  <c r="G30" i="6" s="1"/>
  <c r="G36" i="6" s="1"/>
  <c r="H11" i="3"/>
  <c r="H29" i="6" s="1"/>
  <c r="H35" i="6" s="1"/>
  <c r="I11" i="3"/>
  <c r="J11" i="3"/>
  <c r="K11" i="3"/>
  <c r="L11" i="3"/>
  <c r="C8" i="3"/>
  <c r="C11" i="3"/>
  <c r="C30" i="6" s="1"/>
  <c r="M8" i="3"/>
  <c r="M21" i="3" s="1"/>
  <c r="D8" i="3"/>
  <c r="E8" i="3"/>
  <c r="F8" i="3"/>
  <c r="F28" i="6" s="1"/>
  <c r="F34" i="6" s="1"/>
  <c r="G8" i="3"/>
  <c r="H8" i="3"/>
  <c r="I8" i="3"/>
  <c r="J8" i="3"/>
  <c r="K8" i="3"/>
  <c r="L8" i="3"/>
  <c r="D4" i="3"/>
  <c r="E4" i="3"/>
  <c r="F4" i="3"/>
  <c r="G4" i="3"/>
  <c r="H4" i="3"/>
  <c r="I4" i="3"/>
  <c r="J4" i="3"/>
  <c r="K4" i="3"/>
  <c r="L4" i="3"/>
  <c r="C4" i="3"/>
  <c r="B3" i="3"/>
  <c r="E1" i="2"/>
  <c r="B6" i="2"/>
  <c r="N10" i="7" l="1"/>
  <c r="I14" i="7"/>
  <c r="N14" i="7"/>
  <c r="O14" i="7" s="1"/>
  <c r="I10" i="7"/>
  <c r="I9" i="7"/>
  <c r="N9" i="7"/>
  <c r="M17" i="7"/>
  <c r="M18" i="7" s="1"/>
  <c r="M19" i="7" s="1"/>
  <c r="M20" i="7" s="1"/>
  <c r="M21" i="7" s="1"/>
  <c r="F39" i="6"/>
  <c r="F108" i="3"/>
  <c r="F40" i="6"/>
  <c r="F41" i="6"/>
  <c r="J41" i="6"/>
  <c r="J39" i="6"/>
  <c r="J40" i="6"/>
  <c r="J108" i="3"/>
  <c r="C39" i="6"/>
  <c r="C41" i="6"/>
  <c r="G41" i="6"/>
  <c r="G39" i="6"/>
  <c r="G40" i="6"/>
  <c r="G108" i="3"/>
  <c r="K41" i="6"/>
  <c r="K39" i="6"/>
  <c r="K40" i="6"/>
  <c r="K108" i="3"/>
  <c r="D67" i="3"/>
  <c r="D69" i="3" s="1"/>
  <c r="H67" i="3"/>
  <c r="H69" i="3" s="1"/>
  <c r="L67" i="3"/>
  <c r="L69" i="3" s="1"/>
  <c r="F67" i="3"/>
  <c r="F69" i="3" s="1"/>
  <c r="J67" i="3"/>
  <c r="J69" i="3" s="1"/>
  <c r="C36" i="6"/>
  <c r="C67" i="3"/>
  <c r="C69" i="3" s="1"/>
  <c r="G67" i="3"/>
  <c r="G69" i="3" s="1"/>
  <c r="K67" i="3"/>
  <c r="K69" i="3" s="1"/>
  <c r="K29" i="6"/>
  <c r="K35" i="6" s="1"/>
  <c r="K37" i="6" s="1"/>
  <c r="K30" i="6"/>
  <c r="K36" i="6" s="1"/>
  <c r="K32" i="6"/>
  <c r="K28" i="6"/>
  <c r="K34" i="6" s="1"/>
  <c r="G32" i="6"/>
  <c r="G28" i="6"/>
  <c r="G34" i="6" s="1"/>
  <c r="G31" i="6"/>
  <c r="K27" i="3"/>
  <c r="K19" i="6" s="1"/>
  <c r="G27" i="3"/>
  <c r="G19" i="6" s="1"/>
  <c r="C35" i="6"/>
  <c r="J32" i="6"/>
  <c r="F29" i="6"/>
  <c r="F35" i="6" s="1"/>
  <c r="F37" i="6" s="1"/>
  <c r="F30" i="6"/>
  <c r="F36" i="6" s="1"/>
  <c r="L10" i="6"/>
  <c r="L28" i="6"/>
  <c r="L34" i="6" s="1"/>
  <c r="L37" i="6" s="1"/>
  <c r="I30" i="6"/>
  <c r="I36" i="6" s="1"/>
  <c r="I29" i="6"/>
  <c r="I35" i="6" s="1"/>
  <c r="J29" i="6"/>
  <c r="J35" i="6" s="1"/>
  <c r="H10" i="6"/>
  <c r="N10" i="6" s="1"/>
  <c r="F31" i="6"/>
  <c r="I12" i="3"/>
  <c r="I31" i="6"/>
  <c r="I28" i="6"/>
  <c r="I34" i="6" s="1"/>
  <c r="I32" i="6"/>
  <c r="E12" i="3"/>
  <c r="E32" i="6"/>
  <c r="C32" i="6"/>
  <c r="C28" i="6"/>
  <c r="C31" i="6"/>
  <c r="E30" i="6"/>
  <c r="E36" i="6" s="1"/>
  <c r="E37" i="6" s="1"/>
  <c r="E29" i="6"/>
  <c r="E35" i="6" s="1"/>
  <c r="H60" i="3"/>
  <c r="L60" i="3"/>
  <c r="D81" i="3"/>
  <c r="H81" i="3"/>
  <c r="L81" i="3"/>
  <c r="E28" i="6"/>
  <c r="E34" i="6" s="1"/>
  <c r="G29" i="6"/>
  <c r="G35" i="6" s="1"/>
  <c r="G37" i="6" s="1"/>
  <c r="J31" i="6"/>
  <c r="B20" i="7"/>
  <c r="L31" i="6"/>
  <c r="H14" i="3"/>
  <c r="H31" i="6"/>
  <c r="H28" i="6"/>
  <c r="H34" i="6" s="1"/>
  <c r="H37" i="6" s="1"/>
  <c r="D14" i="3"/>
  <c r="D20" i="3" s="1"/>
  <c r="D31" i="6"/>
  <c r="D28" i="6"/>
  <c r="D34" i="6" s="1"/>
  <c r="D32" i="6"/>
  <c r="L30" i="6"/>
  <c r="L36" i="6" s="1"/>
  <c r="D29" i="6"/>
  <c r="D35" i="6" s="1"/>
  <c r="F10" i="6"/>
  <c r="O10" i="6" s="1"/>
  <c r="I60" i="3"/>
  <c r="I67" i="3" s="1"/>
  <c r="I69" i="3" s="1"/>
  <c r="E81" i="3"/>
  <c r="I81" i="3"/>
  <c r="J30" i="6"/>
  <c r="J36" i="6" s="1"/>
  <c r="K31" i="6"/>
  <c r="N29" i="6"/>
  <c r="N16" i="7"/>
  <c r="N12" i="7"/>
  <c r="N8" i="7"/>
  <c r="N15" i="7"/>
  <c r="N11" i="7"/>
  <c r="O11" i="7" s="1"/>
  <c r="L18" i="7"/>
  <c r="I16" i="7"/>
  <c r="I12" i="7"/>
  <c r="J13" i="7" s="1"/>
  <c r="I8" i="7"/>
  <c r="J9" i="7" s="1"/>
  <c r="I15" i="7"/>
  <c r="I11" i="7"/>
  <c r="G18" i="7"/>
  <c r="D10" i="7"/>
  <c r="D9" i="7"/>
  <c r="D16" i="7"/>
  <c r="D12" i="7"/>
  <c r="D8" i="7"/>
  <c r="D14" i="7"/>
  <c r="D13" i="7"/>
  <c r="D15" i="7"/>
  <c r="D11" i="7"/>
  <c r="E11" i="7" s="1"/>
  <c r="E27" i="3"/>
  <c r="E19" i="6" s="1"/>
  <c r="M27" i="3"/>
  <c r="I27" i="3"/>
  <c r="I19" i="6" s="1"/>
  <c r="J27" i="3"/>
  <c r="J19" i="6" s="1"/>
  <c r="F27" i="3"/>
  <c r="F19" i="6" s="1"/>
  <c r="C27" i="3"/>
  <c r="C19" i="6" s="1"/>
  <c r="L27" i="3"/>
  <c r="L19" i="6" s="1"/>
  <c r="H27" i="3"/>
  <c r="H19" i="6" s="1"/>
  <c r="D27" i="3"/>
  <c r="D19" i="6" s="1"/>
  <c r="H20" i="3"/>
  <c r="L24" i="3"/>
  <c r="H24" i="3"/>
  <c r="D24" i="3"/>
  <c r="D15" i="3"/>
  <c r="D12" i="6" s="1"/>
  <c r="H15" i="3"/>
  <c r="H12" i="6" s="1"/>
  <c r="M29" i="3"/>
  <c r="K24" i="3"/>
  <c r="J24" i="3"/>
  <c r="F24" i="3"/>
  <c r="G24" i="3"/>
  <c r="C24" i="3"/>
  <c r="I24" i="3"/>
  <c r="E24" i="3"/>
  <c r="M24" i="3"/>
  <c r="C12" i="3"/>
  <c r="G14" i="3"/>
  <c r="G15" i="3" s="1"/>
  <c r="G12" i="6" s="1"/>
  <c r="J12" i="3"/>
  <c r="F12" i="3"/>
  <c r="H12" i="3"/>
  <c r="M14" i="3"/>
  <c r="M15" i="3" s="1"/>
  <c r="L12" i="3"/>
  <c r="D12" i="3"/>
  <c r="C18" i="3"/>
  <c r="C18" i="6" s="1"/>
  <c r="M9" i="3"/>
  <c r="L9" i="3"/>
  <c r="L6" i="6" s="1"/>
  <c r="H9" i="3"/>
  <c r="H6" i="6" s="1"/>
  <c r="L18" i="3"/>
  <c r="L18" i="6" s="1"/>
  <c r="H18" i="3"/>
  <c r="H18" i="6" s="1"/>
  <c r="D18" i="3"/>
  <c r="D18" i="6" s="1"/>
  <c r="K9" i="3"/>
  <c r="K6" i="6" s="1"/>
  <c r="G9" i="3"/>
  <c r="G6" i="6" s="1"/>
  <c r="L14" i="3"/>
  <c r="K18" i="3"/>
  <c r="K18" i="6" s="1"/>
  <c r="G18" i="3"/>
  <c r="G18" i="6" s="1"/>
  <c r="J14" i="3"/>
  <c r="F14" i="3"/>
  <c r="K12" i="3"/>
  <c r="G12" i="3"/>
  <c r="K14" i="3"/>
  <c r="M12" i="3"/>
  <c r="J18" i="3"/>
  <c r="J18" i="6" s="1"/>
  <c r="F18" i="3"/>
  <c r="F18" i="6" s="1"/>
  <c r="M18" i="3"/>
  <c r="F9" i="3"/>
  <c r="F6" i="6" s="1"/>
  <c r="J9" i="3"/>
  <c r="J6" i="6" s="1"/>
  <c r="I18" i="3"/>
  <c r="I18" i="6" s="1"/>
  <c r="E18" i="3"/>
  <c r="E18" i="6" s="1"/>
  <c r="D9" i="3"/>
  <c r="D6" i="6" s="1"/>
  <c r="C14" i="3"/>
  <c r="I14" i="3"/>
  <c r="E14" i="3"/>
  <c r="E9" i="3"/>
  <c r="E6" i="6" s="1"/>
  <c r="I9" i="3"/>
  <c r="I6" i="6" s="1"/>
  <c r="O15" i="7" l="1"/>
  <c r="J10" i="7"/>
  <c r="O16" i="7"/>
  <c r="E12" i="7"/>
  <c r="E14" i="7"/>
  <c r="E9" i="7"/>
  <c r="O9" i="7"/>
  <c r="D17" i="7"/>
  <c r="E17" i="7" s="1"/>
  <c r="E8" i="7"/>
  <c r="E10" i="7"/>
  <c r="D18" i="7"/>
  <c r="O10" i="7"/>
  <c r="E15" i="7"/>
  <c r="E13" i="7"/>
  <c r="E16" i="7"/>
  <c r="J16" i="7"/>
  <c r="O12" i="7"/>
  <c r="D19" i="7"/>
  <c r="O13" i="7"/>
  <c r="D21" i="3"/>
  <c r="D13" i="6" s="1"/>
  <c r="D14" i="6"/>
  <c r="D20" i="6" s="1"/>
  <c r="D22" i="6"/>
  <c r="D7" i="6"/>
  <c r="D26" i="6"/>
  <c r="D29" i="3"/>
  <c r="N6" i="6"/>
  <c r="O6" i="6"/>
  <c r="E39" i="6"/>
  <c r="E41" i="6"/>
  <c r="E108" i="3"/>
  <c r="E40" i="6"/>
  <c r="D40" i="6"/>
  <c r="D41" i="6"/>
  <c r="D39" i="6"/>
  <c r="O30" i="6"/>
  <c r="N18" i="6"/>
  <c r="O18" i="6"/>
  <c r="H21" i="3"/>
  <c r="H13" i="6" s="1"/>
  <c r="H14" i="6"/>
  <c r="H20" i="6" s="1"/>
  <c r="H22" i="6"/>
  <c r="H26" i="6"/>
  <c r="N31" i="6"/>
  <c r="O31" i="6"/>
  <c r="O36" i="6"/>
  <c r="N36" i="6"/>
  <c r="C40" i="6"/>
  <c r="O19" i="6"/>
  <c r="N19" i="6"/>
  <c r="B21" i="7"/>
  <c r="D21" i="7" s="1"/>
  <c r="D20" i="7"/>
  <c r="E20" i="7" s="1"/>
  <c r="L40" i="6"/>
  <c r="L39" i="6"/>
  <c r="L108" i="3"/>
  <c r="L41" i="6"/>
  <c r="N28" i="6"/>
  <c r="C34" i="6"/>
  <c r="O28" i="6"/>
  <c r="J37" i="6"/>
  <c r="C37" i="6"/>
  <c r="O35" i="6"/>
  <c r="N35" i="6"/>
  <c r="I39" i="6"/>
  <c r="I40" i="6"/>
  <c r="I108" i="3"/>
  <c r="I41" i="6"/>
  <c r="N41" i="6" s="1"/>
  <c r="D37" i="6"/>
  <c r="H40" i="6"/>
  <c r="H108" i="3"/>
  <c r="H39" i="6"/>
  <c r="O39" i="6" s="1"/>
  <c r="H41" i="6"/>
  <c r="N32" i="6"/>
  <c r="O32" i="6"/>
  <c r="I37" i="6"/>
  <c r="O29" i="6"/>
  <c r="N30" i="6"/>
  <c r="O41" i="6"/>
  <c r="L19" i="7"/>
  <c r="J15" i="7"/>
  <c r="J11" i="7"/>
  <c r="J14" i="7"/>
  <c r="G19" i="7"/>
  <c r="J12" i="7"/>
  <c r="G20" i="3"/>
  <c r="M30" i="3"/>
  <c r="M35" i="3"/>
  <c r="M33" i="3"/>
  <c r="D30" i="3"/>
  <c r="D15" i="6" s="1"/>
  <c r="D35" i="3"/>
  <c r="D33" i="3"/>
  <c r="H29" i="3"/>
  <c r="C20" i="3"/>
  <c r="C15" i="3"/>
  <c r="C12" i="6" s="1"/>
  <c r="F20" i="3"/>
  <c r="F15" i="3"/>
  <c r="F12" i="6" s="1"/>
  <c r="L20" i="3"/>
  <c r="L15" i="3"/>
  <c r="L12" i="6" s="1"/>
  <c r="E20" i="3"/>
  <c r="E15" i="3"/>
  <c r="E12" i="6" s="1"/>
  <c r="K20" i="3"/>
  <c r="K15" i="3"/>
  <c r="K12" i="6" s="1"/>
  <c r="J20" i="3"/>
  <c r="J15" i="3"/>
  <c r="J12" i="6" s="1"/>
  <c r="G21" i="3"/>
  <c r="G13" i="6" s="1"/>
  <c r="G29" i="3"/>
  <c r="I20" i="3"/>
  <c r="I15" i="3"/>
  <c r="I12" i="6" s="1"/>
  <c r="E18" i="7" l="1"/>
  <c r="E19" i="7"/>
  <c r="N12" i="6"/>
  <c r="O12" i="6"/>
  <c r="N37" i="6"/>
  <c r="O37" i="6"/>
  <c r="K22" i="6"/>
  <c r="K7" i="6"/>
  <c r="K26" i="6"/>
  <c r="K14" i="6"/>
  <c r="K20" i="6" s="1"/>
  <c r="L26" i="6"/>
  <c r="L7" i="6"/>
  <c r="L14" i="6"/>
  <c r="L20" i="6" s="1"/>
  <c r="L22" i="6"/>
  <c r="C26" i="6"/>
  <c r="C22" i="6"/>
  <c r="C14" i="6"/>
  <c r="I7" i="7"/>
  <c r="G22" i="6"/>
  <c r="G26" i="6"/>
  <c r="G7" i="6"/>
  <c r="G14" i="6"/>
  <c r="G20" i="6" s="1"/>
  <c r="H8" i="6"/>
  <c r="E21" i="7"/>
  <c r="N40" i="6"/>
  <c r="O40" i="6"/>
  <c r="D24" i="6"/>
  <c r="N39" i="6"/>
  <c r="I26" i="6"/>
  <c r="I14" i="6"/>
  <c r="I20" i="6" s="1"/>
  <c r="I22" i="6"/>
  <c r="I7" i="6"/>
  <c r="J14" i="6"/>
  <c r="J20" i="6" s="1"/>
  <c r="J22" i="6"/>
  <c r="J7" i="6"/>
  <c r="J26" i="6"/>
  <c r="E26" i="6"/>
  <c r="E22" i="6"/>
  <c r="E7" i="6"/>
  <c r="O7" i="6" s="1"/>
  <c r="E14" i="6"/>
  <c r="E20" i="6" s="1"/>
  <c r="F14" i="6"/>
  <c r="F20" i="6" s="1"/>
  <c r="F26" i="6"/>
  <c r="F7" i="6"/>
  <c r="F22" i="6"/>
  <c r="O34" i="6"/>
  <c r="N34" i="6"/>
  <c r="H7" i="6"/>
  <c r="L20" i="7"/>
  <c r="G20" i="7"/>
  <c r="H30" i="3"/>
  <c r="H15" i="6" s="1"/>
  <c r="H35" i="3"/>
  <c r="H33" i="3"/>
  <c r="M36" i="3"/>
  <c r="M40" i="3"/>
  <c r="G35" i="3"/>
  <c r="G33" i="3"/>
  <c r="D40" i="3"/>
  <c r="D36" i="3"/>
  <c r="D16" i="6" s="1"/>
  <c r="I21" i="3"/>
  <c r="I13" i="6" s="1"/>
  <c r="I29" i="3"/>
  <c r="I8" i="6" s="1"/>
  <c r="J21" i="3"/>
  <c r="J13" i="6" s="1"/>
  <c r="J29" i="3"/>
  <c r="E21" i="3"/>
  <c r="E13" i="6" s="1"/>
  <c r="E29" i="3"/>
  <c r="E8" i="6" s="1"/>
  <c r="F21" i="3"/>
  <c r="F13" i="6" s="1"/>
  <c r="F29" i="3"/>
  <c r="G30" i="3"/>
  <c r="G15" i="6" s="1"/>
  <c r="K21" i="3"/>
  <c r="K13" i="6" s="1"/>
  <c r="K29" i="3"/>
  <c r="K8" i="6" s="1"/>
  <c r="L21" i="3"/>
  <c r="L13" i="6" s="1"/>
  <c r="L29" i="3"/>
  <c r="C21" i="3"/>
  <c r="C13" i="6" s="1"/>
  <c r="C29" i="3"/>
  <c r="D8" i="6" s="1"/>
  <c r="I20" i="7" l="1"/>
  <c r="N26" i="6"/>
  <c r="O26" i="6"/>
  <c r="N13" i="6"/>
  <c r="O13" i="6"/>
  <c r="I17" i="7"/>
  <c r="J17" i="7" s="1"/>
  <c r="J8" i="7"/>
  <c r="I18" i="7"/>
  <c r="N7" i="6"/>
  <c r="L8" i="6"/>
  <c r="G9" i="6"/>
  <c r="G24" i="6"/>
  <c r="H24" i="6"/>
  <c r="H9" i="6"/>
  <c r="O14" i="6"/>
  <c r="C20" i="6"/>
  <c r="N14" i="6"/>
  <c r="F8" i="6"/>
  <c r="N8" i="6" s="1"/>
  <c r="J8" i="6"/>
  <c r="I19" i="7"/>
  <c r="O22" i="6"/>
  <c r="N22" i="6"/>
  <c r="G8" i="6"/>
  <c r="L21" i="7"/>
  <c r="G21" i="7"/>
  <c r="I21" i="7" s="1"/>
  <c r="D44" i="3"/>
  <c r="D46" i="3" s="1"/>
  <c r="D23" i="6" s="1"/>
  <c r="D25" i="6" s="1"/>
  <c r="M46" i="3"/>
  <c r="M44" i="3"/>
  <c r="K35" i="3"/>
  <c r="K33" i="3"/>
  <c r="E35" i="3"/>
  <c r="E33" i="3"/>
  <c r="I35" i="3"/>
  <c r="I33" i="3"/>
  <c r="C35" i="3"/>
  <c r="C33" i="3"/>
  <c r="G36" i="3"/>
  <c r="G16" i="6" s="1"/>
  <c r="G40" i="3"/>
  <c r="H40" i="3"/>
  <c r="H36" i="3"/>
  <c r="H16" i="6" s="1"/>
  <c r="L35" i="3"/>
  <c r="L33" i="3"/>
  <c r="F35" i="3"/>
  <c r="F33" i="3"/>
  <c r="J35" i="3"/>
  <c r="J33" i="3"/>
  <c r="C30" i="3"/>
  <c r="C15" i="6" s="1"/>
  <c r="K30" i="3"/>
  <c r="K15" i="6" s="1"/>
  <c r="F30" i="3"/>
  <c r="F15" i="6" s="1"/>
  <c r="J30" i="3"/>
  <c r="J15" i="6" s="1"/>
  <c r="L30" i="3"/>
  <c r="L15" i="6" s="1"/>
  <c r="E30" i="3"/>
  <c r="E15" i="6" s="1"/>
  <c r="I30" i="3"/>
  <c r="I15" i="6" s="1"/>
  <c r="J19" i="7" l="1"/>
  <c r="J20" i="7"/>
  <c r="N15" i="6"/>
  <c r="O15" i="6"/>
  <c r="F9" i="6"/>
  <c r="F24" i="6"/>
  <c r="C24" i="6"/>
  <c r="D9" i="6"/>
  <c r="E24" i="6"/>
  <c r="E9" i="6"/>
  <c r="N20" i="6"/>
  <c r="O20" i="6"/>
  <c r="O8" i="6"/>
  <c r="J9" i="6"/>
  <c r="J24" i="6"/>
  <c r="L24" i="6"/>
  <c r="L9" i="6"/>
  <c r="I24" i="6"/>
  <c r="I9" i="6"/>
  <c r="K9" i="6"/>
  <c r="K24" i="6"/>
  <c r="J18" i="7"/>
  <c r="J21" i="7"/>
  <c r="G44" i="3"/>
  <c r="G46" i="3" s="1"/>
  <c r="G23" i="6" s="1"/>
  <c r="G25" i="6" s="1"/>
  <c r="H46" i="3"/>
  <c r="H23" i="6" s="1"/>
  <c r="H25" i="6" s="1"/>
  <c r="H41" i="3"/>
  <c r="H44" i="3"/>
  <c r="F36" i="3"/>
  <c r="F16" i="6" s="1"/>
  <c r="F40" i="3"/>
  <c r="C40" i="3"/>
  <c r="N7" i="7" s="1"/>
  <c r="N17" i="7" s="1"/>
  <c r="C36" i="3"/>
  <c r="C16" i="6" s="1"/>
  <c r="E36" i="3"/>
  <c r="E16" i="6" s="1"/>
  <c r="E40" i="3"/>
  <c r="J36" i="3"/>
  <c r="J16" i="6" s="1"/>
  <c r="J40" i="3"/>
  <c r="L40" i="3"/>
  <c r="L36" i="3"/>
  <c r="L16" i="6" s="1"/>
  <c r="I36" i="3"/>
  <c r="I16" i="6" s="1"/>
  <c r="I40" i="3"/>
  <c r="K40" i="3"/>
  <c r="K36" i="3"/>
  <c r="K16" i="6" s="1"/>
  <c r="O17" i="7" l="1"/>
  <c r="O8" i="7"/>
  <c r="N18" i="7"/>
  <c r="N19" i="7"/>
  <c r="N20" i="7"/>
  <c r="N21" i="7"/>
  <c r="O9" i="6"/>
  <c r="N9" i="6"/>
  <c r="O16" i="6"/>
  <c r="N16" i="6"/>
  <c r="O24" i="6"/>
  <c r="N24" i="6"/>
  <c r="E41" i="3"/>
  <c r="E44" i="3"/>
  <c r="E46" i="3" s="1"/>
  <c r="E23" i="6" s="1"/>
  <c r="E25" i="6" s="1"/>
  <c r="F41" i="3"/>
  <c r="F44" i="3"/>
  <c r="F46" i="3" s="1"/>
  <c r="F23" i="6" s="1"/>
  <c r="F25" i="6" s="1"/>
  <c r="K41" i="3"/>
  <c r="K44" i="3"/>
  <c r="K46" i="3" s="1"/>
  <c r="K23" i="6" s="1"/>
  <c r="K25" i="6" s="1"/>
  <c r="L41" i="3"/>
  <c r="L44" i="3"/>
  <c r="L46" i="3" s="1"/>
  <c r="L23" i="6" s="1"/>
  <c r="L25" i="6" s="1"/>
  <c r="I46" i="3"/>
  <c r="I23" i="6" s="1"/>
  <c r="I25" i="6" s="1"/>
  <c r="I41" i="3"/>
  <c r="I44" i="3"/>
  <c r="J41" i="3"/>
  <c r="J44" i="3"/>
  <c r="J46" i="3"/>
  <c r="J23" i="6" s="1"/>
  <c r="J25" i="6" s="1"/>
  <c r="G41" i="3"/>
  <c r="C44" i="3"/>
  <c r="C46" i="3" s="1"/>
  <c r="C23" i="6" s="1"/>
  <c r="D41" i="3"/>
  <c r="O21" i="7" l="1"/>
  <c r="O18" i="7"/>
  <c r="O19" i="7"/>
  <c r="N23" i="6"/>
  <c r="O23" i="6"/>
  <c r="C25" i="6"/>
  <c r="O20" i="7"/>
  <c r="N25" i="6" l="1"/>
  <c r="O25" i="6"/>
</calcChain>
</file>

<file path=xl/sharedStrings.xml><?xml version="1.0" encoding="utf-8"?>
<sst xmlns="http://schemas.openxmlformats.org/spreadsheetml/2006/main" count="595" uniqueCount="387">
  <si>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</si>
  <si>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</si>
  <si>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</si>
  <si>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</si>
  <si>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</si>
  <si>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</si>
  <si>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</si>
  <si>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</si>
  <si>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</si>
  <si>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</si>
  <si>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</si>
  <si>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</si>
  <si>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</si>
  <si>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</si>
  <si>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</si>
  <si>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</si>
  <si>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</si>
  <si>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</si>
  <si>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</si>
  <si>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</si>
  <si>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</si>
  <si>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</si>
  <si>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</si>
  <si>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</si>
  <si>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</si>
  <si>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</si>
  <si>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</si>
  <si>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</si>
  <si>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</si>
  <si>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</si>
  <si>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</si>
  <si>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</si>
  <si>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</si>
  <si>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</si>
  <si>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</si>
  <si>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</si>
  <si>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</si>
  <si>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</si>
  <si>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</si>
  <si>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</si>
  <si>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</si>
  <si>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</si>
  <si>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</si>
  <si>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</si>
  <si>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</si>
  <si>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</si>
  <si>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</si>
  <si>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</si>
  <si>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</si>
  <si>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</si>
  <si>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</si>
  <si>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</si>
  <si>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ASIAN PAINTS LTD</t>
  </si>
  <si>
    <t>COMPANY NAME</t>
  </si>
  <si>
    <t>Years</t>
  </si>
  <si>
    <t>LTM</t>
  </si>
  <si>
    <t>Income Statement</t>
  </si>
  <si>
    <t>#</t>
  </si>
  <si>
    <t>Sales Growth</t>
  </si>
  <si>
    <t>COGS</t>
  </si>
  <si>
    <t>COGS % Sales</t>
  </si>
  <si>
    <t>Gross Profit</t>
  </si>
  <si>
    <t>Selling &amp; General Expenses</t>
  </si>
  <si>
    <t>S&amp;G Exp % Sales</t>
  </si>
  <si>
    <t>EBITDA</t>
  </si>
  <si>
    <t>EBITDA % Sales</t>
  </si>
  <si>
    <t>Interest % Sales</t>
  </si>
  <si>
    <t>Depreciation % Sales</t>
  </si>
  <si>
    <t>Gross Margins</t>
  </si>
  <si>
    <t>Earnings Before Tax</t>
  </si>
  <si>
    <t>EBT % Sales</t>
  </si>
  <si>
    <t>Effecttive Tax Rate</t>
  </si>
  <si>
    <t>Fig in Cr.</t>
  </si>
  <si>
    <t>Net Profit</t>
  </si>
  <si>
    <t>Net Margins</t>
  </si>
  <si>
    <t>No of Equity Shares</t>
  </si>
  <si>
    <t>Earnings per Share</t>
  </si>
  <si>
    <t>Dividend per Share</t>
  </si>
  <si>
    <t>EPS Growth %</t>
  </si>
  <si>
    <t>Dividend Payout Ratio</t>
  </si>
  <si>
    <t>Reatined Earnings</t>
  </si>
  <si>
    <t>Balance Sheet</t>
  </si>
  <si>
    <t xml:space="preserve">Total Liabilities </t>
  </si>
  <si>
    <t>Fixed Assets Net Block</t>
  </si>
  <si>
    <t>Total Assets</t>
  </si>
  <si>
    <t>Total Non Current Assets</t>
  </si>
  <si>
    <t>Total Current Assets</t>
  </si>
  <si>
    <t>Check</t>
  </si>
  <si>
    <t>Cash Flow Statement</t>
  </si>
  <si>
    <t xml:space="preserve">Cash from Operating Activities 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</si>
  <si>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</si>
  <si>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</si>
  <si>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</si>
  <si>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</si>
  <si>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</si>
  <si>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</si>
  <si>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</si>
  <si>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</si>
  <si>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</si>
  <si>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</si>
  <si>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</si>
  <si>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</si>
  <si>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</si>
  <si>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</si>
  <si>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</si>
  <si>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</si>
  <si>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</si>
  <si>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</si>
  <si>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</si>
  <si>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</si>
  <si>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</si>
  <si>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</si>
  <si>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</si>
  <si>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</si>
  <si>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</si>
  <si>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</si>
  <si>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</si>
  <si>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</si>
  <si>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Opeating Activities</t>
  </si>
  <si>
    <t>Investing Activities</t>
  </si>
  <si>
    <t>Cash from Investing Activities</t>
  </si>
  <si>
    <t>Financing Activities</t>
  </si>
  <si>
    <t>Cash from Financing Activities</t>
  </si>
  <si>
    <t>Gross Margin</t>
  </si>
  <si>
    <t>EBITDA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</si>
  <si>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</si>
  <si>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</si>
  <si>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</si>
  <si>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</si>
  <si>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</si>
  <si>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</si>
  <si>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</si>
  <si>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</si>
  <si>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</si>
  <si>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</si>
  <si>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</si>
  <si>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Retrun on Equity%</t>
  </si>
  <si>
    <t>Self Sustained Growth Rate</t>
  </si>
  <si>
    <t>Interest Coverage Ratio</t>
  </si>
  <si>
    <t>Debtor Turnover Ratio</t>
  </si>
  <si>
    <t>Creditor Turnover Ratio</t>
  </si>
  <si>
    <t>Invenory Turnover Ratio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</si>
  <si>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</si>
  <si>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</si>
  <si>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</si>
  <si>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</si>
  <si>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</si>
  <si>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</si>
  <si>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</si>
  <si>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</si>
  <si>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</si>
  <si>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EBT Growth</t>
  </si>
  <si>
    <t>Mean</t>
  </si>
  <si>
    <t>Trend</t>
  </si>
  <si>
    <t>Year Weight</t>
  </si>
  <si>
    <t xml:space="preserve">Year </t>
  </si>
  <si>
    <t>EPS</t>
  </si>
  <si>
    <t>EPS Growth</t>
  </si>
  <si>
    <t>Median</t>
  </si>
  <si>
    <t>1. The financial model is in three sheets, named HistoricalFS, Ratio Analysis and Forecasting.</t>
  </si>
  <si>
    <t>2. Do not change any data in the red tab sheets. Those sheets are the source sheets.</t>
  </si>
  <si>
    <t>3. To use this model as a template: Go to https://www.screener.in/excel/ and upload this file in the choose file section. Then to use it, just find any company on Screener.in and click export to excel.</t>
  </si>
  <si>
    <t>4. Some minor changes have to be made based on company to company and data provided.</t>
  </si>
  <si>
    <t>5. For any queries in the model, please contact me on LinkedIn, https://www.linkedin.com/in/kavanshah00/</t>
  </si>
  <si>
    <t>6. The password to unlock the sheets is 123.</t>
  </si>
  <si>
    <t>Particulars</t>
  </si>
  <si>
    <t>Total Liabilities</t>
  </si>
  <si>
    <t>NIFTY Returns</t>
  </si>
  <si>
    <t xml:space="preserve">Beta Drifting </t>
  </si>
  <si>
    <t>Regression Beta 2 Years Weekly</t>
  </si>
  <si>
    <t>Asian Paints Weekly Return</t>
  </si>
  <si>
    <t>Date</t>
  </si>
  <si>
    <t>Returns</t>
  </si>
  <si>
    <t>Closing Price</t>
  </si>
  <si>
    <t>-</t>
  </si>
  <si>
    <t>Levered Raw Beta</t>
  </si>
  <si>
    <t>Raw Beta Weight</t>
  </si>
  <si>
    <t xml:space="preserve">Market Beta </t>
  </si>
  <si>
    <t>Market Beta Weight</t>
  </si>
  <si>
    <t>Adjusted 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</si>
  <si>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</si>
  <si>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</si>
  <si>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</si>
  <si>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</si>
  <si>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</si>
  <si>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</si>
  <si>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</si>
  <si>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</si>
  <si>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</si>
  <si>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</si>
  <si>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</si>
  <si>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</si>
  <si>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</si>
  <si>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</si>
  <si>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</si>
  <si>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</si>
  <si>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</si>
  <si>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</si>
  <si>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</si>
  <si>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</si>
  <si>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</si>
  <si>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</si>
  <si>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</si>
  <si>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</si>
  <si>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</t>
  </si>
  <si>
    <t>S.No.</t>
  </si>
  <si>
    <t>Name</t>
  </si>
  <si>
    <t>Debt / Eq</t>
  </si>
  <si>
    <t>Asian Paints</t>
  </si>
  <si>
    <t>Berger Paints</t>
  </si>
  <si>
    <t>Kansai Nerolac</t>
  </si>
  <si>
    <t>Akzo Nobel</t>
  </si>
  <si>
    <t>Indigo Paints</t>
  </si>
  <si>
    <t>CMP Rs.</t>
  </si>
  <si>
    <t>No. Eq. Shares Cr.</t>
  </si>
  <si>
    <t>Debt Rs.Cr.</t>
  </si>
  <si>
    <t>Cash End Rs.Cr.</t>
  </si>
  <si>
    <t>EV Rs.Cr.</t>
  </si>
  <si>
    <t>Sales Rs.Cr.</t>
  </si>
  <si>
    <t>NP 12M Rs.Cr.</t>
  </si>
  <si>
    <t xml:space="preserve">Mar Cap Rs.Cr. </t>
  </si>
  <si>
    <t>Weighted Average Cost of Capital</t>
  </si>
  <si>
    <t>All figures are in INR unless stated otherwise</t>
  </si>
  <si>
    <t>Peer Comps</t>
  </si>
  <si>
    <t>Debt/</t>
  </si>
  <si>
    <t>Levered</t>
  </si>
  <si>
    <t>Unlevered</t>
  </si>
  <si>
    <t>Name of the Comp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</si>
  <si>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</si>
  <si>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</si>
  <si>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</si>
  <si>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</si>
  <si>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</si>
  <si>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</si>
  <si>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</si>
  <si>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</si>
  <si>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India</t>
  </si>
  <si>
    <t>Average</t>
  </si>
  <si>
    <t>Cost of Debt</t>
  </si>
  <si>
    <t>Cost of Equity</t>
  </si>
  <si>
    <t>Pre Tax Cost of Debt</t>
  </si>
  <si>
    <t>Risk Free Rate</t>
  </si>
  <si>
    <t>Tax Rate</t>
  </si>
  <si>
    <t>Equity Risk Premium</t>
  </si>
  <si>
    <t>Post Tax Cost of Debt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</si>
  <si>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</si>
  <si>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Capital Structure</t>
  </si>
  <si>
    <t>Levered Beta</t>
  </si>
  <si>
    <t>Current</t>
  </si>
  <si>
    <t>Target</t>
  </si>
  <si>
    <t>Comps Median Unlevered Beta</t>
  </si>
  <si>
    <t>Target Debt/Equity</t>
  </si>
  <si>
    <t>Market Cap</t>
  </si>
  <si>
    <t>Total Capital</t>
  </si>
  <si>
    <t>Debt/Equity</t>
  </si>
  <si>
    <t>Weighted Average Cost of Cpaital</t>
  </si>
  <si>
    <t>Equity Weight</t>
  </si>
  <si>
    <t>Notes:</t>
  </si>
  <si>
    <t>1. Tax Rate considered as Marginal Tax Rate for the country</t>
  </si>
  <si>
    <t>2. Levered Beta is based on 5 Yeay Monthly Data</t>
  </si>
  <si>
    <t>Debt Weight</t>
  </si>
  <si>
    <t>3. Unlevered Beta = Levered Beta/(1+(1-Tax Rate)*Debt/Equity)</t>
  </si>
  <si>
    <t>4. Levered Beta = Unlevered Beta*(1+(1-Tax Rate)*Debt/Equity)</t>
  </si>
  <si>
    <t>WACC</t>
  </si>
  <si>
    <t>Annual</t>
  </si>
  <si>
    <t>Year</t>
  </si>
  <si>
    <t xml:space="preserve">Retrun on Markets </t>
  </si>
  <si>
    <t>Average Retun</t>
  </si>
  <si>
    <t>Dividend Yield</t>
  </si>
  <si>
    <t xml:space="preserve">Total 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</si>
  <si>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</si>
  <si>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</si>
  <si>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</si>
  <si>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</si>
  <si>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</si>
  <si>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</si>
  <si>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</si>
  <si>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</si>
  <si>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</si>
  <si>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</si>
  <si>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</si>
  <si>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</si>
  <si>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</si>
  <si>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</si>
  <si>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</si>
  <si>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</si>
  <si>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</si>
  <si>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</si>
  <si>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</si>
  <si>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</si>
  <si>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</si>
  <si>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</si>
  <si>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</si>
  <si>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</si>
  <si>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</si>
  <si>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 xml:space="preserve">Trade receivables </t>
  </si>
  <si>
    <t>Cash Equivalents</t>
  </si>
  <si>
    <t>Short term loans</t>
  </si>
  <si>
    <t>Other asset items</t>
  </si>
  <si>
    <t xml:space="preserve">Particulars </t>
  </si>
  <si>
    <t>Calculation of ROIC</t>
  </si>
  <si>
    <t>Current Assets</t>
  </si>
  <si>
    <t>Current Liabilities</t>
  </si>
  <si>
    <t xml:space="preserve">Total Current Liabilities </t>
  </si>
  <si>
    <t>Net Working Capital</t>
  </si>
  <si>
    <t>Non Current Assets</t>
  </si>
  <si>
    <t xml:space="preserve">Accumulated Depreciation 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</si>
  <si>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</si>
  <si>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</si>
  <si>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</si>
  <si>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</si>
  <si>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</si>
  <si>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</si>
  <si>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</si>
  <si>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</si>
  <si>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EBIT (1-T)</t>
  </si>
  <si>
    <t>Reinvestment</t>
  </si>
  <si>
    <t>Reinvestment Rate</t>
  </si>
  <si>
    <t>4 Year Average</t>
  </si>
  <si>
    <t>4 Year Median</t>
  </si>
  <si>
    <t>Calculation of Growth Rate</t>
  </si>
  <si>
    <t>Intrinsic Growth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</si>
  <si>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</si>
  <si>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</si>
  <si>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</si>
  <si>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</si>
  <si>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</si>
  <si>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</si>
  <si>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</si>
  <si>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</si>
  <si>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Terminal Value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</si>
  <si>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</si>
  <si>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</si>
  <si>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</si>
  <si>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</si>
  <si>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</si>
  <si>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</si>
  <si>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</si>
  <si>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Equity Value per Share</t>
  </si>
  <si>
    <t>Value of Equity</t>
  </si>
  <si>
    <t>No. of Shares</t>
  </si>
  <si>
    <t>Equity Value per Share</t>
  </si>
  <si>
    <t>Share Price</t>
  </si>
  <si>
    <t>Discount/Premium</t>
  </si>
  <si>
    <t>Figures in Crores</t>
  </si>
  <si>
    <t>Comparable Companies Valuation</t>
  </si>
  <si>
    <t>Market Data</t>
  </si>
  <si>
    <t>Financials</t>
  </si>
  <si>
    <t>Valuation</t>
  </si>
  <si>
    <t>Company</t>
  </si>
  <si>
    <t>Ticker</t>
  </si>
  <si>
    <t>Shares Outstanding</t>
  </si>
  <si>
    <t>Equity Value</t>
  </si>
  <si>
    <t>Net Debt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</si>
  <si>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</si>
  <si>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</si>
  <si>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</si>
  <si>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</si>
  <si>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</si>
  <si>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</si>
  <si>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</si>
  <si>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</si>
  <si>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</si>
  <si>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</si>
  <si>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</si>
  <si>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</si>
  <si>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Implied Value per Share</t>
  </si>
  <si>
    <t>Shalimar Paints</t>
  </si>
  <si>
    <t>Retina Paints</t>
  </si>
  <si>
    <t>EV Val</t>
  </si>
  <si>
    <t>Asian Paints Comparable Valuation</t>
  </si>
  <si>
    <t>NSE: ASIANPAINT</t>
  </si>
  <si>
    <t>NSE: BERGEPAINT</t>
  </si>
  <si>
    <t>NSE: KANSAINER</t>
  </si>
  <si>
    <t>AMS: AKZA</t>
  </si>
  <si>
    <t>NSE: INDIGOPNTS</t>
  </si>
  <si>
    <t>NSE: SHALPAINTS</t>
  </si>
  <si>
    <t>BOM: 543902</t>
  </si>
  <si>
    <t>Comps</t>
  </si>
  <si>
    <t>DCF Bear</t>
  </si>
  <si>
    <t>DCF Base</t>
  </si>
  <si>
    <t>DCF Bull</t>
  </si>
  <si>
    <t>52W H/L</t>
  </si>
  <si>
    <t>OpenLow</t>
  </si>
  <si>
    <t>OpenHigh</t>
  </si>
  <si>
    <t>Football Field Analysis - Data</t>
  </si>
  <si>
    <t>Sensitivity Analysis (Value of Operating Assets)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</si>
</sst>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;&quot;₹&quot;\ \(#,##0\);\-\ "/>
    <numFmt numFmtId="167" formatCode="&quot;₹&quot;\ #,##0.0"/>
    <numFmt numFmtId="168" formatCode="&quot;₹&quot;\ #,##0.0;\-"/>
    <numFmt numFmtId="169" formatCode="&quot;₹&quot;\ #,##0.0;\ \(&quot;₹&quot;#,##0.0\);\-\ "/>
    <numFmt numFmtId="170" formatCode="&quot;₹&quot;\ #,##0.00;\ \(&quot;₹&quot;#,##0.00\);\-\ "/>
    <numFmt numFmtId="171" formatCode="0.00\x"/>
    <numFmt numFmtId="172" formatCode="0&quot; Days&quot;"/>
    <numFmt numFmtId="173" formatCode="yyyy&quot;A&quot;"/>
    <numFmt numFmtId="174" formatCode="yyyy&quot;E&quot;"/>
    <numFmt numFmtId="175" formatCode="#,##0.0"/>
    <numFmt numFmtId="176" formatCode="0,000.00%"/>
    <numFmt numFmtId="177" formatCode="mmm/yy\F"/>
    <numFmt numFmtId="178" formatCode="mmm/yy\A"/>
    <numFmt numFmtId="179" formatCode="0.000"/>
    <numFmt numFmtId="180" formatCode="0.0\x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</font>
    <font>
      <i/>
      <sz val="9"/>
      <color theme="1"/>
      <name val="Calibri"/>
      <family val="2"/>
      <scheme val="minor"/>
    </font>
    <font>
      <sz val="11"/>
      <name val="calibri"/>
      <family val="2"/>
    </font>
    <font>
      <i/>
      <u/>
      <sz val="11"/>
      <color theme="10"/>
      <name val="Calibri"/>
      <family val="2"/>
    </font>
    <font>
      <b/>
      <sz val="12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rgb="FF002060"/>
      </top>
      <bottom/>
      <diagonal/>
    </border>
    <border>
      <left/>
      <right/>
      <top/>
      <bottom style="dotted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227">
    <xf numFmtId="0" fontId="0" fillId="0" borderId="0" xfId="0"/>
    <xf numFmtId="43" fontId="0" fillId="0" borderId="0" xfId="1" applyFont="1" applyBorder="1"/>
    <xf numFmtId="164" fontId="0" fillId="0" borderId="0" xfId="1" applyNumberFormat="1" applyFont="1" applyBorder="1"/>
    <xf numFmtId="43" fontId="3" fillId="0" borderId="0" xfId="1" applyFont="1" applyBorder="1"/>
    <xf numFmtId="43" fontId="2" fillId="0" borderId="0" xfId="1" applyFont="1" applyBorder="1"/>
    <xf numFmtId="165" fontId="4" fillId="0" borderId="0" xfId="1" applyNumberFormat="1" applyFont="1" applyFill="1" applyBorder="1"/>
    <xf numFmtId="165" fontId="5" fillId="3" borderId="0" xfId="0" applyNumberFormat="1" applyFont="1" applyFill="1" applyAlignment="1">
      <alignment horizontal="center"/>
    </xf>
    <xf numFmtId="165" fontId="5" fillId="3" borderId="0" xfId="1" applyNumberFormat="1" applyFont="1" applyFill="1" applyBorder="1"/>
    <xf numFmtId="17" fontId="0" fillId="0" borderId="0" xfId="0" applyNumberFormat="1"/>
    <xf numFmtId="0" fontId="5" fillId="4" borderId="0" xfId="0" applyFont="1" applyFill="1"/>
    <xf numFmtId="17" fontId="5" fillId="4" borderId="0" xfId="0" applyNumberFormat="1" applyFont="1" applyFill="1"/>
    <xf numFmtId="17" fontId="5" fillId="4" borderId="0" xfId="0" applyNumberFormat="1" applyFont="1" applyFill="1" applyAlignment="1">
      <alignment horizontal="right"/>
    </xf>
    <xf numFmtId="0" fontId="3" fillId="0" borderId="0" xfId="0" applyFont="1"/>
    <xf numFmtId="0" fontId="8" fillId="0" borderId="0" xfId="0" applyFont="1"/>
    <xf numFmtId="166" fontId="8" fillId="0" borderId="0" xfId="0" applyNumberFormat="1" applyFont="1"/>
    <xf numFmtId="10" fontId="8" fillId="0" borderId="0" xfId="4" applyNumberFormat="1" applyFont="1"/>
    <xf numFmtId="167" fontId="0" fillId="0" borderId="0" xfId="0" applyNumberFormat="1"/>
    <xf numFmtId="168" fontId="0" fillId="0" borderId="0" xfId="0" applyNumberFormat="1"/>
    <xf numFmtId="0" fontId="3" fillId="5" borderId="0" xfId="0" applyFont="1" applyFill="1"/>
    <xf numFmtId="0" fontId="0" fillId="5" borderId="0" xfId="0" applyFill="1"/>
    <xf numFmtId="17" fontId="5" fillId="6" borderId="0" xfId="0" applyNumberFormat="1" applyFont="1" applyFill="1"/>
    <xf numFmtId="17" fontId="5" fillId="6" borderId="0" xfId="0" applyNumberFormat="1" applyFont="1" applyFill="1" applyAlignment="1">
      <alignment horizontal="right"/>
    </xf>
    <xf numFmtId="10" fontId="0" fillId="0" borderId="0" xfId="4" applyNumberFormat="1" applyFont="1"/>
    <xf numFmtId="0" fontId="0" fillId="0" borderId="0" xfId="0" applyAlignment="1">
      <alignment wrapText="1"/>
    </xf>
    <xf numFmtId="0" fontId="5" fillId="6" borderId="0" xfId="0" applyFont="1" applyFill="1" applyAlignment="1">
      <alignment wrapText="1"/>
    </xf>
    <xf numFmtId="17" fontId="5" fillId="6" borderId="0" xfId="0" applyNumberFormat="1" applyFont="1" applyFill="1" applyAlignment="1">
      <alignment wrapText="1"/>
    </xf>
    <xf numFmtId="17" fontId="5" fillId="6" borderId="0" xfId="0" applyNumberFormat="1" applyFont="1" applyFill="1" applyAlignment="1">
      <alignment horizontal="right" wrapText="1"/>
    </xf>
    <xf numFmtId="17" fontId="0" fillId="0" borderId="0" xfId="0" applyNumberFormat="1" applyAlignment="1">
      <alignment wrapText="1"/>
    </xf>
    <xf numFmtId="17" fontId="0" fillId="6" borderId="0" xfId="0" applyNumberFormat="1" applyFill="1"/>
    <xf numFmtId="0" fontId="0" fillId="6" borderId="0" xfId="0" applyFill="1"/>
    <xf numFmtId="0" fontId="3" fillId="6" borderId="0" xfId="0" applyFont="1" applyFill="1"/>
    <xf numFmtId="169" fontId="0" fillId="0" borderId="0" xfId="0" applyNumberFormat="1"/>
    <xf numFmtId="170" fontId="0" fillId="0" borderId="0" xfId="0" applyNumberFormat="1"/>
    <xf numFmtId="0" fontId="9" fillId="0" borderId="0" xfId="0" applyFont="1"/>
    <xf numFmtId="3" fontId="0" fillId="0" borderId="0" xfId="0" applyNumberFormat="1"/>
    <xf numFmtId="0" fontId="3" fillId="0" borderId="1" xfId="0" applyFont="1" applyBorder="1"/>
    <xf numFmtId="167" fontId="3" fillId="0" borderId="1" xfId="0" applyNumberFormat="1" applyFont="1" applyBorder="1"/>
    <xf numFmtId="167" fontId="0" fillId="0" borderId="1" xfId="0" applyNumberFormat="1" applyBorder="1"/>
    <xf numFmtId="169" fontId="3" fillId="0" borderId="2" xfId="0" applyNumberFormat="1" applyFont="1" applyBorder="1"/>
    <xf numFmtId="0" fontId="3" fillId="0" borderId="2" xfId="0" applyFont="1" applyBorder="1"/>
    <xf numFmtId="170" fontId="3" fillId="0" borderId="2" xfId="0" applyNumberFormat="1" applyFont="1" applyBorder="1"/>
    <xf numFmtId="0" fontId="0" fillId="0" borderId="3" xfId="0" applyBorder="1"/>
    <xf numFmtId="10" fontId="2" fillId="0" borderId="3" xfId="4" applyNumberFormat="1" applyFont="1" applyBorder="1"/>
    <xf numFmtId="10" fontId="0" fillId="0" borderId="0" xfId="4" applyNumberFormat="1" applyFont="1" applyBorder="1"/>
    <xf numFmtId="0" fontId="0" fillId="0" borderId="4" xfId="0" applyBorder="1"/>
    <xf numFmtId="10" fontId="0" fillId="0" borderId="4" xfId="4" applyNumberFormat="1" applyFont="1" applyBorder="1"/>
    <xf numFmtId="10" fontId="0" fillId="0" borderId="3" xfId="4" applyNumberFormat="1" applyFont="1" applyBorder="1"/>
    <xf numFmtId="171" fontId="0" fillId="0" borderId="4" xfId="0" applyNumberFormat="1" applyBorder="1"/>
    <xf numFmtId="171" fontId="0" fillId="0" borderId="3" xfId="0" applyNumberFormat="1" applyBorder="1"/>
    <xf numFmtId="171" fontId="0" fillId="0" borderId="0" xfId="0" applyNumberFormat="1"/>
    <xf numFmtId="172" fontId="0" fillId="0" borderId="3" xfId="0" applyNumberFormat="1" applyBorder="1"/>
    <xf numFmtId="172" fontId="0" fillId="0" borderId="0" xfId="0" applyNumberFormat="1"/>
    <xf numFmtId="172" fontId="0" fillId="0" borderId="4" xfId="0" applyNumberFormat="1" applyBorder="1"/>
    <xf numFmtId="17" fontId="5" fillId="4" borderId="0" xfId="0" applyNumberFormat="1" applyFont="1" applyFill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165" fontId="5" fillId="6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173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8" borderId="0" xfId="0" applyFill="1" applyAlignment="1">
      <alignment horizontal="left"/>
    </xf>
    <xf numFmtId="174" fontId="0" fillId="8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0" fontId="0" fillId="8" borderId="0" xfId="4" applyNumberFormat="1" applyFont="1" applyFill="1"/>
    <xf numFmtId="0" fontId="3" fillId="5" borderId="5" xfId="0" applyFont="1" applyFill="1" applyBorder="1" applyAlignment="1">
      <alignment horizontal="left"/>
    </xf>
    <xf numFmtId="17" fontId="3" fillId="5" borderId="5" xfId="0" applyNumberFormat="1" applyFont="1" applyFill="1" applyBorder="1" applyAlignment="1">
      <alignment horizontal="right"/>
    </xf>
    <xf numFmtId="10" fontId="3" fillId="0" borderId="0" xfId="4" applyNumberFormat="1" applyFont="1"/>
    <xf numFmtId="43" fontId="3" fillId="0" borderId="0" xfId="0" applyNumberFormat="1" applyFont="1" applyAlignment="1">
      <alignment horizontal="left"/>
    </xf>
    <xf numFmtId="4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10" fontId="0" fillId="0" borderId="0" xfId="4" applyNumberFormat="1" applyFont="1" applyAlignment="1">
      <alignment horizontal="right"/>
    </xf>
    <xf numFmtId="2" fontId="0" fillId="0" borderId="0" xfId="0" applyNumberFormat="1"/>
    <xf numFmtId="0" fontId="3" fillId="9" borderId="0" xfId="0" applyFont="1" applyFill="1"/>
    <xf numFmtId="2" fontId="3" fillId="9" borderId="0" xfId="0" applyNumberFormat="1" applyFont="1" applyFill="1"/>
    <xf numFmtId="10" fontId="10" fillId="0" borderId="0" xfId="4" applyNumberFormat="1" applyFont="1" applyAlignment="1"/>
    <xf numFmtId="2" fontId="10" fillId="0" borderId="0" xfId="0" applyNumberFormat="1" applyFont="1"/>
    <xf numFmtId="0" fontId="0" fillId="0" borderId="6" xfId="0" applyBorder="1"/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Continuous"/>
    </xf>
    <xf numFmtId="0" fontId="11" fillId="5" borderId="0" xfId="0" applyFont="1" applyFill="1"/>
    <xf numFmtId="0" fontId="12" fillId="0" borderId="0" xfId="0" applyFont="1"/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10" fontId="0" fillId="0" borderId="7" xfId="4" applyNumberFormat="1" applyFont="1" applyBorder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175" fontId="1" fillId="0" borderId="0" xfId="0" applyNumberFormat="1" applyFont="1"/>
    <xf numFmtId="10" fontId="14" fillId="0" borderId="0" xfId="0" applyNumberFormat="1" applyFont="1" applyAlignment="1">
      <alignment vertical="top"/>
    </xf>
    <xf numFmtId="10" fontId="0" fillId="10" borderId="0" xfId="4" applyNumberFormat="1" applyFont="1" applyFill="1"/>
    <xf numFmtId="2" fontId="14" fillId="0" borderId="0" xfId="0" applyNumberFormat="1" applyFont="1"/>
    <xf numFmtId="2" fontId="0" fillId="10" borderId="0" xfId="0" applyNumberFormat="1" applyFill="1"/>
    <xf numFmtId="10" fontId="1" fillId="0" borderId="0" xfId="0" applyNumberFormat="1" applyFont="1" applyAlignment="1">
      <alignment vertical="top"/>
    </xf>
    <xf numFmtId="0" fontId="3" fillId="0" borderId="9" xfId="0" applyFont="1" applyBorder="1"/>
    <xf numFmtId="10" fontId="0" fillId="0" borderId="9" xfId="0" applyNumberFormat="1" applyBorder="1"/>
    <xf numFmtId="2" fontId="0" fillId="0" borderId="9" xfId="0" applyNumberFormat="1" applyBorder="1"/>
    <xf numFmtId="0" fontId="3" fillId="0" borderId="7" xfId="0" applyFont="1" applyBorder="1"/>
    <xf numFmtId="10" fontId="0" fillId="0" borderId="7" xfId="0" applyNumberFormat="1" applyBorder="1"/>
    <xf numFmtId="2" fontId="0" fillId="0" borderId="7" xfId="0" applyNumberFormat="1" applyBorder="1"/>
    <xf numFmtId="10" fontId="0" fillId="0" borderId="0" xfId="0" applyNumberFormat="1"/>
    <xf numFmtId="10" fontId="10" fillId="0" borderId="0" xfId="0" applyNumberFormat="1" applyFont="1"/>
    <xf numFmtId="9" fontId="0" fillId="0" borderId="0" xfId="0" applyNumberFormat="1"/>
    <xf numFmtId="0" fontId="0" fillId="0" borderId="10" xfId="0" applyBorder="1"/>
    <xf numFmtId="10" fontId="0" fillId="10" borderId="10" xfId="0" applyNumberFormat="1" applyFill="1" applyBorder="1"/>
    <xf numFmtId="175" fontId="0" fillId="0" borderId="10" xfId="0" applyNumberFormat="1" applyBorder="1"/>
    <xf numFmtId="10" fontId="0" fillId="0" borderId="10" xfId="4" applyNumberFormat="1" applyFont="1" applyBorder="1"/>
    <xf numFmtId="2" fontId="0" fillId="10" borderId="10" xfId="0" applyNumberFormat="1" applyFill="1" applyBorder="1"/>
    <xf numFmtId="0" fontId="0" fillId="6" borderId="0" xfId="0" applyFill="1" applyAlignment="1">
      <alignment horizontal="right"/>
    </xf>
    <xf numFmtId="10" fontId="0" fillId="6" borderId="0" xfId="0" applyNumberFormat="1" applyFill="1" applyAlignment="1">
      <alignment horizontal="right"/>
    </xf>
    <xf numFmtId="10" fontId="0" fillId="6" borderId="0" xfId="0" applyNumberFormat="1" applyFill="1"/>
    <xf numFmtId="0" fontId="15" fillId="0" borderId="0" xfId="0" applyFont="1"/>
    <xf numFmtId="0" fontId="15" fillId="0" borderId="0" xfId="0" applyFont="1" applyAlignment="1">
      <alignment vertical="top"/>
    </xf>
    <xf numFmtId="10" fontId="0" fillId="6" borderId="0" xfId="4" applyNumberFormat="1" applyFont="1" applyFill="1" applyBorder="1"/>
    <xf numFmtId="0" fontId="3" fillId="10" borderId="0" xfId="0" applyFont="1" applyFill="1"/>
    <xf numFmtId="10" fontId="3" fillId="10" borderId="0" xfId="0" applyNumberFormat="1" applyFont="1" applyFill="1"/>
    <xf numFmtId="0" fontId="1" fillId="0" borderId="0" xfId="0" applyFont="1"/>
    <xf numFmtId="2" fontId="16" fillId="0" borderId="0" xfId="0" applyNumberFormat="1" applyFont="1"/>
    <xf numFmtId="2" fontId="0" fillId="0" borderId="0" xfId="4" applyNumberFormat="1" applyFont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8" borderId="0" xfId="0" applyFont="1" applyFill="1"/>
    <xf numFmtId="10" fontId="3" fillId="8" borderId="0" xfId="0" applyNumberFormat="1" applyFont="1" applyFill="1"/>
    <xf numFmtId="0" fontId="17" fillId="0" borderId="0" xfId="3" applyFont="1" applyAlignment="1" applyProtection="1"/>
    <xf numFmtId="176" fontId="0" fillId="0" borderId="4" xfId="4" applyNumberFormat="1" applyFont="1" applyBorder="1"/>
    <xf numFmtId="43" fontId="3" fillId="0" borderId="0" xfId="0" applyNumberFormat="1" applyFont="1"/>
    <xf numFmtId="43" fontId="0" fillId="0" borderId="0" xfId="0" applyNumberFormat="1"/>
    <xf numFmtId="0" fontId="5" fillId="7" borderId="0" xfId="0" applyFont="1" applyFill="1"/>
    <xf numFmtId="17" fontId="5" fillId="7" borderId="0" xfId="0" applyNumberFormat="1" applyFont="1" applyFill="1"/>
    <xf numFmtId="0" fontId="5" fillId="6" borderId="0" xfId="0" applyFont="1" applyFill="1"/>
    <xf numFmtId="169" fontId="0" fillId="0" borderId="1" xfId="0" applyNumberFormat="1" applyBorder="1"/>
    <xf numFmtId="0" fontId="3" fillId="0" borderId="11" xfId="0" applyFont="1" applyBorder="1"/>
    <xf numFmtId="169" fontId="3" fillId="0" borderId="11" xfId="0" applyNumberFormat="1" applyFont="1" applyBorder="1"/>
    <xf numFmtId="169" fontId="3" fillId="0" borderId="12" xfId="0" applyNumberFormat="1" applyFont="1" applyBorder="1"/>
    <xf numFmtId="169" fontId="0" fillId="0" borderId="13" xfId="0" applyNumberFormat="1" applyBorder="1"/>
    <xf numFmtId="169" fontId="0" fillId="0" borderId="5" xfId="0" applyNumberFormat="1" applyBorder="1"/>
    <xf numFmtId="169" fontId="0" fillId="0" borderId="12" xfId="0" applyNumberFormat="1" applyBorder="1"/>
    <xf numFmtId="169" fontId="0" fillId="0" borderId="14" xfId="0" applyNumberFormat="1" applyBorder="1"/>
    <xf numFmtId="0" fontId="0" fillId="7" borderId="0" xfId="0" applyFill="1"/>
    <xf numFmtId="0" fontId="0" fillId="0" borderId="1" xfId="0" applyBorder="1"/>
    <xf numFmtId="170" fontId="0" fillId="0" borderId="1" xfId="0" applyNumberFormat="1" applyBorder="1"/>
    <xf numFmtId="0" fontId="3" fillId="0" borderId="15" xfId="0" applyFont="1" applyBorder="1"/>
    <xf numFmtId="170" fontId="3" fillId="0" borderId="15" xfId="0" applyNumberFormat="1" applyFont="1" applyBorder="1"/>
    <xf numFmtId="0" fontId="3" fillId="0" borderId="16" xfId="0" applyFont="1" applyBorder="1"/>
    <xf numFmtId="170" fontId="3" fillId="0" borderId="16" xfId="0" applyNumberFormat="1" applyFont="1" applyBorder="1"/>
    <xf numFmtId="170" fontId="3" fillId="0" borderId="0" xfId="0" applyNumberFormat="1" applyFont="1"/>
    <xf numFmtId="10" fontId="3" fillId="0" borderId="16" xfId="4" applyNumberFormat="1" applyFont="1" applyBorder="1"/>
    <xf numFmtId="10" fontId="10" fillId="0" borderId="1" xfId="0" applyNumberFormat="1" applyFont="1" applyBorder="1"/>
    <xf numFmtId="10" fontId="4" fillId="0" borderId="1" xfId="0" applyNumberFormat="1" applyFont="1" applyBorder="1"/>
    <xf numFmtId="10" fontId="3" fillId="9" borderId="0" xfId="0" applyNumberFormat="1" applyFont="1" applyFill="1"/>
    <xf numFmtId="10" fontId="0" fillId="0" borderId="1" xfId="0" applyNumberFormat="1" applyBorder="1"/>
    <xf numFmtId="10" fontId="3" fillId="0" borderId="16" xfId="0" applyNumberFormat="1" applyFont="1" applyBorder="1"/>
    <xf numFmtId="177" fontId="5" fillId="7" borderId="0" xfId="0" applyNumberFormat="1" applyFont="1" applyFill="1"/>
    <xf numFmtId="178" fontId="5" fillId="7" borderId="0" xfId="0" applyNumberFormat="1" applyFont="1" applyFill="1"/>
    <xf numFmtId="0" fontId="0" fillId="9" borderId="0" xfId="0" applyFill="1"/>
    <xf numFmtId="10" fontId="10" fillId="9" borderId="0" xfId="0" applyNumberFormat="1" applyFont="1" applyFill="1"/>
    <xf numFmtId="10" fontId="0" fillId="9" borderId="0" xfId="0" applyNumberFormat="1" applyFill="1"/>
    <xf numFmtId="0" fontId="0" fillId="10" borderId="0" xfId="0" applyFill="1"/>
    <xf numFmtId="43" fontId="0" fillId="10" borderId="1" xfId="0" applyNumberFormat="1" applyFill="1" applyBorder="1"/>
    <xf numFmtId="43" fontId="0" fillId="0" borderId="1" xfId="0" applyNumberFormat="1" applyBorder="1"/>
    <xf numFmtId="10" fontId="10" fillId="10" borderId="1" xfId="0" applyNumberFormat="1" applyFont="1" applyFill="1" applyBorder="1"/>
    <xf numFmtId="10" fontId="0" fillId="10" borderId="1" xfId="0" applyNumberFormat="1" applyFill="1" applyBorder="1"/>
    <xf numFmtId="0" fontId="0" fillId="10" borderId="1" xfId="0" applyFill="1" applyBorder="1"/>
    <xf numFmtId="0" fontId="10" fillId="0" borderId="1" xfId="0" applyFont="1" applyBorder="1"/>
    <xf numFmtId="179" fontId="0" fillId="0" borderId="1" xfId="0" applyNumberFormat="1" applyBorder="1"/>
    <xf numFmtId="0" fontId="3" fillId="10" borderId="16" xfId="0" applyFont="1" applyFill="1" applyBorder="1"/>
    <xf numFmtId="43" fontId="3" fillId="0" borderId="16" xfId="0" applyNumberFormat="1" applyFont="1" applyBorder="1"/>
    <xf numFmtId="171" fontId="0" fillId="0" borderId="0" xfId="4" applyNumberFormat="1" applyFont="1"/>
    <xf numFmtId="0" fontId="18" fillId="0" borderId="5" xfId="0" applyFont="1" applyBorder="1"/>
    <xf numFmtId="0" fontId="3" fillId="0" borderId="5" xfId="0" applyFont="1" applyBorder="1"/>
    <xf numFmtId="2" fontId="5" fillId="0" borderId="0" xfId="0" applyNumberFormat="1" applyFont="1"/>
    <xf numFmtId="0" fontId="5" fillId="7" borderId="0" xfId="0" applyFont="1" applyFill="1" applyAlignment="1">
      <alignment horizontal="right" wrapText="1"/>
    </xf>
    <xf numFmtId="2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 wrapText="1"/>
    </xf>
    <xf numFmtId="2" fontId="5" fillId="0" borderId="0" xfId="0" applyNumberFormat="1" applyFont="1" applyAlignment="1">
      <alignment horizontal="right"/>
    </xf>
    <xf numFmtId="2" fontId="4" fillId="9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3" fontId="4" fillId="9" borderId="1" xfId="0" applyNumberFormat="1" applyFont="1" applyFill="1" applyBorder="1" applyAlignment="1">
      <alignment horizontal="right" wrapText="1"/>
    </xf>
    <xf numFmtId="4" fontId="4" fillId="9" borderId="1" xfId="0" applyNumberFormat="1" applyFont="1" applyFill="1" applyBorder="1" applyAlignment="1">
      <alignment horizontal="right" wrapText="1"/>
    </xf>
    <xf numFmtId="3" fontId="4" fillId="9" borderId="1" xfId="0" applyNumberFormat="1" applyFont="1" applyFill="1" applyBorder="1" applyAlignment="1">
      <alignment horizontal="right"/>
    </xf>
    <xf numFmtId="2" fontId="4" fillId="9" borderId="1" xfId="0" applyNumberFormat="1" applyFont="1" applyFill="1" applyBorder="1" applyAlignment="1">
      <alignment horizontal="right"/>
    </xf>
    <xf numFmtId="180" fontId="4" fillId="9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80" fontId="4" fillId="0" borderId="1" xfId="0" applyNumberFormat="1" applyFont="1" applyBorder="1" applyAlignment="1">
      <alignment horizontal="right"/>
    </xf>
    <xf numFmtId="0" fontId="0" fillId="9" borderId="1" xfId="0" applyFill="1" applyBorder="1"/>
    <xf numFmtId="180" fontId="0" fillId="9" borderId="1" xfId="0" applyNumberFormat="1" applyFill="1" applyBorder="1"/>
    <xf numFmtId="0" fontId="3" fillId="9" borderId="1" xfId="0" applyFont="1" applyFill="1" applyBorder="1"/>
    <xf numFmtId="180" fontId="3" fillId="9" borderId="1" xfId="0" applyNumberFormat="1" applyFont="1" applyFill="1" applyBorder="1"/>
    <xf numFmtId="0" fontId="5" fillId="7" borderId="5" xfId="0" applyFont="1" applyFill="1" applyBorder="1"/>
    <xf numFmtId="0" fontId="6" fillId="7" borderId="0" xfId="0" applyFont="1" applyFill="1"/>
    <xf numFmtId="3" fontId="0" fillId="0" borderId="1" xfId="0" applyNumberFormat="1" applyBorder="1"/>
    <xf numFmtId="4" fontId="0" fillId="0" borderId="1" xfId="0" applyNumberFormat="1" applyBorder="1"/>
    <xf numFmtId="4" fontId="0" fillId="0" borderId="0" xfId="0" applyNumberFormat="1"/>
    <xf numFmtId="0" fontId="3" fillId="9" borderId="11" xfId="0" applyFont="1" applyFill="1" applyBorder="1"/>
    <xf numFmtId="175" fontId="3" fillId="9" borderId="11" xfId="0" applyNumberFormat="1" applyFont="1" applyFill="1" applyBorder="1"/>
    <xf numFmtId="175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3" fontId="5" fillId="0" borderId="0" xfId="0" applyNumberFormat="1" applyFont="1"/>
    <xf numFmtId="9" fontId="3" fillId="0" borderId="0" xfId="0" applyNumberFormat="1" applyFont="1"/>
    <xf numFmtId="10" fontId="3" fillId="0" borderId="0" xfId="0" applyNumberFormat="1" applyFont="1"/>
    <xf numFmtId="9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75" fontId="0" fillId="9" borderId="0" xfId="0" applyNumberFormat="1" applyFill="1"/>
    <xf numFmtId="0" fontId="5" fillId="0" borderId="0" xfId="0" applyFont="1"/>
    <xf numFmtId="171" fontId="0" fillId="0" borderId="0" xfId="4" applyNumberFormat="1" applyFont="1" applyFill="1"/>
    <xf numFmtId="0" fontId="5" fillId="4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7" borderId="17" xfId="0" applyFont="1" applyFill="1" applyBorder="1" applyAlignment="1">
      <alignment horizontal="center"/>
    </xf>
    <xf numFmtId="43" fontId="7" fillId="0" borderId="0" xfId="3" applyNumberFormat="1" applyBorder="1" applyAlignment="1" applyProtection="1">
      <alignment horizontal="center"/>
    </xf>
    <xf numFmtId="43" fontId="5" fillId="2" borderId="0" xfId="2" applyNumberFormat="1" applyFont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6" fillId="6" borderId="0" xfId="0" applyFont="1" applyFill="1"/>
    <xf numFmtId="0" fontId="5" fillId="6" borderId="0" xfId="0" applyFont="1" applyFill="1"/>
    <xf numFmtId="0" fontId="6" fillId="6" borderId="0" xfId="0" applyFont="1" applyFill="1" applyAlignment="1">
      <alignment horizontal="center"/>
    </xf>
    <xf numFmtId="2" fontId="6" fillId="6" borderId="0" xfId="0" applyNumberFormat="1" applyFont="1" applyFill="1"/>
    <xf numFmtId="4" fontId="6" fillId="6" borderId="0" xfId="0" applyNumberFormat="1" applyFont="1" applyFill="1"/>
  </cellXfs>
  <cellStyles count="5">
    <cellStyle name="Accent6 2" xfId="2" xr:uid="{5054DACD-7F4D-41D9-A28E-9460BABF36E9}"/>
    <cellStyle name="Comma 2" xfId="1" xr:uid="{10358678-81D3-4C1A-9B6B-AA3935971301}"/>
    <cellStyle name="Hyperlink" xfId="3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rgbClr val="002060"/>
                </a:solidFill>
              </a:rPr>
              <a:t>Football</a:t>
            </a:r>
            <a:r>
              <a:rPr lang="en-GB" sz="1200" b="1" baseline="0">
                <a:solidFill>
                  <a:srgbClr val="002060"/>
                </a:solidFill>
              </a:rPr>
              <a:t> Field Analysis - Valuation Summary (Rs)</a:t>
            </a:r>
            <a:endParaRPr lang="en-GB" sz="12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Field'!$N$5:$N$9</c:f>
              <c:numCache>
                <c:formatCode>0.00</c:formatCode>
                <c:ptCount val="5"/>
                <c:pt idx="0" formatCode="General">
                  <c:v>2048.8000000000002</c:v>
                </c:pt>
                <c:pt idx="1">
                  <c:v>1137.1572228922623</c:v>
                </c:pt>
                <c:pt idx="2">
                  <c:v>1277.5605166590331</c:v>
                </c:pt>
                <c:pt idx="3">
                  <c:v>1588.5743532818099</c:v>
                </c:pt>
                <c:pt idx="4" formatCode="#,##0.00">
                  <c:v>2422.9499999999998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1-47DB-91A9-A45ED226D6E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Field'!$O$5:$O$9</c:f>
              <c:numCache>
                <c:formatCode>0.00</c:formatCode>
                <c:ptCount val="5"/>
                <c:pt idx="0" formatCode="General">
                  <c:v>2048.8000000000002</c:v>
                </c:pt>
                <c:pt idx="1">
                  <c:v>1137.1572228922623</c:v>
                </c:pt>
                <c:pt idx="2">
                  <c:v>1277.5605166590331</c:v>
                </c:pt>
                <c:pt idx="3">
                  <c:v>1588.5743532818099</c:v>
                </c:pt>
                <c:pt idx="4" formatCode="#,##0.00">
                  <c:v>2422.9499999999998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1-47DB-91A9-A45ED226D6E4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Field'!$P$5:$P$9</c:f>
              <c:numCache>
                <c:formatCode>0.00</c:formatCode>
                <c:ptCount val="5"/>
                <c:pt idx="0" formatCode="General">
                  <c:v>2898.2299856047453</c:v>
                </c:pt>
                <c:pt idx="1">
                  <c:v>1588.5743532818099</c:v>
                </c:pt>
                <c:pt idx="2">
                  <c:v>1974.476825234673</c:v>
                </c:pt>
                <c:pt idx="3">
                  <c:v>3243.7704980434846</c:v>
                </c:pt>
                <c:pt idx="4" formatCode="#,##0.00">
                  <c:v>3422.95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01-47DB-91A9-A45ED226D6E4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Field'!$Q$5:$Q$9</c:f>
              <c:numCache>
                <c:formatCode>0.00</c:formatCode>
                <c:ptCount val="5"/>
                <c:pt idx="0" formatCode="General">
                  <c:v>2898.2299856047453</c:v>
                </c:pt>
                <c:pt idx="1">
                  <c:v>1588.5743532818099</c:v>
                </c:pt>
                <c:pt idx="2">
                  <c:v>1974.476825234673</c:v>
                </c:pt>
                <c:pt idx="3">
                  <c:v>3243.7704980434846</c:v>
                </c:pt>
                <c:pt idx="4" formatCode="#,##0.00">
                  <c:v>3422.95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01-47DB-91A9-A45ED226D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rgbClr val="002060"/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750541279"/>
        <c:axId val="1750537439"/>
      </c:stockChart>
      <c:catAx>
        <c:axId val="175054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37439"/>
        <c:crosses val="autoZero"/>
        <c:auto val="1"/>
        <c:lblAlgn val="ctr"/>
        <c:lblOffset val="100"/>
        <c:noMultiLvlLbl val="0"/>
      </c:catAx>
      <c:valAx>
        <c:axId val="1750537439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4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1130300</xdr:colOff>
      <xdr:row>1</xdr:row>
      <xdr:rowOff>167005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8FDEC3-C7DE-2527-BD5C-00E5269D7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0"/>
          <a:ext cx="1111250" cy="353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39198</xdr:colOff>
      <xdr:row>0</xdr:row>
      <xdr:rowOff>0</xdr:rowOff>
    </xdr:from>
    <xdr:to>
      <xdr:col>1</xdr:col>
      <xdr:colOff>1089692</xdr:colOff>
      <xdr:row>1</xdr:row>
      <xdr:rowOff>152596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CC6C81-3281-442E-A565-227ABD98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630" y="0"/>
          <a:ext cx="1050494" cy="332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33421</xdr:colOff>
      <xdr:row>0</xdr:row>
      <xdr:rowOff>0</xdr:rowOff>
    </xdr:from>
    <xdr:to>
      <xdr:col>1</xdr:col>
      <xdr:colOff>1077829</xdr:colOff>
      <xdr:row>1</xdr:row>
      <xdr:rowOff>147160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F729F-6982-48C1-8DF8-CCDC1D9E8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0"/>
          <a:ext cx="1044408" cy="3309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17887</xdr:colOff>
      <xdr:row>1</xdr:row>
      <xdr:rowOff>157964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D549-214C-4EC2-98CC-E120BFEB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11" y="0"/>
          <a:ext cx="1091127" cy="3457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797399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76C4AA-39E2-4E12-BFD6-09E99839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1648299" cy="520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96389</xdr:colOff>
      <xdr:row>1</xdr:row>
      <xdr:rowOff>169012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25539C-7E33-4F7C-8D72-49EA47047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1117600" cy="3531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2</xdr:col>
      <xdr:colOff>588433</xdr:colOff>
      <xdr:row>1</xdr:row>
      <xdr:rowOff>172106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3DF2E-85AA-4A0D-A777-C041BD21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0"/>
          <a:ext cx="1121833" cy="35625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0</xdr:rowOff>
    </xdr:from>
    <xdr:to>
      <xdr:col>1</xdr:col>
      <xdr:colOff>1330683</xdr:colOff>
      <xdr:row>2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C5D627-1912-4DD6-AA4C-86F55B17B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0"/>
          <a:ext cx="1205696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355600</xdr:colOff>
      <xdr:row>1</xdr:row>
      <xdr:rowOff>148946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970F5C-8C56-2FFF-5E51-E4408DC43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054100" cy="333096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76200</xdr:rowOff>
    </xdr:from>
    <xdr:to>
      <xdr:col>8</xdr:col>
      <xdr:colOff>314325</xdr:colOff>
      <xdr:row>17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3A3F14-FE86-DF04-F09B-FA42383A8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</xdr:colOff>
      <xdr:row>7</xdr:row>
      <xdr:rowOff>95250</xdr:rowOff>
    </xdr:from>
    <xdr:to>
      <xdr:col>8</xdr:col>
      <xdr:colOff>190500</xdr:colOff>
      <xdr:row>7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B00870B-1CD6-83C1-1277-A84231A9DCCC}"/>
            </a:ext>
          </a:extLst>
        </xdr:cNvPr>
        <xdr:cNvCxnSpPr/>
      </xdr:nvCxnSpPr>
      <xdr:spPr>
        <a:xfrm>
          <a:off x="755650" y="1384300"/>
          <a:ext cx="3829050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kavanshah00/" TargetMode="External"/><Relationship Id="rId1" Type="http://schemas.openxmlformats.org/officeDocument/2006/relationships/hyperlink" Target="https://www.screener.in/exce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66CF-FA59-4B2A-A8DD-71290A1111DA}">
  <dimension ref="A1:A6"/>
  <sheetViews>
    <sheetView showGridLines="0" topLeftCell="A7" zoomScale="102" workbookViewId="0">
      <selection activeCell="A4" sqref="A4"/>
    </sheetView>
  </sheetViews>
  <sheetFormatPr defaultRowHeight="14.5" x14ac:dyDescent="0.35"/>
  <sheetData>
    <row r="1" spans="1:1" s="33" customFormat="1" x14ac:dyDescent="0.35">
      <c r="A1" s="33" t="s">
        <v>159</v>
      </c>
    </row>
    <row r="2" spans="1:1" s="33" customFormat="1" x14ac:dyDescent="0.35">
      <c r="A2" s="33" t="s">
        <v>160</v>
      </c>
    </row>
    <row r="3" spans="1:1" s="33" customFormat="1" x14ac:dyDescent="0.35">
      <c r="A3" s="129" t="s">
        <v>161</v>
      </c>
    </row>
    <row r="4" spans="1:1" s="33" customFormat="1" x14ac:dyDescent="0.35">
      <c r="A4" s="33" t="s">
        <v>162</v>
      </c>
    </row>
    <row r="5" spans="1:1" s="33" customFormat="1" x14ac:dyDescent="0.35">
      <c r="A5" s="129" t="s">
        <v>163</v>
      </c>
    </row>
    <row r="6" spans="1:1" s="33" customFormat="1" x14ac:dyDescent="0.35">
      <c r="A6" s="33" t="s">
        <v>164</v>
      </c>
    </row>
  </sheetData>
  <hyperlinks>
    <hyperlink ref="A3" r:id="rId1" display="3. To use this model as a template: Go to https://www.screener.in/excel/" xr:uid="{28AE817F-0B05-4C2A-B9D8-59C7C1685C56}"/>
    <hyperlink ref="A5" r:id="rId2" xr:uid="{32154C33-3EA8-41CC-BFEB-8DDE87A95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"/>
  <sheetViews>
    <sheetView workbookViewId="0">
      <selection activeCell="A4" sqref="A4"/>
    </sheetView>
  </sheetViews>
  <sheetFormatPr defaultRowHeight="14.5" x14ac:dyDescent="0.35"/>
  <sheetData/>
  <sheetProtection algorithmName="SHA-512" hashValue="LA+GaWUQLvaZ4em9ziSbS135zQbhnawuVw9Cd9BfNusUeFpZ3B8gWvaQImZApyEy4nlJFEFS0yWHU/RpR7NWxg==" saltValue="lhncQtqEFhWJGdhEP4jk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781C-2F80-41C4-8804-A61469D2E9C4}">
  <sheetPr>
    <pageSetUpPr fitToPage="1"/>
  </sheetPr>
  <dimension ref="A3:N108"/>
  <sheetViews>
    <sheetView showGridLines="0" tabSelected="1" zoomScale="75" zoomScaleNormal="57" workbookViewId="0">
      <pane ySplit="4" topLeftCell="A17" activePane="bottomLeft" state="frozen"/>
      <selection activeCell="A40" sqref="A40"/>
      <selection pane="bottomLeft" activeCell="A40" sqref="A40"/>
    </sheetView>
  </sheetViews>
  <sheetFormatPr defaultRowHeight="14.5" x14ac:dyDescent="0.35"/>
  <cols>
    <col min="1" max="1" width="1.81640625" customWidth="1"/>
    <col min="2" max="2" width="27.1796875" bestFit="1" customWidth="1"/>
    <col min="3" max="13" width="13" customWidth="1"/>
  </cols>
  <sheetData>
    <row r="3" spans="1:14" x14ac:dyDescent="0.35">
      <c r="B3" s="215" t="str">
        <f>"Historical Financial Statement - "&amp;'Data Sheet'!B1</f>
        <v>Historical Financial Statement - ASIAN PAINTS LTD</v>
      </c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</row>
    <row r="4" spans="1:14" x14ac:dyDescent="0.35">
      <c r="B4" s="9" t="s">
        <v>54</v>
      </c>
      <c r="C4" s="10">
        <f>'Data Sheet'!B16</f>
        <v>42094</v>
      </c>
      <c r="D4" s="10">
        <f>'Data Sheet'!C16</f>
        <v>42460</v>
      </c>
      <c r="E4" s="10">
        <f>'Data Sheet'!D16</f>
        <v>42825</v>
      </c>
      <c r="F4" s="10">
        <f>'Data Sheet'!E16</f>
        <v>43190</v>
      </c>
      <c r="G4" s="10">
        <f>'Data Sheet'!F16</f>
        <v>43555</v>
      </c>
      <c r="H4" s="10">
        <f>'Data Sheet'!G16</f>
        <v>43921</v>
      </c>
      <c r="I4" s="10">
        <f>'Data Sheet'!H16</f>
        <v>44286</v>
      </c>
      <c r="J4" s="10">
        <f>'Data Sheet'!I16</f>
        <v>44651</v>
      </c>
      <c r="K4" s="10">
        <f>'Data Sheet'!J16</f>
        <v>45016</v>
      </c>
      <c r="L4" s="10">
        <f>'Data Sheet'!K16</f>
        <v>45382</v>
      </c>
      <c r="M4" s="11" t="s">
        <v>55</v>
      </c>
      <c r="N4" s="8"/>
    </row>
    <row r="5" spans="1:14" s="29" customFormat="1" x14ac:dyDescent="0.35">
      <c r="A5"/>
      <c r="B5" s="30" t="s">
        <v>72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8"/>
    </row>
    <row r="6" spans="1:14" s="23" customFormat="1" x14ac:dyDescent="0.3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7"/>
    </row>
    <row r="7" spans="1:14" x14ac:dyDescent="0.35">
      <c r="A7" t="s">
        <v>57</v>
      </c>
      <c r="B7" s="18" t="s">
        <v>56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4" x14ac:dyDescent="0.35">
      <c r="B8" t="s">
        <v>33</v>
      </c>
      <c r="C8" s="17">
        <f>IFERROR('Data Sheet'!B17,0)</f>
        <v>13615.26</v>
      </c>
      <c r="D8" s="16">
        <f>IFERROR('Data Sheet'!C17,0)</f>
        <v>14271.49</v>
      </c>
      <c r="E8" s="16">
        <f>IFERROR('Data Sheet'!D17,0)</f>
        <v>15061.99</v>
      </c>
      <c r="F8" s="16">
        <f>IFERROR('Data Sheet'!E17,0)</f>
        <v>16824.55</v>
      </c>
      <c r="G8" s="16">
        <f>IFERROR('Data Sheet'!F17,0)</f>
        <v>19240.13</v>
      </c>
      <c r="H8" s="16">
        <f>IFERROR('Data Sheet'!G17,0)</f>
        <v>20211.25</v>
      </c>
      <c r="I8" s="16">
        <f>IFERROR('Data Sheet'!H17,0)</f>
        <v>21712.79</v>
      </c>
      <c r="J8" s="16">
        <f>IFERROR('Data Sheet'!I17,0)</f>
        <v>29101.279999999999</v>
      </c>
      <c r="K8" s="16">
        <f>IFERROR('Data Sheet'!J17,0)</f>
        <v>34488.589999999997</v>
      </c>
      <c r="L8" s="16">
        <f>IFERROR('Data Sheet'!K17,0)</f>
        <v>35494.730000000003</v>
      </c>
      <c r="M8" s="16">
        <f>IFERROR(SUM('Data Sheet'!H42:K42),0)</f>
        <v>35282.149999999994</v>
      </c>
    </row>
    <row r="9" spans="1:14" x14ac:dyDescent="0.35">
      <c r="B9" s="13" t="s">
        <v>58</v>
      </c>
      <c r="C9" s="14">
        <v>0</v>
      </c>
      <c r="D9" s="15">
        <f>D8/C8-1</f>
        <v>4.8198124751198224E-2</v>
      </c>
      <c r="E9" s="15">
        <f t="shared" ref="E9:M9" si="0">E8/D8-1</f>
        <v>5.5390151974320734E-2</v>
      </c>
      <c r="F9" s="15">
        <f t="shared" si="0"/>
        <v>0.11702039371955486</v>
      </c>
      <c r="G9" s="15">
        <f t="shared" si="0"/>
        <v>0.14357471670861943</v>
      </c>
      <c r="H9" s="15">
        <f t="shared" si="0"/>
        <v>5.0473671435691925E-2</v>
      </c>
      <c r="I9" s="15">
        <f t="shared" si="0"/>
        <v>7.4292287711052118E-2</v>
      </c>
      <c r="J9" s="15">
        <f t="shared" si="0"/>
        <v>0.34028284711453471</v>
      </c>
      <c r="K9" s="15">
        <f t="shared" si="0"/>
        <v>0.18512278497715551</v>
      </c>
      <c r="L9" s="15">
        <f t="shared" si="0"/>
        <v>2.9173126532572313E-2</v>
      </c>
      <c r="M9" s="15">
        <f t="shared" si="0"/>
        <v>-5.9890580939764293E-3</v>
      </c>
    </row>
    <row r="11" spans="1:14" x14ac:dyDescent="0.35">
      <c r="B11" t="s">
        <v>59</v>
      </c>
      <c r="C11" s="16">
        <f>IFERROR(SUM('Data Sheet'!B18,'Data Sheet'!B20:B22,-1*('Data Sheet'!B19)),0)</f>
        <v>9298.77</v>
      </c>
      <c r="D11" s="16">
        <f>IFERROR(SUM('Data Sheet'!C18,'Data Sheet'!C20:C22,-1*('Data Sheet'!C19)),0)</f>
        <v>9413.8399999999983</v>
      </c>
      <c r="E11" s="16">
        <f>IFERROR(SUM('Data Sheet'!D18,'Data Sheet'!D20:D22,-1*('Data Sheet'!D19)),0)</f>
        <v>9732.66</v>
      </c>
      <c r="F11" s="16">
        <f>IFERROR(SUM('Data Sheet'!E18,'Data Sheet'!E20:E22,-1*('Data Sheet'!E19)),0)</f>
        <v>11194.169999999998</v>
      </c>
      <c r="G11" s="16">
        <f>IFERROR(SUM('Data Sheet'!F18,'Data Sheet'!F20:F22,-1*('Data Sheet'!F19)),0)</f>
        <v>12905.81</v>
      </c>
      <c r="H11" s="16">
        <f>IFERROR(SUM('Data Sheet'!G18,'Data Sheet'!G20:G22,-1*('Data Sheet'!G19)),0)</f>
        <v>13158.020000000002</v>
      </c>
      <c r="I11" s="16">
        <f>IFERROR(SUM('Data Sheet'!H18,'Data Sheet'!H20:H22,-1*('Data Sheet'!H19)),0)</f>
        <v>14035.069999999998</v>
      </c>
      <c r="J11" s="16">
        <f>IFERROR(SUM('Data Sheet'!I18,'Data Sheet'!I20:I22,-1*('Data Sheet'!I19)),0)</f>
        <v>20590.57</v>
      </c>
      <c r="K11" s="16">
        <f>IFERROR(SUM('Data Sheet'!J18,'Data Sheet'!J20:J22,-1*('Data Sheet'!J19)),0)</f>
        <v>23766.7</v>
      </c>
      <c r="L11" s="16">
        <f>IFERROR(SUM('Data Sheet'!K18,'Data Sheet'!K20:K22,-1*('Data Sheet'!K19)),0)</f>
        <v>23009.99</v>
      </c>
      <c r="M11" s="16">
        <f>IFERROR(SUM('Data Sheet'!H43:K43),0)</f>
        <v>28124.69</v>
      </c>
    </row>
    <row r="12" spans="1:14" x14ac:dyDescent="0.35">
      <c r="B12" s="13" t="s">
        <v>60</v>
      </c>
      <c r="C12" s="15">
        <f>C11/C8</f>
        <v>0.68296675935678053</v>
      </c>
      <c r="D12" s="15">
        <f t="shared" ref="D12:M12" si="1">D11/D8</f>
        <v>0.65962558919916547</v>
      </c>
      <c r="E12" s="15">
        <f t="shared" si="1"/>
        <v>0.64617357998511482</v>
      </c>
      <c r="F12" s="15">
        <f t="shared" si="1"/>
        <v>0.66534736441687881</v>
      </c>
      <c r="G12" s="15">
        <f t="shared" si="1"/>
        <v>0.67077561326248825</v>
      </c>
      <c r="H12" s="15">
        <f t="shared" si="1"/>
        <v>0.65102455315727636</v>
      </c>
      <c r="I12" s="15">
        <f t="shared" si="1"/>
        <v>0.64639643270164715</v>
      </c>
      <c r="J12" s="15">
        <f t="shared" si="1"/>
        <v>0.70754860267314701</v>
      </c>
      <c r="K12" s="15">
        <f t="shared" si="1"/>
        <v>0.68911776329504926</v>
      </c>
      <c r="L12" s="15">
        <f t="shared" si="1"/>
        <v>0.64826496778535858</v>
      </c>
      <c r="M12" s="15">
        <f t="shared" si="1"/>
        <v>0.79713651237240368</v>
      </c>
    </row>
    <row r="14" spans="1:14" x14ac:dyDescent="0.35">
      <c r="B14" s="35" t="s">
        <v>61</v>
      </c>
      <c r="C14" s="36">
        <f>C8-C11</f>
        <v>4316.49</v>
      </c>
      <c r="D14" s="36">
        <f t="shared" ref="D14:M14" si="2">D8-D11</f>
        <v>4857.6500000000015</v>
      </c>
      <c r="E14" s="36">
        <f t="shared" si="2"/>
        <v>5329.33</v>
      </c>
      <c r="F14" s="36">
        <f t="shared" si="2"/>
        <v>5630.380000000001</v>
      </c>
      <c r="G14" s="36">
        <f t="shared" si="2"/>
        <v>6334.3200000000015</v>
      </c>
      <c r="H14" s="36">
        <f t="shared" si="2"/>
        <v>7053.2299999999977</v>
      </c>
      <c r="I14" s="36">
        <f t="shared" si="2"/>
        <v>7677.720000000003</v>
      </c>
      <c r="J14" s="36">
        <f t="shared" si="2"/>
        <v>8510.7099999999991</v>
      </c>
      <c r="K14" s="36">
        <f t="shared" si="2"/>
        <v>10721.889999999996</v>
      </c>
      <c r="L14" s="36">
        <f t="shared" si="2"/>
        <v>12484.740000000002</v>
      </c>
      <c r="M14" s="36">
        <f t="shared" si="2"/>
        <v>7157.4599999999955</v>
      </c>
    </row>
    <row r="15" spans="1:14" x14ac:dyDescent="0.35">
      <c r="B15" s="13" t="s">
        <v>68</v>
      </c>
      <c r="C15" s="15">
        <f>C14/C8</f>
        <v>0.31703324064321942</v>
      </c>
      <c r="D15" s="15">
        <f t="shared" ref="D15:M15" si="3">D14/D8</f>
        <v>0.34037441080083447</v>
      </c>
      <c r="E15" s="15">
        <f t="shared" si="3"/>
        <v>0.35382642001488518</v>
      </c>
      <c r="F15" s="15">
        <f t="shared" si="3"/>
        <v>0.33465263558312119</v>
      </c>
      <c r="G15" s="15">
        <f t="shared" si="3"/>
        <v>0.3292243867375117</v>
      </c>
      <c r="H15" s="15">
        <f t="shared" si="3"/>
        <v>0.34897544684272364</v>
      </c>
      <c r="I15" s="15">
        <f t="shared" si="3"/>
        <v>0.35360356729835285</v>
      </c>
      <c r="J15" s="15">
        <f t="shared" si="3"/>
        <v>0.29245139732685294</v>
      </c>
      <c r="K15" s="15">
        <f t="shared" si="3"/>
        <v>0.31088223670495074</v>
      </c>
      <c r="L15" s="15">
        <f t="shared" si="3"/>
        <v>0.35173503221464147</v>
      </c>
      <c r="M15" s="15">
        <f t="shared" si="3"/>
        <v>0.20286348762759629</v>
      </c>
    </row>
    <row r="17" spans="2:13" x14ac:dyDescent="0.35">
      <c r="B17" t="s">
        <v>62</v>
      </c>
      <c r="C17" s="17">
        <f>IFERROR(SUM('Data Sheet'!B23:B24),0)</f>
        <v>2073.6</v>
      </c>
      <c r="D17" s="17">
        <f>IFERROR(SUM('Data Sheet'!C23:C24),0)</f>
        <v>2132.61</v>
      </c>
      <c r="E17" s="17">
        <f>IFERROR(SUM('Data Sheet'!D23:D24),0)</f>
        <v>2335.5699999999997</v>
      </c>
      <c r="F17" s="17">
        <f>IFERROR(SUM('Data Sheet'!E23:E24),0)</f>
        <v>2426.37</v>
      </c>
      <c r="G17" s="17">
        <f>IFERROR(SUM('Data Sheet'!F23:F24),0)</f>
        <v>2569.38</v>
      </c>
      <c r="H17" s="17">
        <f>IFERROR(SUM('Data Sheet'!G23:G24),0)</f>
        <v>2896.4100000000003</v>
      </c>
      <c r="I17" s="17">
        <f>IFERROR(SUM('Data Sheet'!H23:H24),0)</f>
        <v>2822.12</v>
      </c>
      <c r="J17" s="17">
        <f>IFERROR(SUM('Data Sheet'!I23:I24),0)</f>
        <v>3707.1</v>
      </c>
      <c r="K17" s="17">
        <f>IFERROR(SUM('Data Sheet'!J23:J24),0)</f>
        <v>4462.05</v>
      </c>
      <c r="L17" s="17">
        <f>IFERROR(SUM('Data Sheet'!K23:K24),0)</f>
        <v>4899.76</v>
      </c>
      <c r="M17" s="14">
        <v>0</v>
      </c>
    </row>
    <row r="18" spans="2:13" x14ac:dyDescent="0.35">
      <c r="B18" s="15" t="s">
        <v>63</v>
      </c>
      <c r="C18" s="15">
        <f>C17/C8</f>
        <v>0.15229969901419435</v>
      </c>
      <c r="D18" s="15">
        <f t="shared" ref="D18:M18" si="4">D17/D8</f>
        <v>0.14943148893353111</v>
      </c>
      <c r="E18" s="15">
        <f t="shared" si="4"/>
        <v>0.15506383950593511</v>
      </c>
      <c r="F18" s="15">
        <f t="shared" si="4"/>
        <v>0.14421604143944414</v>
      </c>
      <c r="G18" s="15">
        <f t="shared" si="4"/>
        <v>0.13354275672773522</v>
      </c>
      <c r="H18" s="15">
        <f t="shared" si="4"/>
        <v>0.14330682169583772</v>
      </c>
      <c r="I18" s="15">
        <f t="shared" si="4"/>
        <v>0.12997500551518251</v>
      </c>
      <c r="J18" s="15">
        <f t="shared" si="4"/>
        <v>0.1273861493377611</v>
      </c>
      <c r="K18" s="15">
        <f t="shared" si="4"/>
        <v>0.12937757095897515</v>
      </c>
      <c r="L18" s="15">
        <f t="shared" si="4"/>
        <v>0.1380419008681007</v>
      </c>
      <c r="M18" s="15">
        <f t="shared" si="4"/>
        <v>0</v>
      </c>
    </row>
    <row r="20" spans="2:13" x14ac:dyDescent="0.35">
      <c r="B20" s="35" t="s">
        <v>64</v>
      </c>
      <c r="C20" s="36">
        <f>C14-C17</f>
        <v>2242.89</v>
      </c>
      <c r="D20" s="36">
        <f t="shared" ref="D20:L20" si="5">D14-D17</f>
        <v>2725.0400000000013</v>
      </c>
      <c r="E20" s="36">
        <f t="shared" si="5"/>
        <v>2993.76</v>
      </c>
      <c r="F20" s="36">
        <f t="shared" si="5"/>
        <v>3204.0100000000011</v>
      </c>
      <c r="G20" s="36">
        <f t="shared" si="5"/>
        <v>3764.9400000000014</v>
      </c>
      <c r="H20" s="36">
        <f t="shared" si="5"/>
        <v>4156.8199999999979</v>
      </c>
      <c r="I20" s="36">
        <f t="shared" si="5"/>
        <v>4855.6000000000031</v>
      </c>
      <c r="J20" s="36">
        <f t="shared" si="5"/>
        <v>4803.6099999999988</v>
      </c>
      <c r="K20" s="36">
        <f t="shared" si="5"/>
        <v>6259.8399999999956</v>
      </c>
      <c r="L20" s="36">
        <f t="shared" si="5"/>
        <v>7584.9800000000014</v>
      </c>
      <c r="M20" s="37"/>
    </row>
    <row r="21" spans="2:13" x14ac:dyDescent="0.35">
      <c r="B21" s="15" t="s">
        <v>65</v>
      </c>
      <c r="C21" s="15">
        <f>C20/C8</f>
        <v>0.16473354162902507</v>
      </c>
      <c r="D21" s="15">
        <f t="shared" ref="D21:M21" si="6">D20/D8</f>
        <v>0.19094292186730338</v>
      </c>
      <c r="E21" s="15">
        <f t="shared" si="6"/>
        <v>0.19876258050895004</v>
      </c>
      <c r="F21" s="15">
        <f t="shared" si="6"/>
        <v>0.19043659414367703</v>
      </c>
      <c r="G21" s="15">
        <f t="shared" si="6"/>
        <v>0.19568163000977651</v>
      </c>
      <c r="H21" s="15">
        <f t="shared" si="6"/>
        <v>0.20566862514688591</v>
      </c>
      <c r="I21" s="15">
        <f t="shared" si="6"/>
        <v>0.22362856178317034</v>
      </c>
      <c r="J21" s="15">
        <f t="shared" si="6"/>
        <v>0.16506524798909186</v>
      </c>
      <c r="K21" s="15">
        <f t="shared" si="6"/>
        <v>0.1815046657459756</v>
      </c>
      <c r="L21" s="15">
        <f t="shared" si="6"/>
        <v>0.21369313134654075</v>
      </c>
      <c r="M21" s="15">
        <f t="shared" si="6"/>
        <v>0</v>
      </c>
    </row>
    <row r="23" spans="2:13" x14ac:dyDescent="0.35">
      <c r="B23" t="s">
        <v>29</v>
      </c>
      <c r="C23" s="16">
        <f>IFERROR('Data Sheet'!B27,0)</f>
        <v>42.24</v>
      </c>
      <c r="D23" s="16">
        <f>IFERROR('Data Sheet'!C27,0)</f>
        <v>49</v>
      </c>
      <c r="E23" s="16">
        <f>IFERROR('Data Sheet'!D27,0)</f>
        <v>37.33</v>
      </c>
      <c r="F23" s="16">
        <f>IFERROR('Data Sheet'!E27,0)</f>
        <v>41.47</v>
      </c>
      <c r="G23" s="16">
        <f>IFERROR('Data Sheet'!F27,0)</f>
        <v>110.47</v>
      </c>
      <c r="H23" s="16">
        <f>IFERROR('Data Sheet'!G27,0)</f>
        <v>102.33</v>
      </c>
      <c r="I23" s="16">
        <f>IFERROR('Data Sheet'!H27,0)</f>
        <v>91.63</v>
      </c>
      <c r="J23" s="16">
        <f>IFERROR('Data Sheet'!I27,0)</f>
        <v>95.41</v>
      </c>
      <c r="K23" s="16">
        <f>IFERROR('Data Sheet'!J27,0)</f>
        <v>144.44999999999999</v>
      </c>
      <c r="L23" s="16">
        <f>IFERROR('Data Sheet'!K27,0)</f>
        <v>205.17</v>
      </c>
      <c r="M23" s="16">
        <f>IFERROR(SUM('Data Sheet'!H46:K46),0)</f>
        <v>214.79999999999998</v>
      </c>
    </row>
    <row r="24" spans="2:13" x14ac:dyDescent="0.35">
      <c r="B24" s="15" t="s">
        <v>66</v>
      </c>
      <c r="C24" s="15">
        <f>C23/C8</f>
        <v>3.1024012762150706E-3</v>
      </c>
      <c r="D24" s="15">
        <f t="shared" ref="D24:M24" si="7">D23/D8</f>
        <v>3.4334186549547386E-3</v>
      </c>
      <c r="E24" s="15">
        <f t="shared" si="7"/>
        <v>2.4784241657310885E-3</v>
      </c>
      <c r="F24" s="15">
        <f t="shared" si="7"/>
        <v>2.4648504714836358E-3</v>
      </c>
      <c r="G24" s="15">
        <f t="shared" si="7"/>
        <v>5.7416451967840128E-3</v>
      </c>
      <c r="H24" s="15">
        <f t="shared" si="7"/>
        <v>5.0630218319005502E-3</v>
      </c>
      <c r="I24" s="15">
        <f t="shared" si="7"/>
        <v>4.2200933182700148E-3</v>
      </c>
      <c r="J24" s="15">
        <f t="shared" si="7"/>
        <v>3.2785499469439143E-3</v>
      </c>
      <c r="K24" s="15">
        <f t="shared" si="7"/>
        <v>4.1883417095335005E-3</v>
      </c>
      <c r="L24" s="15">
        <f t="shared" si="7"/>
        <v>5.7802947085384216E-3</v>
      </c>
      <c r="M24" s="15">
        <f t="shared" si="7"/>
        <v>6.0880643611571292E-3</v>
      </c>
    </row>
    <row r="26" spans="2:13" x14ac:dyDescent="0.35">
      <c r="B26" t="s">
        <v>30</v>
      </c>
      <c r="C26" s="16">
        <f>IFERROR('Data Sheet'!B26,0)</f>
        <v>265.92</v>
      </c>
      <c r="D26" s="16">
        <f>IFERROR('Data Sheet'!C26,0)</f>
        <v>275.58</v>
      </c>
      <c r="E26" s="16">
        <f>IFERROR('Data Sheet'!D26,0)</f>
        <v>334.79</v>
      </c>
      <c r="F26" s="16">
        <f>IFERROR('Data Sheet'!E26,0)</f>
        <v>360.47</v>
      </c>
      <c r="G26" s="16">
        <f>IFERROR('Data Sheet'!F26,0)</f>
        <v>622.14</v>
      </c>
      <c r="H26" s="16">
        <f>IFERROR('Data Sheet'!G26,0)</f>
        <v>780.5</v>
      </c>
      <c r="I26" s="16">
        <f>IFERROR('Data Sheet'!H26,0)</f>
        <v>791.27</v>
      </c>
      <c r="J26" s="16">
        <f>IFERROR('Data Sheet'!I26,0)</f>
        <v>816.36</v>
      </c>
      <c r="K26" s="16">
        <f>IFERROR('Data Sheet'!J26,0)</f>
        <v>858.02</v>
      </c>
      <c r="L26" s="16">
        <f>IFERROR('Data Sheet'!K26,0)</f>
        <v>853</v>
      </c>
      <c r="M26" s="16">
        <f>IFERROR(SUM('Data Sheet'!H45:K45),0)</f>
        <v>882.38000000000011</v>
      </c>
    </row>
    <row r="27" spans="2:13" x14ac:dyDescent="0.35">
      <c r="B27" s="15" t="s">
        <v>67</v>
      </c>
      <c r="C27" s="15">
        <f>IFERROR(C26/C8,0)</f>
        <v>1.953102621617215E-2</v>
      </c>
      <c r="D27" s="15">
        <f t="shared" ref="D27:M27" si="8">IFERROR(D26/D8,0)</f>
        <v>1.9309826794539322E-2</v>
      </c>
      <c r="E27" s="15">
        <f t="shared" si="8"/>
        <v>2.2227474590011016E-2</v>
      </c>
      <c r="F27" s="15">
        <f t="shared" si="8"/>
        <v>2.1425238713665449E-2</v>
      </c>
      <c r="G27" s="15">
        <f t="shared" si="8"/>
        <v>3.2335540352378074E-2</v>
      </c>
      <c r="H27" s="15">
        <f t="shared" si="8"/>
        <v>3.8617106809326486E-2</v>
      </c>
      <c r="I27" s="15">
        <f t="shared" si="8"/>
        <v>3.6442576011650275E-2</v>
      </c>
      <c r="J27" s="15">
        <f t="shared" si="8"/>
        <v>2.8052374328551871E-2</v>
      </c>
      <c r="K27" s="15">
        <f t="shared" si="8"/>
        <v>2.4878372818372688E-2</v>
      </c>
      <c r="L27" s="15">
        <f t="shared" si="8"/>
        <v>2.4031736542297968E-2</v>
      </c>
      <c r="M27" s="15">
        <f t="shared" si="8"/>
        <v>2.5009246885464752E-2</v>
      </c>
    </row>
    <row r="29" spans="2:13" x14ac:dyDescent="0.35">
      <c r="B29" s="38" t="s">
        <v>69</v>
      </c>
      <c r="C29" s="38">
        <f>IFERROR(C20-SUM(C23,C26),0)</f>
        <v>1934.7299999999998</v>
      </c>
      <c r="D29" s="38">
        <f t="shared" ref="D29:M29" si="9">IFERROR(D20-SUM(D23,D26),0)</f>
        <v>2400.4600000000014</v>
      </c>
      <c r="E29" s="38">
        <f t="shared" si="9"/>
        <v>2621.6400000000003</v>
      </c>
      <c r="F29" s="38">
        <f t="shared" si="9"/>
        <v>2802.0700000000011</v>
      </c>
      <c r="G29" s="38">
        <f t="shared" si="9"/>
        <v>3032.3300000000013</v>
      </c>
      <c r="H29" s="38">
        <f t="shared" si="9"/>
        <v>3273.989999999998</v>
      </c>
      <c r="I29" s="38">
        <f t="shared" si="9"/>
        <v>3972.700000000003</v>
      </c>
      <c r="J29" s="38">
        <f t="shared" si="9"/>
        <v>3891.8399999999988</v>
      </c>
      <c r="K29" s="38">
        <f t="shared" si="9"/>
        <v>5257.3699999999953</v>
      </c>
      <c r="L29" s="38">
        <f t="shared" si="9"/>
        <v>6526.8100000000013</v>
      </c>
      <c r="M29" s="38">
        <f t="shared" si="9"/>
        <v>-1097.18</v>
      </c>
    </row>
    <row r="30" spans="2:13" x14ac:dyDescent="0.35">
      <c r="B30" s="15" t="s">
        <v>70</v>
      </c>
      <c r="C30" s="15">
        <f>IFERROR(C29/C8,0)</f>
        <v>0.14210011413663784</v>
      </c>
      <c r="D30" s="15">
        <f t="shared" ref="D30:M30" si="10">IFERROR(D29/D8,0)</f>
        <v>0.16819967641780931</v>
      </c>
      <c r="E30" s="15">
        <f t="shared" si="10"/>
        <v>0.17405668175320793</v>
      </c>
      <c r="F30" s="15">
        <f t="shared" si="10"/>
        <v>0.16654650495852794</v>
      </c>
      <c r="G30" s="15">
        <f t="shared" si="10"/>
        <v>0.15760444446061442</v>
      </c>
      <c r="H30" s="15">
        <f t="shared" si="10"/>
        <v>0.16198849650565889</v>
      </c>
      <c r="I30" s="15">
        <f t="shared" si="10"/>
        <v>0.18296589245325004</v>
      </c>
      <c r="J30" s="15">
        <f t="shared" si="10"/>
        <v>0.13373432371359606</v>
      </c>
      <c r="K30" s="15">
        <f t="shared" si="10"/>
        <v>0.15243795121806938</v>
      </c>
      <c r="L30" s="15">
        <f t="shared" si="10"/>
        <v>0.18388110009570438</v>
      </c>
      <c r="M30" s="15">
        <f t="shared" si="10"/>
        <v>-3.1097311246621882E-2</v>
      </c>
    </row>
    <row r="32" spans="2:13" x14ac:dyDescent="0.35">
      <c r="B32" t="s">
        <v>27</v>
      </c>
      <c r="C32" s="31">
        <f>IFERROR('Data Sheet'!B29,0)</f>
        <v>649.54</v>
      </c>
      <c r="D32" s="31">
        <f>IFERROR('Data Sheet'!C29,0)</f>
        <v>844.49</v>
      </c>
      <c r="E32" s="31">
        <f>IFERROR('Data Sheet'!D29,0)</f>
        <v>943.29</v>
      </c>
      <c r="F32" s="31">
        <f>IFERROR('Data Sheet'!E29,0)</f>
        <v>1040.96</v>
      </c>
      <c r="G32" s="31">
        <f>IFERROR('Data Sheet'!F29,0)</f>
        <v>1098.06</v>
      </c>
      <c r="H32" s="31">
        <f>IFERROR('Data Sheet'!G29,0)</f>
        <v>854.85</v>
      </c>
      <c r="I32" s="31">
        <f>IFERROR('Data Sheet'!H29,0)</f>
        <v>1097.5999999999999</v>
      </c>
      <c r="J32" s="31">
        <f>IFERROR('Data Sheet'!I29,0)</f>
        <v>1102.9100000000001</v>
      </c>
      <c r="K32" s="31">
        <f>IFERROR('Data Sheet'!J29,0)</f>
        <v>1493.5</v>
      </c>
      <c r="L32" s="31">
        <f>IFERROR('Data Sheet'!K29,0)</f>
        <v>1790.08</v>
      </c>
      <c r="M32" s="31">
        <f>IFERROR(SUM('Data Sheet'!H48:K48),0)</f>
        <v>1676.79</v>
      </c>
    </row>
    <row r="33" spans="1:13" x14ac:dyDescent="0.35">
      <c r="B33" s="15" t="s">
        <v>71</v>
      </c>
      <c r="C33" s="15">
        <f>IFERROR(C32/C29,0)</f>
        <v>0.33572643211197428</v>
      </c>
      <c r="D33" s="15">
        <f t="shared" ref="D33:L33" si="11">IFERROR(D32/D29,0)</f>
        <v>0.35180340434749985</v>
      </c>
      <c r="E33" s="15">
        <f t="shared" si="11"/>
        <v>0.35980912711127377</v>
      </c>
      <c r="F33" s="15">
        <f t="shared" si="11"/>
        <v>0.37149678630441052</v>
      </c>
      <c r="G33" s="15">
        <f t="shared" si="11"/>
        <v>0.36211757955103813</v>
      </c>
      <c r="H33" s="15">
        <f t="shared" si="11"/>
        <v>0.26110342426213901</v>
      </c>
      <c r="I33" s="15">
        <f t="shared" si="11"/>
        <v>0.2762856495582347</v>
      </c>
      <c r="J33" s="15">
        <f t="shared" si="11"/>
        <v>0.2833903757605658</v>
      </c>
      <c r="K33" s="15">
        <f t="shared" si="11"/>
        <v>0.28407739991668862</v>
      </c>
      <c r="L33" s="15">
        <f t="shared" si="11"/>
        <v>0.27426568262290452</v>
      </c>
      <c r="M33" s="15">
        <f>IFERROR(M32/M29,0)</f>
        <v>-1.5282724803587378</v>
      </c>
    </row>
    <row r="35" spans="1:13" x14ac:dyDescent="0.35">
      <c r="B35" s="39" t="s">
        <v>73</v>
      </c>
      <c r="C35" s="38">
        <f>IFERROR(C29-C32,0)</f>
        <v>1285.1899999999998</v>
      </c>
      <c r="D35" s="38">
        <f t="shared" ref="D35:M35" si="12">IFERROR(D29-D32,0)</f>
        <v>1555.9700000000014</v>
      </c>
      <c r="E35" s="38">
        <f t="shared" si="12"/>
        <v>1678.3500000000004</v>
      </c>
      <c r="F35" s="38">
        <f t="shared" si="12"/>
        <v>1761.110000000001</v>
      </c>
      <c r="G35" s="38">
        <f t="shared" si="12"/>
        <v>1934.2700000000013</v>
      </c>
      <c r="H35" s="38">
        <f t="shared" si="12"/>
        <v>2419.1399999999981</v>
      </c>
      <c r="I35" s="38">
        <f t="shared" si="12"/>
        <v>2875.1000000000031</v>
      </c>
      <c r="J35" s="38">
        <f t="shared" si="12"/>
        <v>2788.9299999999985</v>
      </c>
      <c r="K35" s="38">
        <f t="shared" si="12"/>
        <v>3763.8699999999953</v>
      </c>
      <c r="L35" s="38">
        <f t="shared" si="12"/>
        <v>4736.7300000000014</v>
      </c>
      <c r="M35" s="38">
        <f t="shared" si="12"/>
        <v>-2773.9700000000003</v>
      </c>
    </row>
    <row r="36" spans="1:13" x14ac:dyDescent="0.35">
      <c r="B36" s="15" t="s">
        <v>74</v>
      </c>
      <c r="C36" s="15">
        <f>IFERROR(C35/C8,0)</f>
        <v>9.43933498148401E-2</v>
      </c>
      <c r="D36" s="15">
        <f t="shared" ref="D36:M36" si="13">IFERROR(D35/D8,0)</f>
        <v>0.10902645764387611</v>
      </c>
      <c r="E36" s="15">
        <f t="shared" si="13"/>
        <v>0.1114294990237014</v>
      </c>
      <c r="F36" s="15">
        <f t="shared" si="13"/>
        <v>0.10467501359620324</v>
      </c>
      <c r="G36" s="15">
        <f t="shared" si="13"/>
        <v>0.1005331045060507</v>
      </c>
      <c r="H36" s="15">
        <f t="shared" si="13"/>
        <v>0.1196927453769558</v>
      </c>
      <c r="I36" s="15">
        <f t="shared" si="13"/>
        <v>0.13241504200980173</v>
      </c>
      <c r="J36" s="15">
        <f t="shared" si="13"/>
        <v>9.5835303464314917E-2</v>
      </c>
      <c r="K36" s="15">
        <f t="shared" si="13"/>
        <v>0.10913377438741322</v>
      </c>
      <c r="L36" s="15">
        <f t="shared" si="13"/>
        <v>0.13344882465650537</v>
      </c>
      <c r="M36" s="15">
        <f t="shared" si="13"/>
        <v>-7.8622476237984379E-2</v>
      </c>
    </row>
    <row r="38" spans="1:13" x14ac:dyDescent="0.35">
      <c r="B38" t="s">
        <v>75</v>
      </c>
      <c r="C38">
        <f>IFERROR('Data Sheet'!B93,0)</f>
        <v>95.92</v>
      </c>
      <c r="D38">
        <f>IFERROR('Data Sheet'!C93,0)</f>
        <v>95.92</v>
      </c>
      <c r="E38">
        <f>IFERROR('Data Sheet'!D93,0)</f>
        <v>95.92</v>
      </c>
      <c r="F38">
        <f>IFERROR('Data Sheet'!E93,0)</f>
        <v>95.92</v>
      </c>
      <c r="G38">
        <f>IFERROR('Data Sheet'!F93,0)</f>
        <v>95.92</v>
      </c>
      <c r="H38">
        <f>IFERROR('Data Sheet'!G93,0)</f>
        <v>95.92</v>
      </c>
      <c r="I38">
        <f>IFERROR('Data Sheet'!H93,0)</f>
        <v>95.92</v>
      </c>
      <c r="J38">
        <f>IFERROR('Data Sheet'!I93,0)</f>
        <v>95.92</v>
      </c>
      <c r="K38">
        <f>IFERROR('Data Sheet'!J93,0)</f>
        <v>95.92</v>
      </c>
      <c r="L38">
        <f>IFERROR('Data Sheet'!K93,0)</f>
        <v>95.92</v>
      </c>
      <c r="M38" s="32">
        <f>IFERROR('Data Sheet'!L93,0)</f>
        <v>0</v>
      </c>
    </row>
    <row r="40" spans="1:13" x14ac:dyDescent="0.35">
      <c r="B40" t="s">
        <v>76</v>
      </c>
      <c r="C40" s="32">
        <f>IFERROR(C35/C38,0)</f>
        <v>13.398561301084236</v>
      </c>
      <c r="D40" s="32">
        <f t="shared" ref="D40:M40" si="14">IFERROR(D35/D38,0)</f>
        <v>16.221538782318614</v>
      </c>
      <c r="E40" s="32">
        <f t="shared" si="14"/>
        <v>17.497393661384489</v>
      </c>
      <c r="F40" s="32">
        <f t="shared" si="14"/>
        <v>18.360195996663897</v>
      </c>
      <c r="G40" s="32">
        <f t="shared" si="14"/>
        <v>20.165450375312773</v>
      </c>
      <c r="H40" s="32">
        <f t="shared" si="14"/>
        <v>25.220391993327752</v>
      </c>
      <c r="I40" s="32">
        <f t="shared" si="14"/>
        <v>29.973936613844902</v>
      </c>
      <c r="J40" s="32">
        <f t="shared" si="14"/>
        <v>29.075583819849857</v>
      </c>
      <c r="K40" s="32">
        <f t="shared" si="14"/>
        <v>39.23967889908252</v>
      </c>
      <c r="L40" s="32">
        <f t="shared" si="14"/>
        <v>49.382089241034208</v>
      </c>
      <c r="M40" s="32">
        <f t="shared" si="14"/>
        <v>0</v>
      </c>
    </row>
    <row r="41" spans="1:13" x14ac:dyDescent="0.35">
      <c r="B41" s="15" t="s">
        <v>78</v>
      </c>
      <c r="C41" s="15"/>
      <c r="D41" s="15">
        <f>IFERROR(D40/C40-1,0)</f>
        <v>0.21069258241972122</v>
      </c>
      <c r="E41" s="15">
        <f t="shared" ref="E41:L41" si="15">IFERROR(E40/D40-1,0)</f>
        <v>7.8651902028958443E-2</v>
      </c>
      <c r="F41" s="15">
        <f t="shared" si="15"/>
        <v>4.9310334554771629E-2</v>
      </c>
      <c r="G41" s="15">
        <f t="shared" si="15"/>
        <v>9.8324352255111824E-2</v>
      </c>
      <c r="H41" s="15">
        <f t="shared" si="15"/>
        <v>0.25067338065523237</v>
      </c>
      <c r="I41" s="15">
        <f t="shared" si="15"/>
        <v>0.18848020370875829</v>
      </c>
      <c r="J41" s="15">
        <f t="shared" si="15"/>
        <v>-2.9971131438908061E-2</v>
      </c>
      <c r="K41" s="15">
        <f t="shared" si="15"/>
        <v>0.34957492658474676</v>
      </c>
      <c r="L41" s="15">
        <f t="shared" si="15"/>
        <v>0.25847332665581102</v>
      </c>
      <c r="M41" s="15">
        <f>IFERROR(M40/L40-1,0)</f>
        <v>-1</v>
      </c>
    </row>
    <row r="43" spans="1:13" x14ac:dyDescent="0.35">
      <c r="B43" t="s">
        <v>77</v>
      </c>
      <c r="C43" s="32">
        <f>IFERROR('Data Sheet'!B31/HistoricalFS!C38,0)</f>
        <v>6.0999791492910758</v>
      </c>
      <c r="D43" s="32">
        <f>IFERROR('Data Sheet'!C31/HistoricalFS!D38,0)</f>
        <v>7.5</v>
      </c>
      <c r="E43" s="32">
        <f>IFERROR('Data Sheet'!D31/HistoricalFS!E38,0)</f>
        <v>10.300041701417848</v>
      </c>
      <c r="F43" s="32">
        <f>IFERROR('Data Sheet'!E31/HistoricalFS!F38,0)</f>
        <v>8.6999582985821515</v>
      </c>
      <c r="G43" s="32">
        <f>IFERROR('Data Sheet'!F31/HistoricalFS!G38,0)</f>
        <v>10.5</v>
      </c>
      <c r="H43" s="32">
        <f>IFERROR('Data Sheet'!G31/HistoricalFS!H38,0)</f>
        <v>12</v>
      </c>
      <c r="I43" s="32">
        <f>IFERROR('Data Sheet'!H31/HistoricalFS!I38,0)</f>
        <v>17.849979149291077</v>
      </c>
      <c r="J43" s="32">
        <f>IFERROR('Data Sheet'!I31/HistoricalFS!J38,0)</f>
        <v>19.150020850708923</v>
      </c>
      <c r="K43" s="32">
        <f>IFERROR('Data Sheet'!J31/HistoricalFS!K38,0)</f>
        <v>25.650020850708923</v>
      </c>
      <c r="L43" s="32">
        <f>IFERROR('Data Sheet'!K31/HistoricalFS!L38,0)</f>
        <v>33.300041701417847</v>
      </c>
      <c r="M43" s="32">
        <f>IFERROR('Data Sheet'!L31/HistoricalFS!M38,0)</f>
        <v>0</v>
      </c>
    </row>
    <row r="44" spans="1:13" x14ac:dyDescent="0.35">
      <c r="B44" s="15" t="s">
        <v>79</v>
      </c>
      <c r="C44" s="15">
        <f>IFERROR(C43/C40,0)</f>
        <v>0.45527120503583129</v>
      </c>
      <c r="D44" s="15">
        <f t="shared" ref="D44:M44" si="16">IFERROR(D43/D40,0)</f>
        <v>0.46234824578880013</v>
      </c>
      <c r="E44" s="15">
        <f t="shared" si="16"/>
        <v>0.5886614830041409</v>
      </c>
      <c r="F44" s="15">
        <f t="shared" si="16"/>
        <v>0.47384887939992359</v>
      </c>
      <c r="G44" s="15">
        <f t="shared" si="16"/>
        <v>0.52069256101785133</v>
      </c>
      <c r="H44" s="15">
        <f t="shared" si="16"/>
        <v>0.47580545152409576</v>
      </c>
      <c r="I44" s="15">
        <f t="shared" si="16"/>
        <v>0.59551667768077576</v>
      </c>
      <c r="J44" s="15">
        <f t="shared" si="16"/>
        <v>0.65862893654555732</v>
      </c>
      <c r="K44" s="15">
        <f t="shared" si="16"/>
        <v>0.65367560516170931</v>
      </c>
      <c r="L44" s="15">
        <f t="shared" si="16"/>
        <v>0.67433440369199826</v>
      </c>
      <c r="M44" s="15">
        <f t="shared" si="16"/>
        <v>0</v>
      </c>
    </row>
    <row r="46" spans="1:13" x14ac:dyDescent="0.35">
      <c r="B46" t="s">
        <v>80</v>
      </c>
      <c r="C46" s="22">
        <f>IFERROR(IF(C40&gt;C43,1-C44,0),0)</f>
        <v>0.54472879496416871</v>
      </c>
      <c r="D46" s="22">
        <f t="shared" ref="D46:M46" si="17">IFERROR(IF(D40&gt;D43,1-D44,0),0)</f>
        <v>0.53765175421119982</v>
      </c>
      <c r="E46" s="22">
        <f t="shared" si="17"/>
        <v>0.4113385169958591</v>
      </c>
      <c r="F46" s="22">
        <f t="shared" si="17"/>
        <v>0.52615112060007641</v>
      </c>
      <c r="G46" s="22">
        <f t="shared" si="17"/>
        <v>0.47930743898214867</v>
      </c>
      <c r="H46" s="22">
        <f t="shared" si="17"/>
        <v>0.5241945484759043</v>
      </c>
      <c r="I46" s="22">
        <f t="shared" si="17"/>
        <v>0.40448332231922424</v>
      </c>
      <c r="J46" s="22">
        <f t="shared" si="17"/>
        <v>0.34137106345444268</v>
      </c>
      <c r="K46" s="22">
        <f t="shared" si="17"/>
        <v>0.34632439483829069</v>
      </c>
      <c r="L46" s="22">
        <f t="shared" si="17"/>
        <v>0.32566559630800174</v>
      </c>
      <c r="M46" s="15">
        <f t="shared" si="17"/>
        <v>0</v>
      </c>
    </row>
    <row r="48" spans="1:13" x14ac:dyDescent="0.35">
      <c r="A48" t="s">
        <v>57</v>
      </c>
      <c r="B48" s="18" t="s">
        <v>81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50" spans="2:13" x14ac:dyDescent="0.35">
      <c r="B50" t="s">
        <v>23</v>
      </c>
      <c r="C50" s="32">
        <f>IFERROR('Data Sheet'!B57,0)</f>
        <v>95.92</v>
      </c>
      <c r="D50" s="32">
        <f>IFERROR('Data Sheet'!C57,0)</f>
        <v>95.92</v>
      </c>
      <c r="E50" s="32">
        <f>IFERROR('Data Sheet'!D57,0)</f>
        <v>95.92</v>
      </c>
      <c r="F50" s="32">
        <f>IFERROR('Data Sheet'!E57,0)</f>
        <v>95.92</v>
      </c>
      <c r="G50" s="32">
        <f>IFERROR('Data Sheet'!F57,0)</f>
        <v>95.92</v>
      </c>
      <c r="H50" s="32">
        <f>IFERROR('Data Sheet'!G57,0)</f>
        <v>95.92</v>
      </c>
      <c r="I50" s="32">
        <f>IFERROR('Data Sheet'!H57,0)</f>
        <v>95.92</v>
      </c>
      <c r="J50" s="32">
        <f>IFERROR('Data Sheet'!I57,0)</f>
        <v>95.92</v>
      </c>
      <c r="K50" s="32">
        <f>IFERROR('Data Sheet'!J57,0)</f>
        <v>95.92</v>
      </c>
      <c r="L50" s="32">
        <f>IFERROR('Data Sheet'!K57,0)</f>
        <v>95.92</v>
      </c>
    </row>
    <row r="51" spans="2:13" x14ac:dyDescent="0.35">
      <c r="B51" t="s">
        <v>22</v>
      </c>
      <c r="C51" s="32">
        <f>IFERROR('Data Sheet'!B58,0)</f>
        <v>4646.4399999999996</v>
      </c>
      <c r="D51" s="32">
        <f>IFERROR('Data Sheet'!C58,0)</f>
        <v>6428.9</v>
      </c>
      <c r="E51" s="32">
        <f>IFERROR('Data Sheet'!D58,0)</f>
        <v>7507.97</v>
      </c>
      <c r="F51" s="32">
        <f>IFERROR('Data Sheet'!E58,0)</f>
        <v>8314.31</v>
      </c>
      <c r="G51" s="32">
        <f>IFERROR('Data Sheet'!F58,0)</f>
        <v>9374.6299999999992</v>
      </c>
      <c r="H51" s="32">
        <f>IFERROR('Data Sheet'!G58,0)</f>
        <v>10034.24</v>
      </c>
      <c r="I51" s="32">
        <f>IFERROR('Data Sheet'!H58,0)</f>
        <v>12710.37</v>
      </c>
      <c r="J51" s="32">
        <f>IFERROR('Data Sheet'!I58,0)</f>
        <v>13715.64</v>
      </c>
      <c r="K51" s="32">
        <f>IFERROR('Data Sheet'!J58,0)</f>
        <v>15896.31</v>
      </c>
      <c r="L51" s="32">
        <f>IFERROR('Data Sheet'!K58,0)</f>
        <v>18632.38</v>
      </c>
    </row>
    <row r="52" spans="2:13" x14ac:dyDescent="0.35">
      <c r="B52" t="s">
        <v>21</v>
      </c>
      <c r="C52" s="32">
        <f>IFERROR('Data Sheet'!B59,0)</f>
        <v>418.17</v>
      </c>
      <c r="D52" s="32">
        <f>IFERROR('Data Sheet'!C59,0)</f>
        <v>323.29000000000002</v>
      </c>
      <c r="E52" s="32">
        <f>IFERROR('Data Sheet'!D59,0)</f>
        <v>560.34</v>
      </c>
      <c r="F52" s="32">
        <f>IFERROR('Data Sheet'!E59,0)</f>
        <v>533.42999999999995</v>
      </c>
      <c r="G52" s="32">
        <f>IFERROR('Data Sheet'!F59,0)</f>
        <v>1319.6</v>
      </c>
      <c r="H52" s="32">
        <f>IFERROR('Data Sheet'!G59,0)</f>
        <v>1118.5</v>
      </c>
      <c r="I52" s="32">
        <f>IFERROR('Data Sheet'!H59,0)</f>
        <v>1093.1199999999999</v>
      </c>
      <c r="J52" s="32">
        <f>IFERROR('Data Sheet'!I59,0)</f>
        <v>1586.88</v>
      </c>
      <c r="K52" s="32">
        <f>IFERROR('Data Sheet'!J59,0)</f>
        <v>1932.62</v>
      </c>
      <c r="L52" s="32">
        <f>IFERROR('Data Sheet'!K59,0)</f>
        <v>2474.38</v>
      </c>
    </row>
    <row r="53" spans="2:13" x14ac:dyDescent="0.35">
      <c r="B53" t="s">
        <v>20</v>
      </c>
      <c r="C53" s="32">
        <f>IFERROR('Data Sheet'!B60,0)</f>
        <v>3753.97</v>
      </c>
      <c r="D53" s="32">
        <f>IFERROR('Data Sheet'!C60,0)</f>
        <v>3710.92</v>
      </c>
      <c r="E53" s="32">
        <f>IFERROR('Data Sheet'!D60,0)</f>
        <v>4240.96</v>
      </c>
      <c r="F53" s="32">
        <f>IFERROR('Data Sheet'!E60,0)</f>
        <v>4819.82</v>
      </c>
      <c r="G53" s="32">
        <f>IFERROR('Data Sheet'!F60,0)</f>
        <v>5458.69</v>
      </c>
      <c r="H53" s="32">
        <f>IFERROR('Data Sheet'!G60,0)</f>
        <v>4889.3100000000004</v>
      </c>
      <c r="I53" s="32">
        <f>IFERROR('Data Sheet'!H60,0)</f>
        <v>6455.93</v>
      </c>
      <c r="J53" s="32">
        <f>IFERROR('Data Sheet'!I60,0)</f>
        <v>7559.99</v>
      </c>
      <c r="K53" s="32">
        <f>IFERROR('Data Sheet'!J60,0)</f>
        <v>7854.48</v>
      </c>
      <c r="L53" s="32">
        <f>IFERROR('Data Sheet'!K60,0)</f>
        <v>8698.09</v>
      </c>
    </row>
    <row r="54" spans="2:13" x14ac:dyDescent="0.35">
      <c r="B54" s="39" t="s">
        <v>82</v>
      </c>
      <c r="C54" s="40">
        <f>IFERROR('Data Sheet'!B61,0)</f>
        <v>8914.5</v>
      </c>
      <c r="D54" s="40">
        <f>IFERROR('Data Sheet'!C61,0)</f>
        <v>10559.03</v>
      </c>
      <c r="E54" s="40">
        <f>IFERROR('Data Sheet'!D61,0)</f>
        <v>12405.19</v>
      </c>
      <c r="F54" s="40">
        <f>IFERROR('Data Sheet'!E61,0)</f>
        <v>13763.48</v>
      </c>
      <c r="G54" s="40">
        <f>IFERROR('Data Sheet'!F61,0)</f>
        <v>16248.84</v>
      </c>
      <c r="H54" s="40">
        <f>IFERROR('Data Sheet'!G61,0)</f>
        <v>16137.97</v>
      </c>
      <c r="I54" s="40">
        <f>IFERROR('Data Sheet'!H61,0)</f>
        <v>20355.34</v>
      </c>
      <c r="J54" s="40">
        <f>IFERROR('Data Sheet'!I61,0)</f>
        <v>22958.43</v>
      </c>
      <c r="K54" s="40">
        <f>IFERROR('Data Sheet'!J61,0)</f>
        <v>25779.33</v>
      </c>
      <c r="L54" s="40">
        <f>IFERROR('Data Sheet'!K61,0)</f>
        <v>29900.77</v>
      </c>
    </row>
    <row r="56" spans="2:13" x14ac:dyDescent="0.35">
      <c r="B56" t="s">
        <v>83</v>
      </c>
      <c r="C56" s="32">
        <f>IFERROR('Data Sheet'!B62,0)</f>
        <v>2660.04</v>
      </c>
      <c r="D56" s="32">
        <f>IFERROR('Data Sheet'!C62,0)</f>
        <v>3416.35</v>
      </c>
      <c r="E56" s="32">
        <f>IFERROR('Data Sheet'!D62,0)</f>
        <v>3303.74</v>
      </c>
      <c r="F56" s="32">
        <f>IFERROR('Data Sheet'!E62,0)</f>
        <v>3732.24</v>
      </c>
      <c r="G56" s="32">
        <f>IFERROR('Data Sheet'!F62,0)</f>
        <v>6496.56</v>
      </c>
      <c r="H56" s="32">
        <f>IFERROR('Data Sheet'!G62,0)</f>
        <v>6272.31</v>
      </c>
      <c r="I56" s="32">
        <f>IFERROR('Data Sheet'!H62,0)</f>
        <v>5858.52</v>
      </c>
      <c r="J56" s="32">
        <f>IFERROR('Data Sheet'!I62,0)</f>
        <v>5519.06</v>
      </c>
      <c r="K56" s="32">
        <f>IFERROR('Data Sheet'!J62,0)</f>
        <v>5770.46</v>
      </c>
      <c r="L56" s="32">
        <f>IFERROR('Data Sheet'!K62,0)</f>
        <v>7146.62</v>
      </c>
    </row>
    <row r="57" spans="2:13" x14ac:dyDescent="0.35">
      <c r="B57" t="s">
        <v>18</v>
      </c>
      <c r="C57" s="32">
        <f>IFERROR('Data Sheet'!B63,0)</f>
        <v>196</v>
      </c>
      <c r="D57" s="32">
        <f>IFERROR('Data Sheet'!C63,0)</f>
        <v>106.59</v>
      </c>
      <c r="E57" s="32">
        <f>IFERROR('Data Sheet'!D63,0)</f>
        <v>257.54000000000002</v>
      </c>
      <c r="F57" s="32">
        <f>IFERROR('Data Sheet'!E63,0)</f>
        <v>1405.11</v>
      </c>
      <c r="G57" s="32">
        <f>IFERROR('Data Sheet'!F63,0)</f>
        <v>209.67</v>
      </c>
      <c r="H57" s="32">
        <f>IFERROR('Data Sheet'!G63,0)</f>
        <v>140.24</v>
      </c>
      <c r="I57" s="32">
        <f>IFERROR('Data Sheet'!H63,0)</f>
        <v>182.98</v>
      </c>
      <c r="J57" s="32">
        <f>IFERROR('Data Sheet'!I63,0)</f>
        <v>426.43</v>
      </c>
      <c r="K57" s="32">
        <f>IFERROR('Data Sheet'!J63,0)</f>
        <v>1019.59</v>
      </c>
      <c r="L57" s="32">
        <f>IFERROR('Data Sheet'!K63,0)</f>
        <v>2698.37</v>
      </c>
    </row>
    <row r="58" spans="2:13" x14ac:dyDescent="0.35">
      <c r="B58" t="s">
        <v>17</v>
      </c>
      <c r="C58" s="32">
        <f>IFERROR('Data Sheet'!B64,0)</f>
        <v>1587.79</v>
      </c>
      <c r="D58" s="32">
        <f>IFERROR('Data Sheet'!C64,0)</f>
        <v>2712.13</v>
      </c>
      <c r="E58" s="32">
        <f>IFERROR('Data Sheet'!D64,0)</f>
        <v>2651.99</v>
      </c>
      <c r="F58" s="32">
        <f>IFERROR('Data Sheet'!E64,0)</f>
        <v>2140.6999999999998</v>
      </c>
      <c r="G58" s="32">
        <f>IFERROR('Data Sheet'!F64,0)</f>
        <v>2568.58</v>
      </c>
      <c r="H58" s="32">
        <f>IFERROR('Data Sheet'!G64,0)</f>
        <v>2018.85</v>
      </c>
      <c r="I58" s="32">
        <f>IFERROR('Data Sheet'!H64,0)</f>
        <v>4736.8</v>
      </c>
      <c r="J58" s="32">
        <f>IFERROR('Data Sheet'!I64,0)</f>
        <v>3247.53</v>
      </c>
      <c r="K58" s="32">
        <f>IFERROR('Data Sheet'!J64,0)</f>
        <v>4261.71</v>
      </c>
      <c r="L58" s="32">
        <f>IFERROR('Data Sheet'!K64,0)</f>
        <v>4587.92</v>
      </c>
    </row>
    <row r="59" spans="2:13" x14ac:dyDescent="0.35">
      <c r="B59" t="s">
        <v>16</v>
      </c>
      <c r="C59" s="32">
        <f>IFERROR('Data Sheet'!B65-SUM('Data Sheet'!B67:B69),0)</f>
        <v>825.69</v>
      </c>
      <c r="D59" s="32">
        <f>IFERROR('Data Sheet'!C65-SUM('Data Sheet'!C67:C69),0)</f>
        <v>714.68000000000029</v>
      </c>
      <c r="E59" s="32">
        <f>IFERROR('Data Sheet'!D65-SUM('Data Sheet'!D67:D69),0)</f>
        <v>1317.17</v>
      </c>
      <c r="F59" s="32">
        <f>IFERROR('Data Sheet'!E65-SUM('Data Sheet'!E67:E69),0)</f>
        <v>1691.8400000000001</v>
      </c>
      <c r="G59" s="32">
        <f>IFERROR('Data Sheet'!F65-SUM('Data Sheet'!F67:F69),0)</f>
        <v>1471.9599999999991</v>
      </c>
      <c r="H59" s="32">
        <f>IFERROR('Data Sheet'!G65-SUM('Data Sheet'!G67:G69),0)</f>
        <v>1738.71</v>
      </c>
      <c r="I59" s="32">
        <f>IFERROR('Data Sheet'!H65-SUM('Data Sheet'!H67:H69),0)</f>
        <v>2565.5200000000004</v>
      </c>
      <c r="J59" s="32">
        <f>IFERROR('Data Sheet'!I65-SUM('Data Sheet'!I67:I69),0)</f>
        <v>2876.66</v>
      </c>
      <c r="K59" s="32">
        <f>IFERROR('Data Sheet'!J65-SUM('Data Sheet'!J67:J69),0)</f>
        <v>3036.17</v>
      </c>
      <c r="L59" s="32">
        <f>IFERROR('Data Sheet'!K65-SUM('Data Sheet'!K67:K69),0)</f>
        <v>3571.3900000000012</v>
      </c>
    </row>
    <row r="60" spans="2:13" x14ac:dyDescent="0.35">
      <c r="B60" s="39" t="s">
        <v>85</v>
      </c>
      <c r="C60" s="40">
        <f>IFERROR(SUM(C56:C59),0)</f>
        <v>5269.52</v>
      </c>
      <c r="D60" s="40">
        <f t="shared" ref="D60:L60" si="18">IFERROR(SUM(D56:D59),0)</f>
        <v>6949.75</v>
      </c>
      <c r="E60" s="40">
        <f t="shared" si="18"/>
        <v>7530.44</v>
      </c>
      <c r="F60" s="40">
        <f t="shared" si="18"/>
        <v>8969.89</v>
      </c>
      <c r="G60" s="40">
        <f t="shared" si="18"/>
        <v>10746.77</v>
      </c>
      <c r="H60" s="40">
        <f t="shared" si="18"/>
        <v>10170.11</v>
      </c>
      <c r="I60" s="40">
        <f t="shared" si="18"/>
        <v>13343.82</v>
      </c>
      <c r="J60" s="40">
        <f t="shared" si="18"/>
        <v>12069.68</v>
      </c>
      <c r="K60" s="40">
        <f t="shared" si="18"/>
        <v>14087.93</v>
      </c>
      <c r="L60" s="40">
        <f t="shared" si="18"/>
        <v>18004.300000000003</v>
      </c>
      <c r="M60" s="12"/>
    </row>
    <row r="61" spans="2:13" x14ac:dyDescent="0.3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x14ac:dyDescent="0.35">
      <c r="B62" t="s">
        <v>14</v>
      </c>
      <c r="C62" s="32">
        <f>IFERROR('Data Sheet'!B67,0)</f>
        <v>1182.07</v>
      </c>
      <c r="D62" s="32">
        <f>IFERROR('Data Sheet'!C67,0)</f>
        <v>1186.8399999999999</v>
      </c>
      <c r="E62" s="32">
        <f>IFERROR('Data Sheet'!D67,0)</f>
        <v>1446.6</v>
      </c>
      <c r="F62" s="32">
        <f>IFERROR('Data Sheet'!E67,0)</f>
        <v>1730.63</v>
      </c>
      <c r="G62" s="32">
        <f>IFERROR('Data Sheet'!F67,0)</f>
        <v>1907.33</v>
      </c>
      <c r="H62" s="32">
        <f>IFERROR('Data Sheet'!G67,0)</f>
        <v>1795.22</v>
      </c>
      <c r="I62" s="32">
        <f>IFERROR('Data Sheet'!H67,0)</f>
        <v>2602.17</v>
      </c>
      <c r="J62" s="32">
        <f>IFERROR('Data Sheet'!I67,0)</f>
        <v>3871.44</v>
      </c>
      <c r="K62" s="32">
        <f>IFERROR('Data Sheet'!J67,0)</f>
        <v>4636.9399999999996</v>
      </c>
      <c r="L62" s="32">
        <f>IFERROR('Data Sheet'!K67,0)</f>
        <v>4889.05</v>
      </c>
    </row>
    <row r="63" spans="2:13" x14ac:dyDescent="0.35">
      <c r="B63" t="s">
        <v>13</v>
      </c>
      <c r="C63" s="32">
        <f>IFERROR('Data Sheet'!B68,0)</f>
        <v>2258.52</v>
      </c>
      <c r="D63" s="32">
        <f>IFERROR('Data Sheet'!C68,0)</f>
        <v>1998.24</v>
      </c>
      <c r="E63" s="32">
        <f>IFERROR('Data Sheet'!D68,0)</f>
        <v>2626.94</v>
      </c>
      <c r="F63" s="32">
        <f>IFERROR('Data Sheet'!E68,0)</f>
        <v>2658.31</v>
      </c>
      <c r="G63" s="32">
        <f>IFERROR('Data Sheet'!F68,0)</f>
        <v>3149.86</v>
      </c>
      <c r="H63" s="32">
        <f>IFERROR('Data Sheet'!G68,0)</f>
        <v>3389.81</v>
      </c>
      <c r="I63" s="32">
        <f>IFERROR('Data Sheet'!H68,0)</f>
        <v>3798.6</v>
      </c>
      <c r="J63" s="32">
        <f>IFERROR('Data Sheet'!I68,0)</f>
        <v>6152.98</v>
      </c>
      <c r="K63" s="32">
        <f>IFERROR('Data Sheet'!J68,0)</f>
        <v>6210.64</v>
      </c>
      <c r="L63" s="32">
        <f>IFERROR('Data Sheet'!K68,0)</f>
        <v>5923.41</v>
      </c>
    </row>
    <row r="64" spans="2:13" x14ac:dyDescent="0.35">
      <c r="B64" t="s">
        <v>12</v>
      </c>
      <c r="C64" s="32">
        <f>IFERROR('Data Sheet'!B69,0)</f>
        <v>204.39</v>
      </c>
      <c r="D64" s="32">
        <f>IFERROR('Data Sheet'!C69,0)</f>
        <v>424.2</v>
      </c>
      <c r="E64" s="32">
        <f>IFERROR('Data Sheet'!D69,0)</f>
        <v>801.21</v>
      </c>
      <c r="F64" s="32">
        <f>IFERROR('Data Sheet'!E69,0)</f>
        <v>404.65</v>
      </c>
      <c r="G64" s="32">
        <f>IFERROR('Data Sheet'!F69,0)</f>
        <v>444.88</v>
      </c>
      <c r="H64" s="32">
        <f>IFERROR('Data Sheet'!G69,0)</f>
        <v>782.83</v>
      </c>
      <c r="I64" s="32">
        <f>IFERROR('Data Sheet'!H69,0)</f>
        <v>610.75</v>
      </c>
      <c r="J64" s="32">
        <f>IFERROR('Data Sheet'!I69,0)</f>
        <v>864.33</v>
      </c>
      <c r="K64" s="32">
        <f>IFERROR('Data Sheet'!J69,0)</f>
        <v>843.82</v>
      </c>
      <c r="L64" s="32">
        <f>IFERROR('Data Sheet'!K69,0)</f>
        <v>1084.01</v>
      </c>
    </row>
    <row r="65" spans="1:13" x14ac:dyDescent="0.35">
      <c r="B65" s="39" t="s">
        <v>86</v>
      </c>
      <c r="C65" s="40">
        <f>IFERROR(SUM(C62:C64),0)</f>
        <v>3644.98</v>
      </c>
      <c r="D65" s="40">
        <f t="shared" ref="D65:L65" si="19">IFERROR(SUM(D62:D64),0)</f>
        <v>3609.2799999999997</v>
      </c>
      <c r="E65" s="40">
        <f t="shared" si="19"/>
        <v>4874.75</v>
      </c>
      <c r="F65" s="40">
        <f t="shared" si="19"/>
        <v>4793.59</v>
      </c>
      <c r="G65" s="40">
        <f t="shared" si="19"/>
        <v>5502.0700000000006</v>
      </c>
      <c r="H65" s="40">
        <f t="shared" si="19"/>
        <v>5967.86</v>
      </c>
      <c r="I65" s="40">
        <f t="shared" si="19"/>
        <v>7011.52</v>
      </c>
      <c r="J65" s="40">
        <f t="shared" si="19"/>
        <v>10888.75</v>
      </c>
      <c r="K65" s="40">
        <f t="shared" si="19"/>
        <v>11691.4</v>
      </c>
      <c r="L65" s="40">
        <f t="shared" si="19"/>
        <v>11896.47</v>
      </c>
    </row>
    <row r="67" spans="1:13" x14ac:dyDescent="0.35">
      <c r="B67" s="39" t="s">
        <v>84</v>
      </c>
      <c r="C67" s="40">
        <f>IFERROR(C65+C60,0)</f>
        <v>8914.5</v>
      </c>
      <c r="D67" s="40">
        <f t="shared" ref="D67:L67" si="20">IFERROR(D65+D60,0)</f>
        <v>10559.029999999999</v>
      </c>
      <c r="E67" s="40">
        <f t="shared" si="20"/>
        <v>12405.189999999999</v>
      </c>
      <c r="F67" s="40">
        <f t="shared" si="20"/>
        <v>13763.48</v>
      </c>
      <c r="G67" s="40">
        <f t="shared" si="20"/>
        <v>16248.84</v>
      </c>
      <c r="H67" s="40">
        <f t="shared" si="20"/>
        <v>16137.970000000001</v>
      </c>
      <c r="I67" s="40">
        <f t="shared" si="20"/>
        <v>20355.34</v>
      </c>
      <c r="J67" s="40">
        <f t="shared" si="20"/>
        <v>22958.43</v>
      </c>
      <c r="K67" s="40">
        <f t="shared" si="20"/>
        <v>25779.33</v>
      </c>
      <c r="L67" s="40">
        <f t="shared" si="20"/>
        <v>29900.770000000004</v>
      </c>
    </row>
    <row r="69" spans="1:13" x14ac:dyDescent="0.35">
      <c r="B69" s="33" t="s">
        <v>87</v>
      </c>
      <c r="C69" t="b">
        <f>C67=C54</f>
        <v>1</v>
      </c>
      <c r="D69" t="b">
        <f t="shared" ref="D69:L69" si="21">D67=D54</f>
        <v>1</v>
      </c>
      <c r="E69" t="b">
        <f t="shared" si="21"/>
        <v>1</v>
      </c>
      <c r="F69" t="b">
        <f t="shared" si="21"/>
        <v>1</v>
      </c>
      <c r="G69" t="b">
        <f t="shared" si="21"/>
        <v>1</v>
      </c>
      <c r="H69" t="b">
        <f t="shared" si="21"/>
        <v>1</v>
      </c>
      <c r="I69" t="b">
        <f t="shared" si="21"/>
        <v>1</v>
      </c>
      <c r="J69" t="b">
        <f t="shared" si="21"/>
        <v>1</v>
      </c>
      <c r="K69" t="b">
        <f t="shared" si="21"/>
        <v>1</v>
      </c>
      <c r="L69" t="b">
        <f t="shared" si="21"/>
        <v>1</v>
      </c>
    </row>
    <row r="71" spans="1:13" x14ac:dyDescent="0.35">
      <c r="A71" t="s">
        <v>57</v>
      </c>
      <c r="B71" s="18" t="s">
        <v>88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3" x14ac:dyDescent="0.35">
      <c r="B72" s="12" t="s">
        <v>118</v>
      </c>
    </row>
    <row r="73" spans="1:13" x14ac:dyDescent="0.35">
      <c r="B73" t="s">
        <v>91</v>
      </c>
      <c r="C73" s="32">
        <f>IFERROR('Cash Flow Data'!C4,0)</f>
        <v>43397</v>
      </c>
      <c r="D73" s="32">
        <f>IFERROR('Cash Flow Data'!D4,0)</f>
        <v>38626</v>
      </c>
      <c r="E73" s="32">
        <f>IFERROR('Cash Flow Data'!E4,0)</f>
        <v>28840</v>
      </c>
      <c r="F73" s="32">
        <f>IFERROR('Cash Flow Data'!F4,0)</f>
        <v>33312</v>
      </c>
      <c r="G73" s="32">
        <f>IFERROR('Cash Flow Data'!G4,0)</f>
        <v>28771</v>
      </c>
      <c r="H73" s="32">
        <f>IFERROR('Cash Flow Data'!H4,0)</f>
        <v>23352</v>
      </c>
      <c r="I73" s="32">
        <f>IFERROR('Cash Flow Data'!I4,0)</f>
        <v>31198</v>
      </c>
      <c r="J73" s="32">
        <f>IFERROR('Cash Flow Data'!J4,0)</f>
        <v>26943</v>
      </c>
      <c r="K73" s="32">
        <f>IFERROR('Cash Flow Data'!K4,0)</f>
        <v>41694</v>
      </c>
      <c r="L73" s="32">
        <f>IFERROR('Cash Flow Data'!L4,0)</f>
        <v>65106</v>
      </c>
      <c r="M73" s="32"/>
    </row>
    <row r="74" spans="1:13" x14ac:dyDescent="0.35">
      <c r="B74" t="s">
        <v>14</v>
      </c>
      <c r="C74" s="32">
        <f>IFERROR('Cash Flow Data'!C5,0)</f>
        <v>-3179</v>
      </c>
      <c r="D74" s="32">
        <f>IFERROR('Cash Flow Data'!D5,0)</f>
        <v>-2223</v>
      </c>
      <c r="E74" s="32">
        <f>IFERROR('Cash Flow Data'!E5,0)</f>
        <v>-4152</v>
      </c>
      <c r="F74" s="32">
        <f>IFERROR('Cash Flow Data'!F5,0)</f>
        <v>-10688</v>
      </c>
      <c r="G74" s="32">
        <f>IFERROR('Cash Flow Data'!G5,0)</f>
        <v>-9109</v>
      </c>
      <c r="H74" s="32">
        <f>IFERROR('Cash Flow Data'!H5,0)</f>
        <v>9950</v>
      </c>
      <c r="I74" s="32">
        <f>IFERROR('Cash Flow Data'!I5,0)</f>
        <v>-5505</v>
      </c>
      <c r="J74" s="32">
        <f>IFERROR('Cash Flow Data'!J5,0)</f>
        <v>185</v>
      </c>
      <c r="K74" s="32">
        <f>IFERROR('Cash Flow Data'!K5,0)</f>
        <v>-2213</v>
      </c>
      <c r="L74" s="32">
        <f>IFERROR('Cash Flow Data'!L5,0)</f>
        <v>-1875</v>
      </c>
      <c r="M74" s="32"/>
    </row>
    <row r="75" spans="1:13" x14ac:dyDescent="0.35">
      <c r="B75" t="s">
        <v>13</v>
      </c>
      <c r="C75" s="32">
        <f>IFERROR('Cash Flow Data'!C6,0)</f>
        <v>-3692</v>
      </c>
      <c r="D75" s="32">
        <f>IFERROR('Cash Flow Data'!D6,0)</f>
        <v>-5743</v>
      </c>
      <c r="E75" s="32">
        <f>IFERROR('Cash Flow Data'!E6,0)</f>
        <v>-6621</v>
      </c>
      <c r="F75" s="32">
        <f>IFERROR('Cash Flow Data'!F6,0)</f>
        <v>-3560</v>
      </c>
      <c r="G75" s="32">
        <f>IFERROR('Cash Flow Data'!G6,0)</f>
        <v>2069</v>
      </c>
      <c r="H75" s="32">
        <f>IFERROR('Cash Flow Data'!H6,0)</f>
        <v>2326</v>
      </c>
      <c r="I75" s="32">
        <f>IFERROR('Cash Flow Data'!I6,0)</f>
        <v>3814</v>
      </c>
      <c r="J75" s="32">
        <f>IFERROR('Cash Flow Data'!J6,0)</f>
        <v>472</v>
      </c>
      <c r="K75" s="32">
        <f>IFERROR('Cash Flow Data'!K6,0)</f>
        <v>-5665</v>
      </c>
      <c r="L75" s="32">
        <f>IFERROR('Cash Flow Data'!L6,0)</f>
        <v>-7265</v>
      </c>
      <c r="M75" s="32"/>
    </row>
    <row r="76" spans="1:13" x14ac:dyDescent="0.35">
      <c r="B76" t="s">
        <v>92</v>
      </c>
      <c r="C76" s="32">
        <f>IFERROR('Cash Flow Data'!C7,0)</f>
        <v>3598</v>
      </c>
      <c r="D76" s="32">
        <f>IFERROR('Cash Flow Data'!D7,0)</f>
        <v>3947</v>
      </c>
      <c r="E76" s="32">
        <f>IFERROR('Cash Flow Data'!E7,0)</f>
        <v>9301</v>
      </c>
      <c r="F76" s="32">
        <f>IFERROR('Cash Flow Data'!F7,0)</f>
        <v>7320</v>
      </c>
      <c r="G76" s="32">
        <f>IFERROR('Cash Flow Data'!G7,0)</f>
        <v>-4692</v>
      </c>
      <c r="H76" s="32">
        <f>IFERROR('Cash Flow Data'!H7,0)</f>
        <v>-8085</v>
      </c>
      <c r="I76" s="32">
        <f>IFERROR('Cash Flow Data'!I7,0)</f>
        <v>5748</v>
      </c>
      <c r="J76" s="32">
        <f>IFERROR('Cash Flow Data'!J7,0)</f>
        <v>-7012</v>
      </c>
      <c r="K76" s="32">
        <f>IFERROR('Cash Flow Data'!K7,0)</f>
        <v>6945</v>
      </c>
      <c r="L76" s="32">
        <f>IFERROR('Cash Flow Data'!L7,0)</f>
        <v>13706</v>
      </c>
      <c r="M76" s="32"/>
    </row>
    <row r="77" spans="1:13" x14ac:dyDescent="0.35">
      <c r="B77" t="s">
        <v>93</v>
      </c>
      <c r="C77" s="32">
        <f>IFERROR('Cash Flow Data'!C8,0)</f>
        <v>0</v>
      </c>
      <c r="D77" s="32">
        <f>IFERROR('Cash Flow Data'!D8,0)</f>
        <v>-520</v>
      </c>
      <c r="E77" s="32">
        <f>IFERROR('Cash Flow Data'!E8,0)</f>
        <v>0</v>
      </c>
      <c r="F77" s="32">
        <f>IFERROR('Cash Flow Data'!F8,0)</f>
        <v>0</v>
      </c>
      <c r="G77" s="32">
        <f>IFERROR('Cash Flow Data'!G8,0)</f>
        <v>0</v>
      </c>
      <c r="H77" s="32">
        <f>IFERROR('Cash Flow Data'!H8,0)</f>
        <v>0</v>
      </c>
      <c r="I77" s="32">
        <f>IFERROR('Cash Flow Data'!I8,0)</f>
        <v>0</v>
      </c>
      <c r="J77" s="32">
        <f>IFERROR('Cash Flow Data'!J8,0)</f>
        <v>0</v>
      </c>
      <c r="K77" s="32">
        <f>IFERROR('Cash Flow Data'!K8,0)</f>
        <v>0</v>
      </c>
      <c r="L77" s="32">
        <f>IFERROR('Cash Flow Data'!L8,0)</f>
        <v>0</v>
      </c>
      <c r="M77" s="32"/>
    </row>
    <row r="78" spans="1:13" x14ac:dyDescent="0.35">
      <c r="B78" t="s">
        <v>94</v>
      </c>
      <c r="C78" s="32">
        <f>IFERROR('Cash Flow Data'!C9,0)</f>
        <v>-398</v>
      </c>
      <c r="D78" s="32">
        <f>IFERROR('Cash Flow Data'!D9,0)</f>
        <v>5852</v>
      </c>
      <c r="E78" s="32">
        <f>IFERROR('Cash Flow Data'!E9,0)</f>
        <v>4727</v>
      </c>
      <c r="F78" s="32">
        <f>IFERROR('Cash Flow Data'!F9,0)</f>
        <v>494</v>
      </c>
      <c r="G78" s="32">
        <f>IFERROR('Cash Flow Data'!G9,0)</f>
        <v>4512</v>
      </c>
      <c r="H78" s="32">
        <f>IFERROR('Cash Flow Data'!H9,0)</f>
        <v>875</v>
      </c>
      <c r="I78" s="32">
        <f>IFERROR('Cash Flow Data'!I9,0)</f>
        <v>-4150</v>
      </c>
      <c r="J78" s="32">
        <f>IFERROR('Cash Flow Data'!J9,0)</f>
        <v>-4396</v>
      </c>
      <c r="K78" s="32">
        <f>IFERROR('Cash Flow Data'!K9,0)</f>
        <v>-2194</v>
      </c>
      <c r="L78" s="32">
        <f>IFERROR('Cash Flow Data'!L9,0)</f>
        <v>2760</v>
      </c>
      <c r="M78" s="32"/>
    </row>
    <row r="79" spans="1:13" x14ac:dyDescent="0.35">
      <c r="B79" t="s">
        <v>95</v>
      </c>
      <c r="C79" s="32">
        <f>IFERROR('Cash Flow Data'!C10,0)</f>
        <v>-3672</v>
      </c>
      <c r="D79" s="32">
        <f>IFERROR('Cash Flow Data'!D10,0)</f>
        <v>1313</v>
      </c>
      <c r="E79" s="32">
        <f>IFERROR('Cash Flow Data'!E10,0)</f>
        <v>3254</v>
      </c>
      <c r="F79" s="32">
        <f>IFERROR('Cash Flow Data'!F10,0)</f>
        <v>-6434</v>
      </c>
      <c r="G79" s="32">
        <f>IFERROR('Cash Flow Data'!G10,0)</f>
        <v>-7221</v>
      </c>
      <c r="H79" s="32">
        <f>IFERROR('Cash Flow Data'!H10,0)</f>
        <v>5065</v>
      </c>
      <c r="I79" s="32">
        <f>IFERROR('Cash Flow Data'!I10,0)</f>
        <v>-93</v>
      </c>
      <c r="J79" s="32">
        <f>IFERROR('Cash Flow Data'!J10,0)</f>
        <v>-10750</v>
      </c>
      <c r="K79" s="32">
        <f>IFERROR('Cash Flow Data'!K10,0)</f>
        <v>-3127</v>
      </c>
      <c r="L79" s="32">
        <f>IFERROR('Cash Flow Data'!L10,0)</f>
        <v>7325</v>
      </c>
      <c r="M79" s="32"/>
    </row>
    <row r="80" spans="1:13" x14ac:dyDescent="0.35">
      <c r="B80" t="s">
        <v>96</v>
      </c>
      <c r="C80" s="32">
        <f>IFERROR('Cash Flow Data'!C11,0)</f>
        <v>-4194</v>
      </c>
      <c r="D80" s="32">
        <f>IFERROR('Cash Flow Data'!D11,0)</f>
        <v>-2040</v>
      </c>
      <c r="E80" s="32">
        <f>IFERROR('Cash Flow Data'!E11,0)</f>
        <v>-1895</v>
      </c>
      <c r="F80" s="32">
        <f>IFERROR('Cash Flow Data'!F11,0)</f>
        <v>-3021</v>
      </c>
      <c r="G80" s="32">
        <f>IFERROR('Cash Flow Data'!G11,0)</f>
        <v>-2659</v>
      </c>
      <c r="H80" s="32">
        <f>IFERROR('Cash Flow Data'!H11,0)</f>
        <v>-1785</v>
      </c>
      <c r="I80" s="32">
        <f>IFERROR('Cash Flow Data'!I11,0)</f>
        <v>-2105</v>
      </c>
      <c r="J80" s="32">
        <f>IFERROR('Cash Flow Data'!J11,0)</f>
        <v>-1910</v>
      </c>
      <c r="K80" s="32">
        <f>IFERROR('Cash Flow Data'!K11,0)</f>
        <v>-3179</v>
      </c>
      <c r="L80" s="32">
        <f>IFERROR('Cash Flow Data'!L11,0)</f>
        <v>-4516</v>
      </c>
      <c r="M80" s="32"/>
    </row>
    <row r="81" spans="2:12" x14ac:dyDescent="0.35">
      <c r="B81" s="39" t="s">
        <v>89</v>
      </c>
      <c r="C81" s="40">
        <f>IFERROR(SUM(C73:C80),0)</f>
        <v>31860</v>
      </c>
      <c r="D81" s="40">
        <f t="shared" ref="D81:L81" si="22">IFERROR(SUM(D73:D80),0)</f>
        <v>39212</v>
      </c>
      <c r="E81" s="40">
        <f t="shared" si="22"/>
        <v>33454</v>
      </c>
      <c r="F81" s="40">
        <f t="shared" si="22"/>
        <v>17423</v>
      </c>
      <c r="G81" s="40">
        <f t="shared" si="22"/>
        <v>11671</v>
      </c>
      <c r="H81" s="40">
        <f t="shared" si="22"/>
        <v>31698</v>
      </c>
      <c r="I81" s="40">
        <f t="shared" si="22"/>
        <v>28907</v>
      </c>
      <c r="J81" s="40">
        <f t="shared" si="22"/>
        <v>3532</v>
      </c>
      <c r="K81" s="40">
        <f t="shared" si="22"/>
        <v>32261</v>
      </c>
      <c r="L81" s="40">
        <f t="shared" si="22"/>
        <v>75241</v>
      </c>
    </row>
    <row r="83" spans="2:12" x14ac:dyDescent="0.35">
      <c r="B83" s="12" t="s">
        <v>119</v>
      </c>
    </row>
    <row r="84" spans="2:12" x14ac:dyDescent="0.35">
      <c r="B84" t="s">
        <v>98</v>
      </c>
      <c r="C84" s="32">
        <f>IFERROR('Cash Flow Data'!C13,0)</f>
        <v>-31962</v>
      </c>
      <c r="D84" s="32">
        <f>IFERROR('Cash Flow Data'!D13,0)</f>
        <v>-31503</v>
      </c>
      <c r="E84" s="32">
        <f>IFERROR('Cash Flow Data'!E13,0)</f>
        <v>-16072</v>
      </c>
      <c r="F84" s="32">
        <f>IFERROR('Cash Flow Data'!F13,0)</f>
        <v>-35079</v>
      </c>
      <c r="G84" s="32">
        <f>IFERROR('Cash Flow Data'!G13,0)</f>
        <v>-35304</v>
      </c>
      <c r="H84" s="32">
        <f>IFERROR('Cash Flow Data'!H13,0)</f>
        <v>-29702</v>
      </c>
      <c r="I84" s="32">
        <f>IFERROR('Cash Flow Data'!I13,0)</f>
        <v>-20205</v>
      </c>
      <c r="J84" s="32">
        <f>IFERROR('Cash Flow Data'!J13,0)</f>
        <v>-15168</v>
      </c>
      <c r="K84" s="32">
        <f>IFERROR('Cash Flow Data'!K13,0)</f>
        <v>-19230</v>
      </c>
      <c r="L84" s="32">
        <f>IFERROR('Cash Flow Data'!L13,0)</f>
        <v>-31414</v>
      </c>
    </row>
    <row r="85" spans="2:12" x14ac:dyDescent="0.35">
      <c r="B85" t="s">
        <v>99</v>
      </c>
      <c r="C85" s="32">
        <f>IFERROR('Cash Flow Data'!C14,0)</f>
        <v>74</v>
      </c>
      <c r="D85" s="32">
        <f>IFERROR('Cash Flow Data'!D14,0)</f>
        <v>59</v>
      </c>
      <c r="E85" s="32">
        <f>IFERROR('Cash Flow Data'!E14,0)</f>
        <v>53</v>
      </c>
      <c r="F85" s="32">
        <f>IFERROR('Cash Flow Data'!F14,0)</f>
        <v>30</v>
      </c>
      <c r="G85" s="32">
        <f>IFERROR('Cash Flow Data'!G14,0)</f>
        <v>67</v>
      </c>
      <c r="H85" s="32">
        <f>IFERROR('Cash Flow Data'!H14,0)</f>
        <v>171</v>
      </c>
      <c r="I85" s="32">
        <f>IFERROR('Cash Flow Data'!I14,0)</f>
        <v>351</v>
      </c>
      <c r="J85" s="32">
        <f>IFERROR('Cash Flow Data'!J14,0)</f>
        <v>230</v>
      </c>
      <c r="K85" s="32">
        <f>IFERROR('Cash Flow Data'!K14,0)</f>
        <v>285</v>
      </c>
      <c r="L85" s="32">
        <f>IFERROR('Cash Flow Data'!L14,0)</f>
        <v>231</v>
      </c>
    </row>
    <row r="86" spans="2:12" x14ac:dyDescent="0.35">
      <c r="B86" t="s">
        <v>100</v>
      </c>
      <c r="C86" s="32">
        <f>IFERROR('Cash Flow Data'!C15,0)</f>
        <v>-5461</v>
      </c>
      <c r="D86" s="32">
        <f>IFERROR('Cash Flow Data'!D15,0)</f>
        <v>-4728</v>
      </c>
      <c r="E86" s="32">
        <f>IFERROR('Cash Flow Data'!E15,0)</f>
        <v>-6</v>
      </c>
      <c r="F86" s="32">
        <f>IFERROR('Cash Flow Data'!F15,0)</f>
        <v>-329</v>
      </c>
      <c r="G86" s="32">
        <f>IFERROR('Cash Flow Data'!G15,0)</f>
        <v>-130</v>
      </c>
      <c r="H86" s="32">
        <f>IFERROR('Cash Flow Data'!H15,0)</f>
        <v>-1439</v>
      </c>
      <c r="I86" s="32">
        <f>IFERROR('Cash Flow Data'!I15,0)</f>
        <v>-7530</v>
      </c>
      <c r="J86" s="32">
        <f>IFERROR('Cash Flow Data'!J15,0)</f>
        <v>-3008</v>
      </c>
      <c r="K86" s="32">
        <f>IFERROR('Cash Flow Data'!K15,0)</f>
        <v>-50</v>
      </c>
      <c r="L86" s="32">
        <f>IFERROR('Cash Flow Data'!L15,0)</f>
        <v>-74</v>
      </c>
    </row>
    <row r="87" spans="2:12" x14ac:dyDescent="0.35">
      <c r="B87" t="s">
        <v>101</v>
      </c>
      <c r="C87" s="32">
        <f>IFERROR('Cash Flow Data'!C16,0)</f>
        <v>42</v>
      </c>
      <c r="D87" s="32">
        <f>IFERROR('Cash Flow Data'!D16,0)</f>
        <v>89</v>
      </c>
      <c r="E87" s="32">
        <f>IFERROR('Cash Flow Data'!E16,0)</f>
        <v>1965</v>
      </c>
      <c r="F87" s="32">
        <f>IFERROR('Cash Flow Data'!F16,0)</f>
        <v>2381</v>
      </c>
      <c r="G87" s="32">
        <f>IFERROR('Cash Flow Data'!G16,0)</f>
        <v>5644</v>
      </c>
      <c r="H87" s="32">
        <f>IFERROR('Cash Flow Data'!H16,0)</f>
        <v>21</v>
      </c>
      <c r="I87" s="32">
        <f>IFERROR('Cash Flow Data'!I16,0)</f>
        <v>226</v>
      </c>
      <c r="J87" s="32">
        <f>IFERROR('Cash Flow Data'!J16,0)</f>
        <v>104</v>
      </c>
      <c r="K87" s="32">
        <f>IFERROR('Cash Flow Data'!K16,0)</f>
        <v>6895</v>
      </c>
      <c r="L87" s="32">
        <f>IFERROR('Cash Flow Data'!L16,0)</f>
        <v>10820</v>
      </c>
    </row>
    <row r="88" spans="2:12" x14ac:dyDescent="0.35">
      <c r="B88" t="s">
        <v>102</v>
      </c>
      <c r="C88" s="32">
        <f>IFERROR('Cash Flow Data'!C17,0)</f>
        <v>698</v>
      </c>
      <c r="D88" s="32">
        <f>IFERROR('Cash Flow Data'!D17,0)</f>
        <v>731</v>
      </c>
      <c r="E88" s="32">
        <f>IFERROR('Cash Flow Data'!E17,0)</f>
        <v>638</v>
      </c>
      <c r="F88" s="32">
        <f>IFERROR('Cash Flow Data'!F17,0)</f>
        <v>690</v>
      </c>
      <c r="G88" s="32">
        <f>IFERROR('Cash Flow Data'!G17,0)</f>
        <v>761</v>
      </c>
      <c r="H88" s="32">
        <f>IFERROR('Cash Flow Data'!H17,0)</f>
        <v>1104</v>
      </c>
      <c r="I88" s="32">
        <f>IFERROR('Cash Flow Data'!I17,0)</f>
        <v>428</v>
      </c>
      <c r="J88" s="32">
        <f>IFERROR('Cash Flow Data'!J17,0)</f>
        <v>653</v>
      </c>
      <c r="K88" s="32">
        <f>IFERROR('Cash Flow Data'!K17,0)</f>
        <v>973</v>
      </c>
      <c r="L88" s="32">
        <f>IFERROR('Cash Flow Data'!L17,0)</f>
        <v>2493</v>
      </c>
    </row>
    <row r="89" spans="2:12" x14ac:dyDescent="0.35">
      <c r="B89" t="s">
        <v>103</v>
      </c>
      <c r="C89" s="32">
        <f>IFERROR('Cash Flow Data'!C18,0)</f>
        <v>80</v>
      </c>
      <c r="D89" s="32">
        <f>IFERROR('Cash Flow Data'!D18,0)</f>
        <v>58</v>
      </c>
      <c r="E89" s="32">
        <f>IFERROR('Cash Flow Data'!E18,0)</f>
        <v>620</v>
      </c>
      <c r="F89" s="32">
        <f>IFERROR('Cash Flow Data'!F18,0)</f>
        <v>1797</v>
      </c>
      <c r="G89" s="32">
        <f>IFERROR('Cash Flow Data'!G18,0)</f>
        <v>232</v>
      </c>
      <c r="H89" s="32">
        <f>IFERROR('Cash Flow Data'!H18,0)</f>
        <v>21</v>
      </c>
      <c r="I89" s="32">
        <f>IFERROR('Cash Flow Data'!I18,0)</f>
        <v>18</v>
      </c>
      <c r="J89" s="32">
        <f>IFERROR('Cash Flow Data'!J18,0)</f>
        <v>32</v>
      </c>
      <c r="K89" s="32">
        <f>IFERROR('Cash Flow Data'!K18,0)</f>
        <v>46</v>
      </c>
      <c r="L89" s="32">
        <f>IFERROR('Cash Flow Data'!L18,0)</f>
        <v>47</v>
      </c>
    </row>
    <row r="90" spans="2:12" x14ac:dyDescent="0.35">
      <c r="B90" t="s">
        <v>104</v>
      </c>
      <c r="C90" s="32">
        <f>IFERROR('Cash Flow Data'!C19,0)</f>
        <v>-160</v>
      </c>
      <c r="D90" s="32">
        <f>IFERROR('Cash Flow Data'!D19,0)</f>
        <v>0</v>
      </c>
      <c r="E90" s="32">
        <f>IFERROR('Cash Flow Data'!E19,0)</f>
        <v>-107</v>
      </c>
      <c r="F90" s="32">
        <f>IFERROR('Cash Flow Data'!F19,0)</f>
        <v>-4</v>
      </c>
      <c r="G90" s="32">
        <f>IFERROR('Cash Flow Data'!G19,0)</f>
        <v>-9</v>
      </c>
      <c r="H90" s="32">
        <f>IFERROR('Cash Flow Data'!H19,0)</f>
        <v>-606</v>
      </c>
      <c r="I90" s="32">
        <f>IFERROR('Cash Flow Data'!I19,0)</f>
        <v>-10</v>
      </c>
      <c r="J90" s="32">
        <f>IFERROR('Cash Flow Data'!J19,0)</f>
        <v>0</v>
      </c>
      <c r="K90" s="32">
        <f>IFERROR('Cash Flow Data'!K19,0)</f>
        <v>0</v>
      </c>
      <c r="L90" s="32">
        <f>IFERROR('Cash Flow Data'!L19,0)</f>
        <v>-150</v>
      </c>
    </row>
    <row r="91" spans="2:12" x14ac:dyDescent="0.35">
      <c r="B91" t="s">
        <v>105</v>
      </c>
      <c r="C91" s="32">
        <f>IFERROR('Cash Flow Data'!C20,0)</f>
        <v>0</v>
      </c>
      <c r="D91" s="32">
        <f>IFERROR('Cash Flow Data'!D20,0)</f>
        <v>0</v>
      </c>
      <c r="E91" s="32">
        <f>IFERROR('Cash Flow Data'!E20,0)</f>
        <v>0</v>
      </c>
      <c r="F91" s="32">
        <f>IFERROR('Cash Flow Data'!F20,0)</f>
        <v>14</v>
      </c>
      <c r="G91" s="32">
        <f>IFERROR('Cash Flow Data'!G20,0)</f>
        <v>533</v>
      </c>
      <c r="H91" s="32">
        <f>IFERROR('Cash Flow Data'!H20,0)</f>
        <v>0</v>
      </c>
      <c r="I91" s="32">
        <f>IFERROR('Cash Flow Data'!I20,0)</f>
        <v>0</v>
      </c>
      <c r="J91" s="32">
        <f>IFERROR('Cash Flow Data'!J20,0)</f>
        <v>0</v>
      </c>
      <c r="K91" s="32">
        <f>IFERROR('Cash Flow Data'!K20,0)</f>
        <v>19</v>
      </c>
      <c r="L91" s="32">
        <f>IFERROR('Cash Flow Data'!L20,0)</f>
        <v>108</v>
      </c>
    </row>
    <row r="92" spans="2:12" x14ac:dyDescent="0.35">
      <c r="B92" t="s">
        <v>106</v>
      </c>
      <c r="C92" s="32">
        <f>IFERROR('Cash Flow Data'!C21,0)</f>
        <v>0</v>
      </c>
      <c r="D92" s="32">
        <f>IFERROR('Cash Flow Data'!D21,0)</f>
        <v>-111</v>
      </c>
      <c r="E92" s="32">
        <f>IFERROR('Cash Flow Data'!E21,0)</f>
        <v>0</v>
      </c>
      <c r="F92" s="32">
        <f>IFERROR('Cash Flow Data'!F21,0)</f>
        <v>0</v>
      </c>
      <c r="G92" s="32">
        <f>IFERROR('Cash Flow Data'!G21,0)</f>
        <v>-8</v>
      </c>
      <c r="H92" s="32">
        <f>IFERROR('Cash Flow Data'!H21,0)</f>
        <v>-27</v>
      </c>
      <c r="I92" s="32">
        <f>IFERROR('Cash Flow Data'!I21,0)</f>
        <v>0</v>
      </c>
      <c r="J92" s="32">
        <f>IFERROR('Cash Flow Data'!J21,0)</f>
        <v>-98</v>
      </c>
      <c r="K92" s="32">
        <f>IFERROR('Cash Flow Data'!K21,0)</f>
        <v>0</v>
      </c>
      <c r="L92" s="32">
        <f>IFERROR('Cash Flow Data'!L21,0)</f>
        <v>0</v>
      </c>
    </row>
    <row r="93" spans="2:12" x14ac:dyDescent="0.35">
      <c r="B93" t="s">
        <v>107</v>
      </c>
      <c r="C93" s="32">
        <f>IFERROR('Cash Flow Data'!C22,0)</f>
        <v>0</v>
      </c>
      <c r="D93" s="32">
        <f>IFERROR('Cash Flow Data'!D22,0)</f>
        <v>0</v>
      </c>
      <c r="E93" s="32">
        <f>IFERROR('Cash Flow Data'!E22,0)</f>
        <v>0</v>
      </c>
      <c r="F93" s="32">
        <f>IFERROR('Cash Flow Data'!F22,0)</f>
        <v>0</v>
      </c>
      <c r="G93" s="32">
        <f>IFERROR('Cash Flow Data'!G22,0)</f>
        <v>0</v>
      </c>
      <c r="H93" s="32">
        <f>IFERROR('Cash Flow Data'!H22,0)</f>
        <v>0</v>
      </c>
      <c r="I93" s="32">
        <f>IFERROR('Cash Flow Data'!I22,0)</f>
        <v>0</v>
      </c>
      <c r="J93" s="32">
        <f>IFERROR('Cash Flow Data'!J22,0)</f>
        <v>0</v>
      </c>
      <c r="K93" s="32">
        <f>IFERROR('Cash Flow Data'!K22,0)</f>
        <v>0</v>
      </c>
      <c r="L93" s="32">
        <f>IFERROR('Cash Flow Data'!L22,0)</f>
        <v>-24</v>
      </c>
    </row>
    <row r="94" spans="2:12" x14ac:dyDescent="0.35">
      <c r="B94" t="s">
        <v>108</v>
      </c>
      <c r="C94" s="32">
        <f>IFERROR('Cash Flow Data'!C23,0)</f>
        <v>456</v>
      </c>
      <c r="D94" s="32">
        <f>IFERROR('Cash Flow Data'!D23,0)</f>
        <v>-1289</v>
      </c>
      <c r="E94" s="32">
        <f>IFERROR('Cash Flow Data'!E23,0)</f>
        <v>-26663</v>
      </c>
      <c r="F94" s="32">
        <f>IFERROR('Cash Flow Data'!F23,0)</f>
        <v>5360</v>
      </c>
      <c r="G94" s="32">
        <f>IFERROR('Cash Flow Data'!G23,0)</f>
        <v>7335</v>
      </c>
      <c r="H94" s="32">
        <f>IFERROR('Cash Flow Data'!H23,0)</f>
        <v>-2659</v>
      </c>
      <c r="I94" s="32">
        <f>IFERROR('Cash Flow Data'!I23,0)</f>
        <v>1051</v>
      </c>
      <c r="J94" s="32">
        <f>IFERROR('Cash Flow Data'!J23,0)</f>
        <v>12813</v>
      </c>
      <c r="K94" s="32">
        <f>IFERROR('Cash Flow Data'!K23,0)</f>
        <v>-4357</v>
      </c>
      <c r="L94" s="32">
        <f>IFERROR('Cash Flow Data'!L23,0)</f>
        <v>-4817</v>
      </c>
    </row>
    <row r="95" spans="2:12" x14ac:dyDescent="0.35">
      <c r="B95" s="39" t="s">
        <v>120</v>
      </c>
      <c r="C95" s="40">
        <f>IFERROR(SUM(C84:C94),0)</f>
        <v>-36233</v>
      </c>
      <c r="D95" s="40">
        <f t="shared" ref="D95:L95" si="23">IFERROR(SUM(D84:D94),0)</f>
        <v>-36694</v>
      </c>
      <c r="E95" s="40">
        <f t="shared" si="23"/>
        <v>-39572</v>
      </c>
      <c r="F95" s="40">
        <f t="shared" si="23"/>
        <v>-25140</v>
      </c>
      <c r="G95" s="40">
        <f t="shared" si="23"/>
        <v>-20879</v>
      </c>
      <c r="H95" s="40">
        <f t="shared" si="23"/>
        <v>-33116</v>
      </c>
      <c r="I95" s="40">
        <f t="shared" si="23"/>
        <v>-25671</v>
      </c>
      <c r="J95" s="40">
        <f t="shared" si="23"/>
        <v>-4442</v>
      </c>
      <c r="K95" s="40">
        <f t="shared" si="23"/>
        <v>-15419</v>
      </c>
      <c r="L95" s="40">
        <f t="shared" si="23"/>
        <v>-22780</v>
      </c>
    </row>
    <row r="97" spans="2:12" x14ac:dyDescent="0.35">
      <c r="B97" s="12" t="s">
        <v>121</v>
      </c>
    </row>
    <row r="98" spans="2:12" x14ac:dyDescent="0.35">
      <c r="B98" t="s">
        <v>110</v>
      </c>
      <c r="C98" s="32">
        <f>IFERROR('Cash Flow Data'!C25,0)</f>
        <v>0</v>
      </c>
      <c r="D98" s="32">
        <f>IFERROR('Cash Flow Data'!D25,0)</f>
        <v>7433</v>
      </c>
      <c r="E98" s="32">
        <f>IFERROR('Cash Flow Data'!E25,0)</f>
        <v>5</v>
      </c>
      <c r="F98" s="32">
        <f>IFERROR('Cash Flow Data'!F25,0)</f>
        <v>0</v>
      </c>
      <c r="G98" s="32">
        <f>IFERROR('Cash Flow Data'!G25,0)</f>
        <v>0</v>
      </c>
      <c r="H98" s="32">
        <f>IFERROR('Cash Flow Data'!H25,0)</f>
        <v>3889</v>
      </c>
      <c r="I98" s="32">
        <f>IFERROR('Cash Flow Data'!I25,0)</f>
        <v>2603</v>
      </c>
      <c r="J98" s="32">
        <f>IFERROR('Cash Flow Data'!J25,0)</f>
        <v>19</v>
      </c>
      <c r="K98" s="32">
        <f>IFERROR('Cash Flow Data'!K25,0)</f>
        <v>20</v>
      </c>
      <c r="L98" s="32">
        <f>IFERROR('Cash Flow Data'!L25,0)</f>
        <v>82</v>
      </c>
    </row>
    <row r="99" spans="2:12" x14ac:dyDescent="0.35">
      <c r="B99" t="s">
        <v>111</v>
      </c>
      <c r="C99" s="32">
        <f>IFERROR('Cash Flow Data'!C26,0)</f>
        <v>-744</v>
      </c>
      <c r="D99" s="32">
        <f>IFERROR('Cash Flow Data'!D26,0)</f>
        <v>0</v>
      </c>
      <c r="E99" s="32">
        <f>IFERROR('Cash Flow Data'!E26,0)</f>
        <v>0</v>
      </c>
      <c r="F99" s="32">
        <f>IFERROR('Cash Flow Data'!F26,0)</f>
        <v>0</v>
      </c>
      <c r="G99" s="32">
        <f>IFERROR('Cash Flow Data'!G26,0)</f>
        <v>0</v>
      </c>
      <c r="H99" s="32">
        <f>IFERROR('Cash Flow Data'!H26,0)</f>
        <v>0</v>
      </c>
      <c r="I99" s="32">
        <f>IFERROR('Cash Flow Data'!I26,0)</f>
        <v>0</v>
      </c>
      <c r="J99" s="32">
        <f>IFERROR('Cash Flow Data'!J26,0)</f>
        <v>0</v>
      </c>
      <c r="K99" s="32">
        <f>IFERROR('Cash Flow Data'!K26,0)</f>
        <v>0</v>
      </c>
      <c r="L99" s="32">
        <f>IFERROR('Cash Flow Data'!L26,0)</f>
        <v>0</v>
      </c>
    </row>
    <row r="100" spans="2:12" x14ac:dyDescent="0.35">
      <c r="B100" t="s">
        <v>112</v>
      </c>
      <c r="C100" s="32">
        <f>IFERROR('Cash Flow Data'!C27,0)</f>
        <v>36363</v>
      </c>
      <c r="D100" s="32">
        <f>IFERROR('Cash Flow Data'!D27,0)</f>
        <v>19519</v>
      </c>
      <c r="E100" s="32">
        <f>IFERROR('Cash Flow Data'!E27,0)</f>
        <v>33390</v>
      </c>
      <c r="F100" s="32">
        <f>IFERROR('Cash Flow Data'!F27,0)</f>
        <v>37482</v>
      </c>
      <c r="G100" s="32">
        <f>IFERROR('Cash Flow Data'!G27,0)</f>
        <v>51128</v>
      </c>
      <c r="H100" s="32">
        <f>IFERROR('Cash Flow Data'!H27,0)</f>
        <v>38297</v>
      </c>
      <c r="I100" s="32">
        <f>IFERROR('Cash Flow Data'!I27,0)</f>
        <v>46641</v>
      </c>
      <c r="J100" s="32">
        <f>IFERROR('Cash Flow Data'!J27,0)</f>
        <v>46578</v>
      </c>
      <c r="K100" s="32">
        <f>IFERROR('Cash Flow Data'!K27,0)</f>
        <v>43934</v>
      </c>
      <c r="L100" s="32">
        <f>IFERROR('Cash Flow Data'!L27,0)</f>
        <v>18747</v>
      </c>
    </row>
    <row r="101" spans="2:12" x14ac:dyDescent="0.35">
      <c r="B101" t="s">
        <v>113</v>
      </c>
      <c r="C101" s="32">
        <f>IFERROR('Cash Flow Data'!C28,0)</f>
        <v>-23332</v>
      </c>
      <c r="D101" s="32">
        <f>IFERROR('Cash Flow Data'!D28,0)</f>
        <v>-24924</v>
      </c>
      <c r="E101" s="32">
        <f>IFERROR('Cash Flow Data'!E28,0)</f>
        <v>-21732</v>
      </c>
      <c r="F101" s="32">
        <f>IFERROR('Cash Flow Data'!F28,0)</f>
        <v>-29964</v>
      </c>
      <c r="G101" s="32">
        <f>IFERROR('Cash Flow Data'!G28,0)</f>
        <v>-35198</v>
      </c>
      <c r="H101" s="32">
        <f>IFERROR('Cash Flow Data'!H28,0)</f>
        <v>-29847</v>
      </c>
      <c r="I101" s="32">
        <f>IFERROR('Cash Flow Data'!I28,0)</f>
        <v>-29709</v>
      </c>
      <c r="J101" s="32">
        <f>IFERROR('Cash Flow Data'!J28,0)</f>
        <v>-42816</v>
      </c>
      <c r="K101" s="32">
        <f>IFERROR('Cash Flow Data'!K28,0)</f>
        <v>-62557</v>
      </c>
      <c r="L101" s="32">
        <f>IFERROR('Cash Flow Data'!L28,0)</f>
        <v>-47332</v>
      </c>
    </row>
    <row r="102" spans="2:12" x14ac:dyDescent="0.35">
      <c r="B102" t="s">
        <v>114</v>
      </c>
      <c r="C102" s="32">
        <f>IFERROR('Cash Flow Data'!C29,0)</f>
        <v>-6307</v>
      </c>
      <c r="D102" s="32">
        <f>IFERROR('Cash Flow Data'!D29,0)</f>
        <v>-5716</v>
      </c>
      <c r="E102" s="32">
        <f>IFERROR('Cash Flow Data'!E29,0)</f>
        <v>-5336</v>
      </c>
      <c r="F102" s="32">
        <f>IFERROR('Cash Flow Data'!F29,0)</f>
        <v>-5411</v>
      </c>
      <c r="G102" s="32">
        <f>IFERROR('Cash Flow Data'!G29,0)</f>
        <v>-7005</v>
      </c>
      <c r="H102" s="32">
        <f>IFERROR('Cash Flow Data'!H29,0)</f>
        <v>-7518</v>
      </c>
      <c r="I102" s="32">
        <f>IFERROR('Cash Flow Data'!I29,0)</f>
        <v>-8123</v>
      </c>
      <c r="J102" s="32">
        <f>IFERROR('Cash Flow Data'!J29,0)</f>
        <v>-9251</v>
      </c>
      <c r="K102" s="32">
        <f>IFERROR('Cash Flow Data'!K29,0)</f>
        <v>-9336</v>
      </c>
      <c r="L102" s="32">
        <f>IFERROR('Cash Flow Data'!L29,0)</f>
        <v>-9332</v>
      </c>
    </row>
    <row r="103" spans="2:12" x14ac:dyDescent="0.35">
      <c r="B103" t="s">
        <v>115</v>
      </c>
      <c r="C103" s="32">
        <f>IFERROR('Cash Flow Data'!C30,0)</f>
        <v>-720</v>
      </c>
      <c r="D103" s="32">
        <f>IFERROR('Cash Flow Data'!D30,0)</f>
        <v>-108</v>
      </c>
      <c r="E103" s="32">
        <f>IFERROR('Cash Flow Data'!E30,0)</f>
        <v>-121</v>
      </c>
      <c r="F103" s="32">
        <f>IFERROR('Cash Flow Data'!F30,0)</f>
        <v>-96</v>
      </c>
      <c r="G103" s="32">
        <f>IFERROR('Cash Flow Data'!G30,0)</f>
        <v>-95</v>
      </c>
      <c r="H103" s="32">
        <f>IFERROR('Cash Flow Data'!H30,0)</f>
        <v>-57</v>
      </c>
      <c r="I103" s="32">
        <f>IFERROR('Cash Flow Data'!I30,0)</f>
        <v>-30</v>
      </c>
      <c r="J103" s="32">
        <f>IFERROR('Cash Flow Data'!J30,0)</f>
        <v>-100</v>
      </c>
      <c r="K103" s="32">
        <f>IFERROR('Cash Flow Data'!K30,0)</f>
        <v>-141</v>
      </c>
      <c r="L103" s="32">
        <f>IFERROR('Cash Flow Data'!L30,0)</f>
        <v>-1059</v>
      </c>
    </row>
    <row r="104" spans="2:12" x14ac:dyDescent="0.35">
      <c r="B104" t="s">
        <v>116</v>
      </c>
      <c r="C104" s="32">
        <f>IFERROR('Cash Flow Data'!C31,0)</f>
        <v>0</v>
      </c>
      <c r="D104" s="32">
        <f>IFERROR('Cash Flow Data'!D31,0)</f>
        <v>0</v>
      </c>
      <c r="E104" s="32">
        <f>IFERROR('Cash Flow Data'!E31,0)</f>
        <v>0</v>
      </c>
      <c r="F104" s="32">
        <f>IFERROR('Cash Flow Data'!F31,0)</f>
        <v>0</v>
      </c>
      <c r="G104" s="32">
        <f>IFERROR('Cash Flow Data'!G31,0)</f>
        <v>0</v>
      </c>
      <c r="H104" s="32">
        <f>IFERROR('Cash Flow Data'!H31,0)</f>
        <v>-1346</v>
      </c>
      <c r="I104" s="32">
        <f>IFERROR('Cash Flow Data'!I31,0)</f>
        <v>-1477</v>
      </c>
      <c r="J104" s="32">
        <f>IFERROR('Cash Flow Data'!J31,0)</f>
        <v>-1559</v>
      </c>
      <c r="K104" s="32">
        <f>IFERROR('Cash Flow Data'!K31,0)</f>
        <v>-1517</v>
      </c>
      <c r="L104" s="32">
        <f>IFERROR('Cash Flow Data'!L31,0)</f>
        <v>-1924</v>
      </c>
    </row>
    <row r="105" spans="2:12" x14ac:dyDescent="0.35">
      <c r="B105" t="s">
        <v>117</v>
      </c>
      <c r="C105" s="32">
        <f>IFERROR('Cash Flow Data'!C32,0)</f>
        <v>-57</v>
      </c>
      <c r="D105" s="32">
        <f>IFERROR('Cash Flow Data'!D32,0)</f>
        <v>0</v>
      </c>
      <c r="E105" s="32">
        <f>IFERROR('Cash Flow Data'!E32,0)</f>
        <v>0</v>
      </c>
      <c r="F105" s="32">
        <f>IFERROR('Cash Flow Data'!F32,0)</f>
        <v>0</v>
      </c>
      <c r="G105" s="32">
        <f>IFERROR('Cash Flow Data'!G32,0)</f>
        <v>0</v>
      </c>
      <c r="H105" s="32">
        <f>IFERROR('Cash Flow Data'!H32,0)</f>
        <v>-29</v>
      </c>
      <c r="I105" s="32">
        <f>IFERROR('Cash Flow Data'!I32,0)</f>
        <v>0</v>
      </c>
      <c r="J105" s="32">
        <f>IFERROR('Cash Flow Data'!J32,0)</f>
        <v>3750</v>
      </c>
      <c r="K105" s="32">
        <f>IFERROR('Cash Flow Data'!K32,0)</f>
        <v>3355</v>
      </c>
      <c r="L105" s="32">
        <f>IFERROR('Cash Flow Data'!L32,0)</f>
        <v>3812</v>
      </c>
    </row>
    <row r="106" spans="2:12" x14ac:dyDescent="0.35">
      <c r="B106" s="39" t="s">
        <v>122</v>
      </c>
      <c r="C106" s="40">
        <f>IFERROR(SUM(C98:C105),0)</f>
        <v>5203</v>
      </c>
      <c r="D106" s="40">
        <f t="shared" ref="D106:L106" si="24">IFERROR(SUM(D98:D105),0)</f>
        <v>-3796</v>
      </c>
      <c r="E106" s="40">
        <f t="shared" si="24"/>
        <v>6206</v>
      </c>
      <c r="F106" s="40">
        <f t="shared" si="24"/>
        <v>2011</v>
      </c>
      <c r="G106" s="40">
        <f t="shared" si="24"/>
        <v>8830</v>
      </c>
      <c r="H106" s="40">
        <f t="shared" si="24"/>
        <v>3389</v>
      </c>
      <c r="I106" s="40">
        <f t="shared" si="24"/>
        <v>9905</v>
      </c>
      <c r="J106" s="40">
        <f t="shared" si="24"/>
        <v>-3379</v>
      </c>
      <c r="K106" s="40">
        <f t="shared" si="24"/>
        <v>-26242</v>
      </c>
      <c r="L106" s="40">
        <f t="shared" si="24"/>
        <v>-37006</v>
      </c>
    </row>
    <row r="108" spans="2:12" x14ac:dyDescent="0.35">
      <c r="B108" s="39" t="s">
        <v>3</v>
      </c>
      <c r="C108" s="40">
        <f>IFERROR(SUM(C81,C95,C106),0)</f>
        <v>830</v>
      </c>
      <c r="D108" s="40">
        <f>IFERROR(SUM(D81,D95,D106),0)</f>
        <v>-1278</v>
      </c>
      <c r="E108" s="40">
        <f t="shared" ref="E108:L108" si="25">IFERROR(SUM(E81,E95,E106),0)</f>
        <v>88</v>
      </c>
      <c r="F108" s="40">
        <f t="shared" si="25"/>
        <v>-5706</v>
      </c>
      <c r="G108" s="40">
        <f t="shared" si="25"/>
        <v>-378</v>
      </c>
      <c r="H108" s="40">
        <f t="shared" si="25"/>
        <v>1971</v>
      </c>
      <c r="I108" s="40">
        <f t="shared" si="25"/>
        <v>13141</v>
      </c>
      <c r="J108" s="40">
        <f t="shared" si="25"/>
        <v>-4289</v>
      </c>
      <c r="K108" s="40">
        <f t="shared" si="25"/>
        <v>-9400</v>
      </c>
      <c r="L108" s="40">
        <f t="shared" si="25"/>
        <v>15455</v>
      </c>
    </row>
  </sheetData>
  <mergeCells count="1">
    <mergeCell ref="B3:M3"/>
  </mergeCells>
  <pageMargins left="0.25" right="0.25" top="0.75" bottom="0.75" header="0.3" footer="0.3"/>
  <pageSetup paperSize="9" scale="47" orientation="portrait" r:id="rId1"/>
  <ignoredErrors>
    <ignoredError sqref="M11 C17:L17 M26 M32 M23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B8D4-1B0E-4389-8790-E80855D8E3A8}">
  <sheetPr>
    <pageSetUpPr fitToPage="1"/>
  </sheetPr>
  <dimension ref="A3:O41"/>
  <sheetViews>
    <sheetView showGridLines="0" tabSelected="1" zoomScale="75" zoomScaleNormal="75" workbookViewId="0">
      <pane ySplit="4" topLeftCell="A5" activePane="bottomLeft" state="frozen"/>
      <selection activeCell="A40" sqref="A40"/>
      <selection pane="bottomLeft" activeCell="A40" sqref="A40"/>
    </sheetView>
  </sheetViews>
  <sheetFormatPr defaultRowHeight="14.5" x14ac:dyDescent="0.35"/>
  <cols>
    <col min="1" max="1" width="1.81640625" customWidth="1"/>
    <col min="2" max="2" width="25.36328125" customWidth="1"/>
    <col min="3" max="3" width="10" customWidth="1"/>
    <col min="4" max="4" width="10.7265625" bestFit="1" customWidth="1"/>
    <col min="5" max="12" width="10" customWidth="1"/>
    <col min="13" max="13" width="14.26953125" style="29" customWidth="1"/>
    <col min="14" max="14" width="9.7265625" bestFit="1" customWidth="1"/>
    <col min="15" max="15" width="10.453125" bestFit="1" customWidth="1"/>
  </cols>
  <sheetData>
    <row r="3" spans="1:15" x14ac:dyDescent="0.35">
      <c r="B3" s="215" t="str">
        <f>"Ratio Analysis - "&amp;'Data Sheet'!B1</f>
        <v>Ratio Analysis - ASIAN PAINTS LTD</v>
      </c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</row>
    <row r="4" spans="1:15" x14ac:dyDescent="0.35">
      <c r="B4" s="9" t="s">
        <v>54</v>
      </c>
      <c r="C4" s="10">
        <f>'Data Sheet'!B16</f>
        <v>42094</v>
      </c>
      <c r="D4" s="10">
        <f>'Data Sheet'!C16</f>
        <v>42460</v>
      </c>
      <c r="E4" s="10">
        <f>'Data Sheet'!D16</f>
        <v>42825</v>
      </c>
      <c r="F4" s="10">
        <f>'Data Sheet'!E16</f>
        <v>43190</v>
      </c>
      <c r="G4" s="10">
        <f>'Data Sheet'!F16</f>
        <v>43555</v>
      </c>
      <c r="H4" s="10">
        <f>'Data Sheet'!G16</f>
        <v>43921</v>
      </c>
      <c r="I4" s="10">
        <f>'Data Sheet'!H16</f>
        <v>44286</v>
      </c>
      <c r="J4" s="10">
        <f>'Data Sheet'!I16</f>
        <v>44651</v>
      </c>
      <c r="K4" s="10">
        <f>'Data Sheet'!J16</f>
        <v>45016</v>
      </c>
      <c r="L4" s="10">
        <f>'Data Sheet'!K16</f>
        <v>45382</v>
      </c>
      <c r="M4" s="53" t="s">
        <v>153</v>
      </c>
      <c r="N4" s="11" t="s">
        <v>152</v>
      </c>
      <c r="O4" s="11" t="s">
        <v>158</v>
      </c>
    </row>
    <row r="6" spans="1:15" x14ac:dyDescent="0.35">
      <c r="A6" t="s">
        <v>57</v>
      </c>
      <c r="B6" s="41" t="s">
        <v>58</v>
      </c>
      <c r="C6" s="41"/>
      <c r="D6" s="42">
        <f>IFERROR(HistoricalFS!D9,0)</f>
        <v>4.8198124751198224E-2</v>
      </c>
      <c r="E6" s="42">
        <f>IFERROR(HistoricalFS!E9,0)</f>
        <v>5.5390151974320734E-2</v>
      </c>
      <c r="F6" s="42">
        <f>IFERROR(HistoricalFS!F9,0)</f>
        <v>0.11702039371955486</v>
      </c>
      <c r="G6" s="42">
        <f>IFERROR(HistoricalFS!G9,0)</f>
        <v>0.14357471670861943</v>
      </c>
      <c r="H6" s="42">
        <f>IFERROR(HistoricalFS!H9,0)</f>
        <v>5.0473671435691925E-2</v>
      </c>
      <c r="I6" s="42">
        <f>IFERROR(HistoricalFS!I9,0)</f>
        <v>7.4292287711052118E-2</v>
      </c>
      <c r="J6" s="42">
        <f>IFERROR(HistoricalFS!J9,0)</f>
        <v>0.34028284711453471</v>
      </c>
      <c r="K6" s="42">
        <f>IFERROR(HistoricalFS!K9,0)</f>
        <v>0.18512278497715551</v>
      </c>
      <c r="L6" s="42">
        <f>IFERROR(HistoricalFS!L9,0)</f>
        <v>2.9173126532572313E-2</v>
      </c>
      <c r="M6" s="54"/>
      <c r="N6" s="46">
        <f>IFERROR(AVERAGE(D6:L6),0)</f>
        <v>0.11594756721385553</v>
      </c>
      <c r="O6" s="46">
        <f>IFERROR(MEDIAN(D6:L6),0)</f>
        <v>7.4292287711052118E-2</v>
      </c>
    </row>
    <row r="7" spans="1:15" x14ac:dyDescent="0.35">
      <c r="B7" t="s">
        <v>124</v>
      </c>
      <c r="D7" s="43">
        <f>IFERROR(HistoricalFS!D20/HistoricalFS!C20-1,0)</f>
        <v>0.21496818836412013</v>
      </c>
      <c r="E7" s="43">
        <f>IFERROR(HistoricalFS!E20/HistoricalFS!D20-1,0)</f>
        <v>9.861139652995865E-2</v>
      </c>
      <c r="F7" s="43">
        <f>IFERROR(HistoricalFS!F20/HistoricalFS!E20-1,0)</f>
        <v>7.0229410507188561E-2</v>
      </c>
      <c r="G7" s="43">
        <f>IFERROR(HistoricalFS!G20/HistoricalFS!F20-1,0)</f>
        <v>0.17507123885381137</v>
      </c>
      <c r="H7" s="43">
        <f>IFERROR(HistoricalFS!H20/HistoricalFS!G20-1,0)</f>
        <v>0.10408665211132084</v>
      </c>
      <c r="I7" s="43">
        <f>IFERROR(HistoricalFS!I20/HistoricalFS!H20-1,0)</f>
        <v>0.16810446447043792</v>
      </c>
      <c r="J7" s="43">
        <f>IFERROR(HistoricalFS!J20/HistoricalFS!I20-1,0)</f>
        <v>-1.0707224647830249E-2</v>
      </c>
      <c r="K7" s="43">
        <f>IFERROR(HistoricalFS!K20/HistoricalFS!J20-1,0)</f>
        <v>0.3031532534906034</v>
      </c>
      <c r="L7" s="43">
        <f>IFERROR(HistoricalFS!L20/HistoricalFS!K20-1,0)</f>
        <v>0.21168911665473988</v>
      </c>
      <c r="N7" s="43">
        <f t="shared" ref="N7:N10" si="0">IFERROR(AVERAGE(D7:L7),0)</f>
        <v>0.14835627737048337</v>
      </c>
      <c r="O7" s="43">
        <f t="shared" ref="O7:O10" si="1">IFERROR(MEDIAN(D7:L7),0)</f>
        <v>0.16810446447043792</v>
      </c>
    </row>
    <row r="8" spans="1:15" x14ac:dyDescent="0.35">
      <c r="B8" t="s">
        <v>151</v>
      </c>
      <c r="D8" s="43">
        <f>IFERROR(HistoricalFS!D29/HistoricalFS!C29-1,0)</f>
        <v>0.24072092746791629</v>
      </c>
      <c r="E8" s="43">
        <f>IFERROR(HistoricalFS!E29/HistoricalFS!D29-1,0)</f>
        <v>9.2140673037667264E-2</v>
      </c>
      <c r="F8" s="43">
        <f>IFERROR(HistoricalFS!F29/HistoricalFS!E29-1,0)</f>
        <v>6.8823331960147449E-2</v>
      </c>
      <c r="G8" s="43">
        <f>IFERROR(HistoricalFS!G29/HistoricalFS!F29-1,0)</f>
        <v>8.2174963509120014E-2</v>
      </c>
      <c r="H8" s="43">
        <f>IFERROR(HistoricalFS!H29/HistoricalFS!G29-1,0)</f>
        <v>7.9694492354063229E-2</v>
      </c>
      <c r="I8" s="43">
        <f>IFERROR(HistoricalFS!I29/HistoricalFS!H29-1,0)</f>
        <v>0.21341238061203782</v>
      </c>
      <c r="J8" s="43">
        <f>IFERROR(HistoricalFS!J29/HistoricalFS!I29-1,0)</f>
        <v>-2.0353915473104944E-2</v>
      </c>
      <c r="K8" s="43">
        <f>IFERROR(HistoricalFS!K29/HistoricalFS!J29-1,0)</f>
        <v>0.35087002548922808</v>
      </c>
      <c r="L8" s="43">
        <f>IFERROR(HistoricalFS!L29/HistoricalFS!K29-1,0)</f>
        <v>0.24145913260813057</v>
      </c>
      <c r="N8" s="43">
        <f t="shared" si="0"/>
        <v>0.1498824457294673</v>
      </c>
      <c r="O8" s="43">
        <f t="shared" si="1"/>
        <v>9.2140673037667264E-2</v>
      </c>
    </row>
    <row r="9" spans="1:15" x14ac:dyDescent="0.35">
      <c r="B9" t="s">
        <v>125</v>
      </c>
      <c r="D9" s="43">
        <f>IFERROR(HistoricalFS!D35/HistoricalFS!C35-1,0)</f>
        <v>0.21069258241972122</v>
      </c>
      <c r="E9" s="43">
        <f>IFERROR(HistoricalFS!E35/HistoricalFS!D35-1,0)</f>
        <v>7.8651902028958665E-2</v>
      </c>
      <c r="F9" s="43">
        <f>IFERROR(HistoricalFS!F35/HistoricalFS!E35-1,0)</f>
        <v>4.9310334554771407E-2</v>
      </c>
      <c r="G9" s="43">
        <f>IFERROR(HistoricalFS!G35/HistoricalFS!F35-1,0)</f>
        <v>9.8324352255112046E-2</v>
      </c>
      <c r="H9" s="43">
        <f>IFERROR(HistoricalFS!H35/HistoricalFS!G35-1,0)</f>
        <v>0.25067338065523237</v>
      </c>
      <c r="I9" s="43">
        <f>IFERROR(HistoricalFS!I35/HistoricalFS!H35-1,0)</f>
        <v>0.18848020370875829</v>
      </c>
      <c r="J9" s="43">
        <f>IFERROR(HistoricalFS!J35/HistoricalFS!I35-1,0)</f>
        <v>-2.9971131438908061E-2</v>
      </c>
      <c r="K9" s="43">
        <f>IFERROR(HistoricalFS!K35/HistoricalFS!J35-1,0)</f>
        <v>0.34957492658474654</v>
      </c>
      <c r="L9" s="43">
        <f>IFERROR(HistoricalFS!L35/HistoricalFS!K35-1,0)</f>
        <v>0.25847332665581102</v>
      </c>
      <c r="N9" s="43">
        <f t="shared" si="0"/>
        <v>0.16157887526935594</v>
      </c>
      <c r="O9" s="43">
        <f t="shared" si="1"/>
        <v>0.18848020370875829</v>
      </c>
    </row>
    <row r="10" spans="1:15" x14ac:dyDescent="0.35">
      <c r="B10" s="44" t="s">
        <v>126</v>
      </c>
      <c r="C10" s="44"/>
      <c r="D10" s="45">
        <f>IFERROR(HistoricalFS!D43/HistoricalFS!C43-1,0)</f>
        <v>0.22951239937789469</v>
      </c>
      <c r="E10" s="45">
        <f>IFERROR(HistoricalFS!E43/HistoricalFS!D43-1,0)</f>
        <v>0.37333889352237981</v>
      </c>
      <c r="F10" s="45">
        <f>IFERROR(HistoricalFS!F43/HistoricalFS!E43-1,0)</f>
        <v>-0.15534727423632066</v>
      </c>
      <c r="G10" s="45">
        <f>IFERROR(HistoricalFS!G43/HistoricalFS!F43-1,0)</f>
        <v>0.20690233672858005</v>
      </c>
      <c r="H10" s="45">
        <f>IFERROR(HistoricalFS!H43/HistoricalFS!G43-1,0)</f>
        <v>0.14285714285714279</v>
      </c>
      <c r="I10" s="45">
        <f>IFERROR(HistoricalFS!I43/HistoricalFS!H43-1,0)</f>
        <v>0.48749826244092298</v>
      </c>
      <c r="J10" s="45">
        <f>IFERROR(HistoricalFS!J43/HistoricalFS!I43-1,0)</f>
        <v>7.2831552941588606E-2</v>
      </c>
      <c r="K10" s="45">
        <f>IFERROR(HistoricalFS!K43/HistoricalFS!J43-1,0)</f>
        <v>0.33942521789783719</v>
      </c>
      <c r="L10" s="45">
        <f>IFERROR(HistoricalFS!L43/HistoricalFS!K43-1,0)</f>
        <v>0.2982461844859472</v>
      </c>
      <c r="M10" s="55"/>
      <c r="N10" s="45">
        <f t="shared" si="0"/>
        <v>0.22169607955733028</v>
      </c>
      <c r="O10" s="45">
        <f t="shared" si="1"/>
        <v>0.22951239937789469</v>
      </c>
    </row>
    <row r="12" spans="1:15" x14ac:dyDescent="0.35">
      <c r="A12" t="s">
        <v>57</v>
      </c>
      <c r="B12" s="41" t="s">
        <v>123</v>
      </c>
      <c r="C12" s="46">
        <f>IFERROR(HistoricalFS!C15,0)</f>
        <v>0.31703324064321942</v>
      </c>
      <c r="D12" s="46">
        <f>IFERROR(HistoricalFS!D15,0)</f>
        <v>0.34037441080083447</v>
      </c>
      <c r="E12" s="46">
        <f>IFERROR(HistoricalFS!E15,0)</f>
        <v>0.35382642001488518</v>
      </c>
      <c r="F12" s="46">
        <f>IFERROR(HistoricalFS!F15,0)</f>
        <v>0.33465263558312119</v>
      </c>
      <c r="G12" s="46">
        <f>IFERROR(HistoricalFS!G15,0)</f>
        <v>0.3292243867375117</v>
      </c>
      <c r="H12" s="46">
        <f>IFERROR(HistoricalFS!H15,0)</f>
        <v>0.34897544684272364</v>
      </c>
      <c r="I12" s="46">
        <f>IFERROR(HistoricalFS!I15,0)</f>
        <v>0.35360356729835285</v>
      </c>
      <c r="J12" s="46">
        <f>IFERROR(HistoricalFS!J15,0)</f>
        <v>0.29245139732685294</v>
      </c>
      <c r="K12" s="46">
        <f>IFERROR(HistoricalFS!K15,0)</f>
        <v>0.31088223670495074</v>
      </c>
      <c r="L12" s="46">
        <f>IFERROR(HistoricalFS!L15,0)</f>
        <v>0.35173503221464147</v>
      </c>
      <c r="M12" s="54"/>
      <c r="N12" s="46">
        <f>IFERROR(AVERAGE(C12:L12),0)</f>
        <v>0.33327587741670939</v>
      </c>
      <c r="O12" s="46">
        <f>IFERROR(MEDIAN(C12:L12),0)</f>
        <v>0.3375135231919778</v>
      </c>
    </row>
    <row r="13" spans="1:15" x14ac:dyDescent="0.35">
      <c r="B13" t="s">
        <v>127</v>
      </c>
      <c r="C13" s="43">
        <f>IFERROR(HistoricalFS!C21,0)</f>
        <v>0.16473354162902507</v>
      </c>
      <c r="D13" s="43">
        <f>IFERROR(HistoricalFS!D21,0)</f>
        <v>0.19094292186730338</v>
      </c>
      <c r="E13" s="43">
        <f>IFERROR(HistoricalFS!E21,0)</f>
        <v>0.19876258050895004</v>
      </c>
      <c r="F13" s="43">
        <f>IFERROR(HistoricalFS!F21,0)</f>
        <v>0.19043659414367703</v>
      </c>
      <c r="G13" s="43">
        <f>IFERROR(HistoricalFS!G21,0)</f>
        <v>0.19568163000977651</v>
      </c>
      <c r="H13" s="43">
        <f>IFERROR(HistoricalFS!H21,0)</f>
        <v>0.20566862514688591</v>
      </c>
      <c r="I13" s="43">
        <f>IFERROR(HistoricalFS!I21,0)</f>
        <v>0.22362856178317034</v>
      </c>
      <c r="J13" s="43">
        <f>IFERROR(HistoricalFS!J21,0)</f>
        <v>0.16506524798909186</v>
      </c>
      <c r="K13" s="43">
        <f>IFERROR(HistoricalFS!K21,0)</f>
        <v>0.1815046657459756</v>
      </c>
      <c r="L13" s="43">
        <f>IFERROR(HistoricalFS!L21,0)</f>
        <v>0.21369313134654075</v>
      </c>
      <c r="N13" s="43">
        <f t="shared" ref="N13:N41" si="2">IFERROR(AVERAGE(C13:L13),0)</f>
        <v>0.19301175001703966</v>
      </c>
      <c r="O13" s="43">
        <f t="shared" ref="O13:O41" si="3">IFERROR(MEDIAN(C13:L13),0)</f>
        <v>0.19331227593853995</v>
      </c>
    </row>
    <row r="14" spans="1:15" x14ac:dyDescent="0.35">
      <c r="B14" t="s">
        <v>128</v>
      </c>
      <c r="C14" s="43">
        <f>IFERROR((HistoricalFS!C20-HistoricalFS!C26)/HistoricalFS!C8,0)</f>
        <v>0.14520251541285292</v>
      </c>
      <c r="D14" s="43">
        <f>IFERROR((HistoricalFS!D20-HistoricalFS!D26)/HistoricalFS!D8,0)</f>
        <v>0.17163309507276406</v>
      </c>
      <c r="E14" s="43">
        <f>IFERROR((HistoricalFS!E20-HistoricalFS!E26)/HistoricalFS!E8,0)</f>
        <v>0.17653510591893901</v>
      </c>
      <c r="F14" s="43">
        <f>IFERROR((HistoricalFS!F20-HistoricalFS!F26)/HistoricalFS!F8,0)</f>
        <v>0.16901135543001156</v>
      </c>
      <c r="G14" s="43">
        <f>IFERROR((HistoricalFS!G20-HistoricalFS!G26)/HistoricalFS!G8,0)</f>
        <v>0.16334608965739844</v>
      </c>
      <c r="H14" s="43">
        <f>IFERROR((HistoricalFS!H20-HistoricalFS!H26)/HistoricalFS!H8,0)</f>
        <v>0.16705151833755943</v>
      </c>
      <c r="I14" s="43">
        <f>IFERROR((HistoricalFS!I20-HistoricalFS!I26)/HistoricalFS!I8,0)</f>
        <v>0.18718598577152007</v>
      </c>
      <c r="J14" s="43">
        <f>IFERROR((HistoricalFS!J20-HistoricalFS!J26)/HistoricalFS!J8,0)</f>
        <v>0.13701287366053996</v>
      </c>
      <c r="K14" s="43">
        <f>IFERROR((HistoricalFS!K20-HistoricalFS!K26)/HistoricalFS!K8,0)</f>
        <v>0.15662629292760291</v>
      </c>
      <c r="L14" s="43">
        <f>IFERROR((HistoricalFS!L20-HistoricalFS!L26)/HistoricalFS!L8,0)</f>
        <v>0.18966139480424279</v>
      </c>
      <c r="N14" s="43">
        <f t="shared" si="2"/>
        <v>0.16632662269934312</v>
      </c>
      <c r="O14" s="43">
        <f t="shared" si="3"/>
        <v>0.1680314368837855</v>
      </c>
    </row>
    <row r="15" spans="1:15" x14ac:dyDescent="0.35">
      <c r="B15" t="s">
        <v>129</v>
      </c>
      <c r="C15" s="43">
        <f>IFERROR(HistoricalFS!C30,0)</f>
        <v>0.14210011413663784</v>
      </c>
      <c r="D15" s="43">
        <f>IFERROR(HistoricalFS!D30,0)</f>
        <v>0.16819967641780931</v>
      </c>
      <c r="E15" s="43">
        <f>IFERROR(HistoricalFS!E30,0)</f>
        <v>0.17405668175320793</v>
      </c>
      <c r="F15" s="43">
        <f>IFERROR(HistoricalFS!F30,0)</f>
        <v>0.16654650495852794</v>
      </c>
      <c r="G15" s="43">
        <f>IFERROR(HistoricalFS!G30,0)</f>
        <v>0.15760444446061442</v>
      </c>
      <c r="H15" s="43">
        <f>IFERROR(HistoricalFS!H30,0)</f>
        <v>0.16198849650565889</v>
      </c>
      <c r="I15" s="43">
        <f>IFERROR(HistoricalFS!I30,0)</f>
        <v>0.18296589245325004</v>
      </c>
      <c r="J15" s="43">
        <f>IFERROR(HistoricalFS!J30,0)</f>
        <v>0.13373432371359606</v>
      </c>
      <c r="K15" s="43">
        <f>IFERROR(HistoricalFS!K30,0)</f>
        <v>0.15243795121806938</v>
      </c>
      <c r="L15" s="43">
        <f>IFERROR(HistoricalFS!L30,0)</f>
        <v>0.18388110009570438</v>
      </c>
      <c r="N15" s="43">
        <f t="shared" si="2"/>
        <v>0.16235151857130758</v>
      </c>
      <c r="O15" s="43">
        <f t="shared" si="3"/>
        <v>0.1642675007320934</v>
      </c>
    </row>
    <row r="16" spans="1:15" x14ac:dyDescent="0.35">
      <c r="B16" s="44" t="s">
        <v>130</v>
      </c>
      <c r="C16" s="45">
        <f>IFERROR(HistoricalFS!C36,0)</f>
        <v>9.43933498148401E-2</v>
      </c>
      <c r="D16" s="45">
        <f>IFERROR(HistoricalFS!D36,0)</f>
        <v>0.10902645764387611</v>
      </c>
      <c r="E16" s="45">
        <f>IFERROR(HistoricalFS!E36,0)</f>
        <v>0.1114294990237014</v>
      </c>
      <c r="F16" s="45">
        <f>IFERROR(HistoricalFS!F36,0)</f>
        <v>0.10467501359620324</v>
      </c>
      <c r="G16" s="45">
        <f>IFERROR(HistoricalFS!G36,0)</f>
        <v>0.1005331045060507</v>
      </c>
      <c r="H16" s="45">
        <f>IFERROR(HistoricalFS!H36,0)</f>
        <v>0.1196927453769558</v>
      </c>
      <c r="I16" s="45">
        <f>IFERROR(HistoricalFS!I36,0)</f>
        <v>0.13241504200980173</v>
      </c>
      <c r="J16" s="45">
        <f>IFERROR(HistoricalFS!J36,0)</f>
        <v>9.5835303464314917E-2</v>
      </c>
      <c r="K16" s="45">
        <f>IFERROR(HistoricalFS!K36,0)</f>
        <v>0.10913377438741322</v>
      </c>
      <c r="L16" s="45">
        <f>IFERROR(HistoricalFS!L36,0)</f>
        <v>0.13344882465650537</v>
      </c>
      <c r="M16" s="55"/>
      <c r="N16" s="45">
        <f t="shared" si="2"/>
        <v>0.11105831144796625</v>
      </c>
      <c r="O16" s="45">
        <f t="shared" si="3"/>
        <v>0.10908011601564466</v>
      </c>
    </row>
    <row r="17" spans="1:15" x14ac:dyDescent="0.35">
      <c r="N17" s="22"/>
      <c r="O17" s="22"/>
    </row>
    <row r="18" spans="1:15" x14ac:dyDescent="0.35">
      <c r="A18" t="s">
        <v>57</v>
      </c>
      <c r="B18" s="41" t="s">
        <v>131</v>
      </c>
      <c r="C18" s="46">
        <f>IFERROR(HistoricalFS!C18,0)</f>
        <v>0.15229969901419435</v>
      </c>
      <c r="D18" s="46">
        <f>IFERROR(HistoricalFS!D18,0)</f>
        <v>0.14943148893353111</v>
      </c>
      <c r="E18" s="46">
        <f>IFERROR(HistoricalFS!E18,0)</f>
        <v>0.15506383950593511</v>
      </c>
      <c r="F18" s="46">
        <f>IFERROR(HistoricalFS!F18,0)</f>
        <v>0.14421604143944414</v>
      </c>
      <c r="G18" s="46">
        <f>IFERROR(HistoricalFS!G18,0)</f>
        <v>0.13354275672773522</v>
      </c>
      <c r="H18" s="46">
        <f>IFERROR(HistoricalFS!H18,0)</f>
        <v>0.14330682169583772</v>
      </c>
      <c r="I18" s="46">
        <f>IFERROR(HistoricalFS!I18,0)</f>
        <v>0.12997500551518251</v>
      </c>
      <c r="J18" s="46">
        <f>IFERROR(HistoricalFS!J18,0)</f>
        <v>0.1273861493377611</v>
      </c>
      <c r="K18" s="46">
        <f>IFERROR(HistoricalFS!K18,0)</f>
        <v>0.12937757095897515</v>
      </c>
      <c r="L18" s="46">
        <f>IFERROR(HistoricalFS!L18,0)</f>
        <v>0.1380419008681007</v>
      </c>
      <c r="M18" s="54"/>
      <c r="N18" s="46">
        <f t="shared" si="2"/>
        <v>0.1402641273996697</v>
      </c>
      <c r="O18" s="46">
        <f t="shared" si="3"/>
        <v>0.1406743612819692</v>
      </c>
    </row>
    <row r="19" spans="1:15" x14ac:dyDescent="0.35">
      <c r="B19" t="s">
        <v>132</v>
      </c>
      <c r="C19" s="43">
        <f>IFERROR(HistoricalFS!C27,0)</f>
        <v>1.953102621617215E-2</v>
      </c>
      <c r="D19" s="43">
        <f>IFERROR(HistoricalFS!D27,0)</f>
        <v>1.9309826794539322E-2</v>
      </c>
      <c r="E19" s="43">
        <f>IFERROR(HistoricalFS!E27,0)</f>
        <v>2.2227474590011016E-2</v>
      </c>
      <c r="F19" s="43">
        <f>IFERROR(HistoricalFS!F27,0)</f>
        <v>2.1425238713665449E-2</v>
      </c>
      <c r="G19" s="43">
        <f>IFERROR(HistoricalFS!G27,0)</f>
        <v>3.2335540352378074E-2</v>
      </c>
      <c r="H19" s="43">
        <f>IFERROR(HistoricalFS!H27,0)</f>
        <v>3.8617106809326486E-2</v>
      </c>
      <c r="I19" s="43">
        <f>IFERROR(HistoricalFS!I27,0)</f>
        <v>3.6442576011650275E-2</v>
      </c>
      <c r="J19" s="43">
        <f>IFERROR(HistoricalFS!J27,0)</f>
        <v>2.8052374328551871E-2</v>
      </c>
      <c r="K19" s="43">
        <f>IFERROR(HistoricalFS!K27,0)</f>
        <v>2.4878372818372688E-2</v>
      </c>
      <c r="L19" s="43">
        <f>IFERROR(HistoricalFS!L27,0)</f>
        <v>2.4031736542297968E-2</v>
      </c>
      <c r="N19" s="43">
        <f t="shared" si="2"/>
        <v>2.6685127317696528E-2</v>
      </c>
      <c r="O19" s="43">
        <f t="shared" si="3"/>
        <v>2.4455054680335327E-2</v>
      </c>
    </row>
    <row r="20" spans="1:15" x14ac:dyDescent="0.35">
      <c r="B20" s="44" t="s">
        <v>133</v>
      </c>
      <c r="C20" s="45">
        <f>IFERROR(C14,0)</f>
        <v>0.14520251541285292</v>
      </c>
      <c r="D20" s="45">
        <f t="shared" ref="D20:L20" si="4">IFERROR(D14,0)</f>
        <v>0.17163309507276406</v>
      </c>
      <c r="E20" s="45">
        <f t="shared" si="4"/>
        <v>0.17653510591893901</v>
      </c>
      <c r="F20" s="45">
        <f t="shared" si="4"/>
        <v>0.16901135543001156</v>
      </c>
      <c r="G20" s="45">
        <f t="shared" si="4"/>
        <v>0.16334608965739844</v>
      </c>
      <c r="H20" s="45">
        <f t="shared" si="4"/>
        <v>0.16705151833755943</v>
      </c>
      <c r="I20" s="45">
        <f t="shared" si="4"/>
        <v>0.18718598577152007</v>
      </c>
      <c r="J20" s="45">
        <f t="shared" si="4"/>
        <v>0.13701287366053996</v>
      </c>
      <c r="K20" s="45">
        <f t="shared" si="4"/>
        <v>0.15662629292760291</v>
      </c>
      <c r="L20" s="45">
        <f t="shared" si="4"/>
        <v>0.18966139480424279</v>
      </c>
      <c r="M20" s="55"/>
      <c r="N20" s="45">
        <f t="shared" si="2"/>
        <v>0.16632662269934312</v>
      </c>
      <c r="O20" s="45">
        <f t="shared" si="3"/>
        <v>0.1680314368837855</v>
      </c>
    </row>
    <row r="21" spans="1:15" x14ac:dyDescent="0.35">
      <c r="N21" s="22"/>
      <c r="O21" s="22"/>
    </row>
    <row r="22" spans="1:15" x14ac:dyDescent="0.35">
      <c r="A22" t="s">
        <v>57</v>
      </c>
      <c r="B22" s="41" t="s">
        <v>134</v>
      </c>
      <c r="C22" s="46">
        <f>IFERROR((HistoricalFS!C20-HistoricalFS!C26)/(SUM(HistoricalFS!C50:C52)),0)</f>
        <v>0.38309437208968844</v>
      </c>
      <c r="D22" s="46">
        <f>IFERROR((HistoricalFS!D20-HistoricalFS!D26)/(SUM(HistoricalFS!D50:D52)),0)</f>
        <v>0.35768409093896003</v>
      </c>
      <c r="E22" s="46">
        <f>IFERROR((HistoricalFS!E20-HistoricalFS!E26)/(SUM(HistoricalFS!E50:E52)),0)</f>
        <v>0.32568533713528403</v>
      </c>
      <c r="F22" s="46">
        <f>IFERROR((HistoricalFS!F20-HistoricalFS!F26)/(SUM(HistoricalFS!F50:F52)),0)</f>
        <v>0.31793918820706524</v>
      </c>
      <c r="G22" s="46">
        <f>IFERROR((HistoricalFS!G20-HistoricalFS!G26)/(SUM(HistoricalFS!G50:G52)),0)</f>
        <v>0.29126564505590763</v>
      </c>
      <c r="H22" s="46">
        <f>IFERROR((HistoricalFS!H20-HistoricalFS!H26)/(SUM(HistoricalFS!H50:H52)),0)</f>
        <v>0.30015308490077913</v>
      </c>
      <c r="I22" s="46">
        <f>IFERROR((HistoricalFS!I20-HistoricalFS!I26)/(SUM(HistoricalFS!I50:I52)),0)</f>
        <v>0.29241025338485616</v>
      </c>
      <c r="J22" s="46">
        <f>IFERROR((HistoricalFS!J20-HistoricalFS!J26)/(SUM(HistoricalFS!J50:J52)),0)</f>
        <v>0.2589385678029722</v>
      </c>
      <c r="K22" s="46">
        <f>IFERROR((HistoricalFS!K20-HistoricalFS!K26)/(SUM(HistoricalFS!K50:K52)),0)</f>
        <v>0.30135928613070662</v>
      </c>
      <c r="L22" s="46">
        <f>IFERROR((HistoricalFS!L20-HistoricalFS!L26)/(SUM(HistoricalFS!L50:L52)),0)</f>
        <v>0.31750608885291864</v>
      </c>
      <c r="M22" s="54"/>
      <c r="N22" s="46">
        <f t="shared" si="2"/>
        <v>0.31460359144991379</v>
      </c>
      <c r="O22" s="46">
        <f t="shared" si="3"/>
        <v>0.30943268749181263</v>
      </c>
    </row>
    <row r="23" spans="1:15" x14ac:dyDescent="0.35">
      <c r="B23" t="s">
        <v>135</v>
      </c>
      <c r="C23" s="43">
        <f>IFERROR(HistoricalFS!C46,0)</f>
        <v>0.54472879496416871</v>
      </c>
      <c r="D23" s="43">
        <f>IFERROR(HistoricalFS!D46,0)</f>
        <v>0.53765175421119982</v>
      </c>
      <c r="E23" s="43">
        <f>IFERROR(HistoricalFS!E46,0)</f>
        <v>0.4113385169958591</v>
      </c>
      <c r="F23" s="43">
        <f>IFERROR(HistoricalFS!F46,0)</f>
        <v>0.52615112060007641</v>
      </c>
      <c r="G23" s="43">
        <f>IFERROR(HistoricalFS!G46,0)</f>
        <v>0.47930743898214867</v>
      </c>
      <c r="H23" s="43">
        <f>IFERROR(HistoricalFS!H46,0)</f>
        <v>0.5241945484759043</v>
      </c>
      <c r="I23" s="43">
        <f>IFERROR(HistoricalFS!I46,0)</f>
        <v>0.40448332231922424</v>
      </c>
      <c r="J23" s="43">
        <f>IFERROR(HistoricalFS!J46,0)</f>
        <v>0.34137106345444268</v>
      </c>
      <c r="K23" s="43">
        <f>IFERROR(HistoricalFS!K46,0)</f>
        <v>0.34632439483829069</v>
      </c>
      <c r="L23" s="43">
        <f>IFERROR(HistoricalFS!L46,0)</f>
        <v>0.32566559630800174</v>
      </c>
      <c r="N23" s="43">
        <f t="shared" si="2"/>
        <v>0.44412165511493173</v>
      </c>
      <c r="O23" s="43">
        <f t="shared" si="3"/>
        <v>0.44532297798900389</v>
      </c>
    </row>
    <row r="24" spans="1:15" x14ac:dyDescent="0.35">
      <c r="B24" t="s">
        <v>136</v>
      </c>
      <c r="C24" s="43">
        <f>IFERROR(HistoricalFS!C35/(SUM(HistoricalFS!C50:C51)),0)</f>
        <v>0.27100220143557213</v>
      </c>
      <c r="D24" s="43">
        <f>IFERROR(HistoricalFS!D35/(SUM(HistoricalFS!D50:D51)),0)</f>
        <v>0.23846941371562763</v>
      </c>
      <c r="E24" s="43">
        <f>IFERROR(HistoricalFS!E35/(SUM(HistoricalFS!E50:E51)),0)</f>
        <v>0.22072255122049375</v>
      </c>
      <c r="F24" s="43">
        <f>IFERROR(HistoricalFS!F35/(SUM(HistoricalFS!F50:F51)),0)</f>
        <v>0.20940093196024379</v>
      </c>
      <c r="G24" s="43">
        <f>IFERROR(HistoricalFS!G35/(SUM(HistoricalFS!G50:G51)),0)</f>
        <v>0.20424051401449772</v>
      </c>
      <c r="H24" s="43">
        <f>IFERROR(HistoricalFS!H35/(SUM(HistoricalFS!H50:H51)),0)</f>
        <v>0.23880570494444295</v>
      </c>
      <c r="I24" s="43">
        <f>IFERROR(HistoricalFS!I35/(SUM(HistoricalFS!I50:I51)),0)</f>
        <v>0.22450686342414569</v>
      </c>
      <c r="J24" s="43">
        <f>IFERROR(HistoricalFS!J35/(SUM(HistoricalFS!J50:J51)),0)</f>
        <v>0.20192722617865025</v>
      </c>
      <c r="K24" s="43">
        <f>IFERROR(HistoricalFS!K35/(SUM(HistoricalFS!K50:K51)),0)</f>
        <v>0.23535616983997826</v>
      </c>
      <c r="L24" s="43">
        <f>IFERROR(HistoricalFS!L35/(SUM(HistoricalFS!L50:L51)),0)</f>
        <v>0.25291831079168969</v>
      </c>
      <c r="N24" s="43">
        <f t="shared" si="2"/>
        <v>0.22973498875253417</v>
      </c>
      <c r="O24" s="43">
        <f t="shared" si="3"/>
        <v>0.22993151663206196</v>
      </c>
    </row>
    <row r="25" spans="1:15" x14ac:dyDescent="0.35">
      <c r="B25" t="s">
        <v>137</v>
      </c>
      <c r="C25" s="43">
        <f>IFERROR(C23*C24,0)</f>
        <v>0.14762270262063612</v>
      </c>
      <c r="D25" s="43">
        <f t="shared" ref="D25:L25" si="5">IFERROR(D23*D24,0)</f>
        <v>0.12821349860992354</v>
      </c>
      <c r="E25" s="43">
        <f t="shared" si="5"/>
        <v>9.0791686886580444E-2</v>
      </c>
      <c r="F25" s="43">
        <f t="shared" si="5"/>
        <v>0.11017653500558262</v>
      </c>
      <c r="G25" s="43">
        <f t="shared" si="5"/>
        <v>9.789399770868655E-2</v>
      </c>
      <c r="H25" s="43">
        <f t="shared" si="5"/>
        <v>0.1251806486768223</v>
      </c>
      <c r="I25" s="43">
        <f t="shared" si="5"/>
        <v>9.0809282001266783E-2</v>
      </c>
      <c r="J25" s="43">
        <f t="shared" si="5"/>
        <v>6.893211194101162E-2</v>
      </c>
      <c r="K25" s="43">
        <f t="shared" si="5"/>
        <v>8.1509583091288432E-2</v>
      </c>
      <c r="L25" s="43">
        <f t="shared" si="5"/>
        <v>8.2366792501188141E-2</v>
      </c>
      <c r="N25" s="43">
        <f t="shared" si="2"/>
        <v>0.10234968390429866</v>
      </c>
      <c r="O25" s="43">
        <f t="shared" si="3"/>
        <v>9.435163985497666E-2</v>
      </c>
    </row>
    <row r="26" spans="1:15" x14ac:dyDescent="0.35">
      <c r="B26" s="44" t="s">
        <v>138</v>
      </c>
      <c r="C26" s="47">
        <f>IFERROR((HistoricalFS!C20-HistoricalFS!C26)/HistoricalFS!C23,0)</f>
        <v>46.80326704545454</v>
      </c>
      <c r="D26" s="47">
        <f>IFERROR((HistoricalFS!D20-HistoricalFS!D26)/HistoricalFS!D23,0)</f>
        <v>49.988979591836767</v>
      </c>
      <c r="E26" s="47">
        <f>IFERROR((HistoricalFS!E20-HistoricalFS!E26)/HistoricalFS!E23,0)</f>
        <v>71.228770425930904</v>
      </c>
      <c r="F26" s="47">
        <f>IFERROR((HistoricalFS!F20-HistoricalFS!F26)/HistoricalFS!F23,0)</f>
        <v>68.568603809983145</v>
      </c>
      <c r="G26" s="47">
        <f>IFERROR((HistoricalFS!G20-HistoricalFS!G26)/HistoricalFS!G23,0)</f>
        <v>28.449352765456698</v>
      </c>
      <c r="H26" s="47">
        <f>IFERROR((HistoricalFS!H20-HistoricalFS!H26)/HistoricalFS!H23,0)</f>
        <v>32.994429785986497</v>
      </c>
      <c r="I26" s="47">
        <f>IFERROR((HistoricalFS!I20-HistoricalFS!I26)/HistoricalFS!I23,0)</f>
        <v>44.355887809669362</v>
      </c>
      <c r="J26" s="47">
        <f>IFERROR((HistoricalFS!J20-HistoricalFS!J26)/HistoricalFS!J23,0)</f>
        <v>41.790692799496895</v>
      </c>
      <c r="K26" s="47">
        <f>IFERROR((HistoricalFS!K20-HistoricalFS!K26)/HistoricalFS!K23,0)</f>
        <v>37.39577708549669</v>
      </c>
      <c r="L26" s="47">
        <f>IFERROR((HistoricalFS!L20-HistoricalFS!L26)/HistoricalFS!L23,0)</f>
        <v>32.811717112638306</v>
      </c>
      <c r="M26" s="55"/>
      <c r="N26" s="47">
        <f t="shared" si="2"/>
        <v>45.438747823194973</v>
      </c>
      <c r="O26" s="47">
        <f t="shared" si="3"/>
        <v>43.073290304583125</v>
      </c>
    </row>
    <row r="27" spans="1:15" x14ac:dyDescent="0.35">
      <c r="N27" s="22"/>
      <c r="O27" s="22"/>
    </row>
    <row r="28" spans="1:15" x14ac:dyDescent="0.35">
      <c r="A28" t="s">
        <v>57</v>
      </c>
      <c r="B28" s="41" t="s">
        <v>139</v>
      </c>
      <c r="C28" s="48">
        <f>IFERROR(HistoricalFS!C8/HistoricalFS!C62,0)</f>
        <v>11.518150363345658</v>
      </c>
      <c r="D28" s="48">
        <f>IFERROR(HistoricalFS!D8/HistoricalFS!D62,0)</f>
        <v>12.024780088301709</v>
      </c>
      <c r="E28" s="48">
        <f>IFERROR(HistoricalFS!E8/HistoricalFS!E62,0)</f>
        <v>10.41199364025992</v>
      </c>
      <c r="F28" s="48">
        <f>IFERROR(HistoricalFS!F8/HistoricalFS!F62,0)</f>
        <v>9.7216331624899599</v>
      </c>
      <c r="G28" s="48">
        <f>IFERROR(HistoricalFS!G8/HistoricalFS!G62,0)</f>
        <v>10.08746782150965</v>
      </c>
      <c r="H28" s="48">
        <f>IFERROR(HistoricalFS!H8/HistoricalFS!H62,0)</f>
        <v>11.258369447755706</v>
      </c>
      <c r="I28" s="48">
        <f>IFERROR(HistoricalFS!I8/HistoricalFS!I62,0)</f>
        <v>8.3441089552181449</v>
      </c>
      <c r="J28" s="48">
        <f>IFERROR(HistoricalFS!J8/HistoricalFS!J62,0)</f>
        <v>7.5169136032070751</v>
      </c>
      <c r="K28" s="48">
        <f>IFERROR(HistoricalFS!K8/HistoricalFS!K62,0)</f>
        <v>7.4377908707035241</v>
      </c>
      <c r="L28" s="48">
        <f>IFERROR(HistoricalFS!L8/HistoricalFS!L62,0)</f>
        <v>7.2600464302880932</v>
      </c>
      <c r="M28" s="54"/>
      <c r="N28" s="49">
        <f t="shared" si="2"/>
        <v>9.5581254383079433</v>
      </c>
      <c r="O28" s="49">
        <f t="shared" si="3"/>
        <v>9.9045504919998049</v>
      </c>
    </row>
    <row r="29" spans="1:15" x14ac:dyDescent="0.35">
      <c r="B29" t="s">
        <v>140</v>
      </c>
      <c r="C29" s="49">
        <f>IFERROR(HistoricalFS!C11/HistoricalFS!C53,0)</f>
        <v>2.4770496301249079</v>
      </c>
      <c r="D29" s="49">
        <f>IFERROR(HistoricalFS!D11/HistoricalFS!D53,0)</f>
        <v>2.536794110355383</v>
      </c>
      <c r="E29" s="49">
        <f>IFERROR(HistoricalFS!E11/HistoricalFS!E53,0)</f>
        <v>2.2949190749264319</v>
      </c>
      <c r="F29" s="49">
        <f>IFERROR(HistoricalFS!F11/HistoricalFS!F53,0)</f>
        <v>2.3225286421484617</v>
      </c>
      <c r="G29" s="49">
        <f>IFERROR(HistoricalFS!G11/HistoricalFS!G53,0)</f>
        <v>2.3642687164869227</v>
      </c>
      <c r="H29" s="49">
        <f>IFERROR(HistoricalFS!H11/HistoricalFS!H53,0)</f>
        <v>2.6911813732408052</v>
      </c>
      <c r="I29" s="49">
        <f>IFERROR(HistoricalFS!I11/HistoricalFS!I53,0)</f>
        <v>2.1739811305265078</v>
      </c>
      <c r="J29" s="49">
        <f>IFERROR(HistoricalFS!J11/HistoricalFS!J53,0)</f>
        <v>2.7236239730475833</v>
      </c>
      <c r="K29" s="49">
        <f>IFERROR(HistoricalFS!K11/HistoricalFS!K53,0)</f>
        <v>3.0258782249111338</v>
      </c>
      <c r="L29" s="49">
        <f>IFERROR(HistoricalFS!L11/HistoricalFS!L53,0)</f>
        <v>2.6454072100886519</v>
      </c>
      <c r="N29" s="49">
        <f t="shared" si="2"/>
        <v>2.5255632085856794</v>
      </c>
      <c r="O29" s="49">
        <f t="shared" si="3"/>
        <v>2.5069218702401455</v>
      </c>
    </row>
    <row r="30" spans="1:15" x14ac:dyDescent="0.35">
      <c r="B30" t="s">
        <v>141</v>
      </c>
      <c r="C30" s="49">
        <f>IFERROR(HistoricalFS!C11/HistoricalFS!C63,0)</f>
        <v>4.1171962169916583</v>
      </c>
      <c r="D30" s="49">
        <f>IFERROR(HistoricalFS!D11/HistoricalFS!D63,0)</f>
        <v>4.7110657378493066</v>
      </c>
      <c r="E30" s="49">
        <f>IFERROR(HistoricalFS!E11/HistoricalFS!E63,0)</f>
        <v>3.7049418715311351</v>
      </c>
      <c r="F30" s="49">
        <f>IFERROR(HistoricalFS!F11/HistoricalFS!F63,0)</f>
        <v>4.2110100025956338</v>
      </c>
      <c r="G30" s="49">
        <f>IFERROR(HistoricalFS!G11/HistoricalFS!G63,0)</f>
        <v>4.0972646403332211</v>
      </c>
      <c r="H30" s="49">
        <f>IFERROR(HistoricalFS!H11/HistoricalFS!H63,0)</f>
        <v>3.8816393839182735</v>
      </c>
      <c r="I30" s="49">
        <f>IFERROR(HistoricalFS!I11/HistoricalFS!I63,0)</f>
        <v>3.6948007160532823</v>
      </c>
      <c r="J30" s="49">
        <f>IFERROR(HistoricalFS!J11/HistoricalFS!J63,0)</f>
        <v>3.3464386362380507</v>
      </c>
      <c r="K30" s="49">
        <f>IFERROR(HistoricalFS!K11/HistoricalFS!K63,0)</f>
        <v>3.8267714760475569</v>
      </c>
      <c r="L30" s="49">
        <f>IFERROR(HistoricalFS!L11/HistoricalFS!L63,0)</f>
        <v>3.8845850616452351</v>
      </c>
      <c r="N30" s="49">
        <f t="shared" si="2"/>
        <v>3.9475713743203351</v>
      </c>
      <c r="O30" s="49">
        <f t="shared" si="3"/>
        <v>3.8831122227817545</v>
      </c>
    </row>
    <row r="31" spans="1:15" x14ac:dyDescent="0.35">
      <c r="B31" t="s">
        <v>142</v>
      </c>
      <c r="C31" s="49">
        <f>IFERROR(HistoricalFS!C8/HistoricalFS!C56,0)</f>
        <v>5.1184418279424371</v>
      </c>
      <c r="D31" s="49">
        <f>IFERROR(HistoricalFS!D8/HistoricalFS!D56,0)</f>
        <v>4.1774086378737545</v>
      </c>
      <c r="E31" s="49">
        <f>IFERROR(HistoricalFS!E8/HistoricalFS!E56,0)</f>
        <v>4.5590724451682032</v>
      </c>
      <c r="F31" s="49">
        <f>IFERROR(HistoricalFS!F8/HistoricalFS!F56,0)</f>
        <v>4.50789606241828</v>
      </c>
      <c r="G31" s="49">
        <f>IFERROR(HistoricalFS!G8/HistoricalFS!G56,0)</f>
        <v>2.9615873631583485</v>
      </c>
      <c r="H31" s="49">
        <f>IFERROR(HistoricalFS!H8/HistoricalFS!H56,0)</f>
        <v>3.2222976861794139</v>
      </c>
      <c r="I31" s="49">
        <f>IFERROR(HistoricalFS!I8/HistoricalFS!I56,0)</f>
        <v>3.7061903006220001</v>
      </c>
      <c r="J31" s="49">
        <f>IFERROR(HistoricalFS!J8/HistoricalFS!J56,0)</f>
        <v>5.2728689305787571</v>
      </c>
      <c r="K31" s="49">
        <f>IFERROR(HistoricalFS!K8/HistoricalFS!K56,0)</f>
        <v>5.9767488207179316</v>
      </c>
      <c r="L31" s="49">
        <f>IFERROR(HistoricalFS!L8/HistoricalFS!L56,0)</f>
        <v>4.9666457710078333</v>
      </c>
      <c r="N31" s="49">
        <f t="shared" si="2"/>
        <v>4.4469157845666958</v>
      </c>
      <c r="O31" s="49">
        <f t="shared" si="3"/>
        <v>4.533484253793242</v>
      </c>
    </row>
    <row r="32" spans="1:15" x14ac:dyDescent="0.35">
      <c r="B32" s="44" t="s">
        <v>143</v>
      </c>
      <c r="C32" s="47">
        <f>IFERROR(HistoricalFS!C8/(SUM(HistoricalFS!C50:C51)),0)</f>
        <v>2.870988284314139</v>
      </c>
      <c r="D32" s="47">
        <f>IFERROR(HistoricalFS!D8/(SUM(HistoricalFS!D50:D51)),0)</f>
        <v>2.1872618708255556</v>
      </c>
      <c r="E32" s="47">
        <f>IFERROR(HistoricalFS!E8/(SUM(HistoricalFS!E50:E51)),0)</f>
        <v>1.9808269188533763</v>
      </c>
      <c r="F32" s="47">
        <f>IFERROR(HistoricalFS!F8/(SUM(HistoricalFS!F50:F51)),0)</f>
        <v>2.0004863125027494</v>
      </c>
      <c r="G32" s="47">
        <f>IFERROR(HistoricalFS!G8/(SUM(HistoricalFS!G50:G51)),0)</f>
        <v>2.0315747237488848</v>
      </c>
      <c r="H32" s="47">
        <f>IFERROR(HistoricalFS!H8/(SUM(HistoricalFS!H50:H51)),0)</f>
        <v>1.995156048867935</v>
      </c>
      <c r="I32" s="47">
        <f>IFERROR(HistoricalFS!I8/(SUM(HistoricalFS!I50:I51)),0)</f>
        <v>1.6954785499937921</v>
      </c>
      <c r="J32" s="47">
        <f>IFERROR(HistoricalFS!J8/(SUM(HistoricalFS!J50:J51)),0)</f>
        <v>2.1070233919991659</v>
      </c>
      <c r="K32" s="47">
        <f>IFERROR(HistoricalFS!K8/(SUM(HistoricalFS!K50:K51)),0)</f>
        <v>2.1565841661857039</v>
      </c>
      <c r="L32" s="47">
        <f>IFERROR(HistoricalFS!L8/(SUM(HistoricalFS!L50:L51)),0)</f>
        <v>1.8952456976874572</v>
      </c>
      <c r="M32" s="55"/>
      <c r="N32" s="49">
        <f t="shared" si="2"/>
        <v>2.0920625964978763</v>
      </c>
      <c r="O32" s="49">
        <f t="shared" si="3"/>
        <v>2.0160305181258171</v>
      </c>
    </row>
    <row r="33" spans="1:15" x14ac:dyDescent="0.35">
      <c r="N33" s="22"/>
      <c r="O33" s="22"/>
    </row>
    <row r="34" spans="1:15" x14ac:dyDescent="0.35">
      <c r="A34" t="s">
        <v>57</v>
      </c>
      <c r="B34" s="41" t="s">
        <v>144</v>
      </c>
      <c r="C34" s="50">
        <f>IFERROR(365/C28,0)</f>
        <v>31.689115742189273</v>
      </c>
      <c r="D34" s="50">
        <f t="shared" ref="D34:L34" si="6">IFERROR(365/D28,0)</f>
        <v>30.353985463325834</v>
      </c>
      <c r="E34" s="50">
        <f t="shared" si="6"/>
        <v>35.055726368162503</v>
      </c>
      <c r="F34" s="50">
        <f t="shared" si="6"/>
        <v>37.545131964896534</v>
      </c>
      <c r="G34" s="50">
        <f t="shared" si="6"/>
        <v>36.183510714324697</v>
      </c>
      <c r="H34" s="50">
        <f t="shared" si="6"/>
        <v>32.420325313872226</v>
      </c>
      <c r="I34" s="50">
        <f t="shared" si="6"/>
        <v>43.743436472235949</v>
      </c>
      <c r="J34" s="50">
        <f t="shared" si="6"/>
        <v>48.557163121347244</v>
      </c>
      <c r="K34" s="50">
        <f t="shared" si="6"/>
        <v>49.073711044725229</v>
      </c>
      <c r="L34" s="50">
        <f t="shared" si="6"/>
        <v>50.275160566089667</v>
      </c>
      <c r="M34" s="54"/>
      <c r="N34" s="50">
        <f t="shared" si="2"/>
        <v>39.489726677116913</v>
      </c>
      <c r="O34" s="50">
        <f t="shared" si="3"/>
        <v>36.864321339610612</v>
      </c>
    </row>
    <row r="35" spans="1:15" x14ac:dyDescent="0.35">
      <c r="B35" t="s">
        <v>145</v>
      </c>
      <c r="C35" s="51">
        <f>IFERROR(365/C29,0)</f>
        <v>147.35271976831345</v>
      </c>
      <c r="D35" s="51">
        <f t="shared" ref="D35:L35" si="7">IFERROR(365/D29,0)</f>
        <v>143.88239018296468</v>
      </c>
      <c r="E35" s="51">
        <f t="shared" si="7"/>
        <v>159.0470025666159</v>
      </c>
      <c r="F35" s="51">
        <f t="shared" si="7"/>
        <v>157.15629653650072</v>
      </c>
      <c r="G35" s="51">
        <f t="shared" si="7"/>
        <v>154.38177456509897</v>
      </c>
      <c r="H35" s="51">
        <f t="shared" si="7"/>
        <v>135.62816821983853</v>
      </c>
      <c r="I35" s="51">
        <f t="shared" si="7"/>
        <v>167.89474152961122</v>
      </c>
      <c r="J35" s="51">
        <f t="shared" si="7"/>
        <v>134.01262568253333</v>
      </c>
      <c r="K35" s="51">
        <f t="shared" si="7"/>
        <v>120.62613656923341</v>
      </c>
      <c r="L35" s="51">
        <f t="shared" si="7"/>
        <v>137.97497739025528</v>
      </c>
      <c r="N35" s="51">
        <f t="shared" si="2"/>
        <v>145.79568330109655</v>
      </c>
      <c r="O35" s="51">
        <f t="shared" si="3"/>
        <v>145.61755497563905</v>
      </c>
    </row>
    <row r="36" spans="1:15" x14ac:dyDescent="0.35">
      <c r="B36" t="s">
        <v>146</v>
      </c>
      <c r="C36" s="51">
        <f>IFERROR(365/C30,0)</f>
        <v>88.652563726170229</v>
      </c>
      <c r="D36" s="51">
        <f t="shared" ref="D36:L36" si="8">IFERROR(365/D30,0)</f>
        <v>77.477161285936461</v>
      </c>
      <c r="E36" s="51">
        <f t="shared" si="8"/>
        <v>98.517065221635193</v>
      </c>
      <c r="F36" s="51">
        <f t="shared" si="8"/>
        <v>86.677542863830013</v>
      </c>
      <c r="G36" s="51">
        <f t="shared" si="8"/>
        <v>89.083823487251095</v>
      </c>
      <c r="H36" s="51">
        <f t="shared" si="8"/>
        <v>94.032434211226288</v>
      </c>
      <c r="I36" s="51">
        <f t="shared" si="8"/>
        <v>98.787465969175798</v>
      </c>
      <c r="J36" s="51">
        <f t="shared" si="8"/>
        <v>109.07117675712716</v>
      </c>
      <c r="K36" s="51">
        <f t="shared" si="8"/>
        <v>95.380662860220397</v>
      </c>
      <c r="L36" s="51">
        <f t="shared" si="8"/>
        <v>93.961129492016283</v>
      </c>
      <c r="N36" s="51">
        <f t="shared" si="2"/>
        <v>93.164102587458899</v>
      </c>
      <c r="O36" s="51">
        <f t="shared" si="3"/>
        <v>93.996781851621279</v>
      </c>
    </row>
    <row r="37" spans="1:15" x14ac:dyDescent="0.35">
      <c r="B37" s="44" t="s">
        <v>147</v>
      </c>
      <c r="C37" s="52">
        <f>IFERROR(SUM(C34,C36)-C35,0)</f>
        <v>-27.011040299953947</v>
      </c>
      <c r="D37" s="52">
        <f t="shared" ref="D37:L37" si="9">IFERROR(SUM(D34,D36)-D35,0)</f>
        <v>-36.051243433702382</v>
      </c>
      <c r="E37" s="52">
        <f t="shared" si="9"/>
        <v>-25.474210976818199</v>
      </c>
      <c r="F37" s="52">
        <f t="shared" si="9"/>
        <v>-32.933621707774165</v>
      </c>
      <c r="G37" s="52">
        <f t="shared" si="9"/>
        <v>-29.114440363523173</v>
      </c>
      <c r="H37" s="52">
        <f t="shared" si="9"/>
        <v>-9.175408694740014</v>
      </c>
      <c r="I37" s="52">
        <f t="shared" si="9"/>
        <v>-25.363839088199484</v>
      </c>
      <c r="J37" s="52">
        <f t="shared" si="9"/>
        <v>23.615714195941081</v>
      </c>
      <c r="K37" s="52">
        <f t="shared" si="9"/>
        <v>23.828237335712203</v>
      </c>
      <c r="L37" s="52">
        <f t="shared" si="9"/>
        <v>6.2613126678506887</v>
      </c>
      <c r="M37" s="55"/>
      <c r="N37" s="52">
        <f t="shared" si="2"/>
        <v>-13.141854036520741</v>
      </c>
      <c r="O37" s="52">
        <f t="shared" si="3"/>
        <v>-25.419025032508841</v>
      </c>
    </row>
    <row r="38" spans="1:15" x14ac:dyDescent="0.35">
      <c r="N38" s="22"/>
      <c r="O38" s="22"/>
    </row>
    <row r="39" spans="1:15" x14ac:dyDescent="0.35">
      <c r="A39" t="s">
        <v>57</v>
      </c>
      <c r="B39" s="41" t="s">
        <v>148</v>
      </c>
      <c r="C39" s="46">
        <f>IFERROR(HistoricalFS!C81/HistoricalFS!C8,0)</f>
        <v>2.3400214171451736</v>
      </c>
      <c r="D39" s="46">
        <f>IFERROR(HistoricalFS!D81/HistoricalFS!D8,0)</f>
        <v>2.7475757611854124</v>
      </c>
      <c r="E39" s="46">
        <f>IFERROR(HistoricalFS!E81/HistoricalFS!E8,0)</f>
        <v>2.2210876517644746</v>
      </c>
      <c r="F39" s="46">
        <f>IFERROR(HistoricalFS!F81/HistoricalFS!F8,0)</f>
        <v>1.0355700449640555</v>
      </c>
      <c r="G39" s="46">
        <f>IFERROR(HistoricalFS!G81/HistoricalFS!G8,0)</f>
        <v>0.60659673297425742</v>
      </c>
      <c r="H39" s="46">
        <f>IFERROR(HistoricalFS!H81/HistoricalFS!H8,0)</f>
        <v>1.5683344671903023</v>
      </c>
      <c r="I39" s="46">
        <f>IFERROR(HistoricalFS!I81/HistoricalFS!I8,0)</f>
        <v>1.3313351255181853</v>
      </c>
      <c r="J39" s="46">
        <f>IFERROR(HistoricalFS!J81/HistoricalFS!J8,0)</f>
        <v>0.12136923186883876</v>
      </c>
      <c r="K39" s="46">
        <f>IFERROR(HistoricalFS!K81/HistoricalFS!K8,0)</f>
        <v>0.93541081267746817</v>
      </c>
      <c r="L39" s="46">
        <f>IFERROR(HistoricalFS!L81/HistoricalFS!L8,0)</f>
        <v>2.1197794714877389</v>
      </c>
      <c r="M39" s="54"/>
      <c r="N39" s="46">
        <f t="shared" si="2"/>
        <v>1.5027080716775907</v>
      </c>
      <c r="O39" s="46">
        <f t="shared" si="3"/>
        <v>1.4498347963542439</v>
      </c>
    </row>
    <row r="40" spans="1:15" x14ac:dyDescent="0.35">
      <c r="B40" t="s">
        <v>149</v>
      </c>
      <c r="C40" s="43">
        <f>IFERROR(HistoricalFS!C81/HistoricalFS!C67,0)</f>
        <v>3.5739525492175668</v>
      </c>
      <c r="D40" s="43">
        <f>IFERROR(HistoricalFS!D81/HistoricalFS!D67,0)</f>
        <v>3.7135986923041231</v>
      </c>
      <c r="E40" s="43">
        <f>IFERROR(HistoricalFS!E81/HistoricalFS!E67,0)</f>
        <v>2.6967744951911259</v>
      </c>
      <c r="F40" s="43">
        <f>IFERROR(HistoricalFS!F81/HistoricalFS!F67,0)</f>
        <v>1.2658862438859939</v>
      </c>
      <c r="G40" s="43">
        <f>IFERROR(HistoricalFS!G81/HistoricalFS!G67,0)</f>
        <v>0.71826665780449561</v>
      </c>
      <c r="H40" s="43">
        <f>IFERROR(HistoricalFS!H81/HistoricalFS!H67,0)</f>
        <v>1.9641875651026739</v>
      </c>
      <c r="I40" s="43">
        <f>IFERROR(HistoricalFS!I81/HistoricalFS!I67,0)</f>
        <v>1.4201187501658041</v>
      </c>
      <c r="J40" s="43">
        <f>IFERROR(HistoricalFS!J81/HistoricalFS!J67,0)</f>
        <v>0.15384327238404369</v>
      </c>
      <c r="K40" s="43">
        <f>IFERROR(HistoricalFS!K81/HistoricalFS!K67,0)</f>
        <v>1.2514289549030171</v>
      </c>
      <c r="L40" s="43">
        <f>IFERROR(HistoricalFS!L81/HistoricalFS!L67,0)</f>
        <v>2.5163566021878361</v>
      </c>
      <c r="N40" s="43">
        <f t="shared" si="2"/>
        <v>1.927441378314668</v>
      </c>
      <c r="O40" s="43">
        <f t="shared" si="3"/>
        <v>1.692153157634239</v>
      </c>
    </row>
    <row r="41" spans="1:15" x14ac:dyDescent="0.35">
      <c r="B41" s="44" t="s">
        <v>150</v>
      </c>
      <c r="C41" s="130">
        <f>IFERROR(HistoricalFS!C81/HistoricalFS!C52,0)</f>
        <v>76.189109692230431</v>
      </c>
      <c r="D41" s="130">
        <f>IFERROR(HistoricalFS!D81/HistoricalFS!D52,0)</f>
        <v>121.29048222957715</v>
      </c>
      <c r="E41" s="130">
        <f>IFERROR(HistoricalFS!E81/HistoricalFS!E52,0)</f>
        <v>59.703037441553342</v>
      </c>
      <c r="F41" s="130">
        <f>IFERROR(HistoricalFS!F81/HistoricalFS!F52,0)</f>
        <v>32.662204975348224</v>
      </c>
      <c r="G41" s="130">
        <f>IFERROR(HistoricalFS!G81/HistoricalFS!G52,0)</f>
        <v>8.8443467717490147</v>
      </c>
      <c r="H41" s="130">
        <f>IFERROR(HistoricalFS!H81/HistoricalFS!H52,0)</f>
        <v>28.339740724184175</v>
      </c>
      <c r="I41" s="130">
        <f>IFERROR(HistoricalFS!I81/HistoricalFS!I52,0)</f>
        <v>26.444489168618269</v>
      </c>
      <c r="J41" s="130">
        <f>IFERROR(HistoricalFS!J81/HistoricalFS!J52,0)</f>
        <v>2.2257511595079653</v>
      </c>
      <c r="K41" s="130">
        <f>IFERROR(HistoricalFS!K81/HistoricalFS!K52,0)</f>
        <v>16.692883236228539</v>
      </c>
      <c r="L41" s="130">
        <f>IFERROR(HistoricalFS!L81/HistoricalFS!L52,0)</f>
        <v>30.408021403341444</v>
      </c>
      <c r="M41" s="55"/>
      <c r="N41" s="130">
        <f t="shared" si="2"/>
        <v>40.280006680233861</v>
      </c>
      <c r="O41" s="130">
        <f t="shared" si="3"/>
        <v>29.373881063762809</v>
      </c>
    </row>
  </sheetData>
  <mergeCells count="1">
    <mergeCell ref="B3:O3"/>
  </mergeCells>
  <pageMargins left="0.25" right="0.25" top="0.75" bottom="0.75" header="0.3" footer="0.3"/>
  <pageSetup paperSize="9" scale="61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17EDA30-B8BE-4A88-8239-742931DE5C3F}">
          <x14:colorSeries theme="3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</x14:sparklines>
        </x14:sparklineGroup>
        <x14:sparklineGroup displayEmptyCellsAs="gap" markers="1" xr2:uid="{18C24379-4A4D-4665-8048-1CC3415A44C6}">
          <x14:colorSeries theme="3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B251-330B-4260-982F-33F40E647C59}">
  <sheetPr>
    <pageSetUpPr fitToPage="1"/>
  </sheetPr>
  <dimension ref="A3:L41"/>
  <sheetViews>
    <sheetView showGridLines="0" tabSelected="1" topLeftCell="A24" zoomScale="75" zoomScaleNormal="75" workbookViewId="0">
      <selection activeCell="A40" sqref="A40"/>
    </sheetView>
  </sheetViews>
  <sheetFormatPr defaultRowHeight="14.5" x14ac:dyDescent="0.35"/>
  <cols>
    <col min="1" max="1" width="1.81640625" customWidth="1"/>
    <col min="2" max="2" width="22.26953125" customWidth="1"/>
    <col min="3" max="12" width="10" bestFit="1" customWidth="1"/>
  </cols>
  <sheetData>
    <row r="3" spans="1:12" x14ac:dyDescent="0.35">
      <c r="A3" t="s">
        <v>57</v>
      </c>
      <c r="B3" s="216" t="str">
        <f>"Common Size Income Statement"&amp;""&amp;"- "&amp;'Data Sheet'!$B$1</f>
        <v>Common Size Income Statement- ASIAN PAINTS LTD</v>
      </c>
      <c r="C3" s="216"/>
      <c r="D3" s="216"/>
      <c r="E3" s="216"/>
      <c r="F3" s="216"/>
      <c r="G3" s="216"/>
      <c r="H3" s="216"/>
      <c r="I3" s="216"/>
      <c r="J3" s="216"/>
      <c r="K3" s="216"/>
      <c r="L3" s="216"/>
    </row>
    <row r="5" spans="1:12" x14ac:dyDescent="0.35">
      <c r="B5" s="67" t="s">
        <v>165</v>
      </c>
      <c r="C5" s="68">
        <f>'Data Sheet'!B16</f>
        <v>42094</v>
      </c>
      <c r="D5" s="68">
        <f>'Data Sheet'!C16</f>
        <v>42460</v>
      </c>
      <c r="E5" s="68">
        <f>'Data Sheet'!D16</f>
        <v>42825</v>
      </c>
      <c r="F5" s="68">
        <f>'Data Sheet'!E16</f>
        <v>43190</v>
      </c>
      <c r="G5" s="68">
        <f>'Data Sheet'!F16</f>
        <v>43555</v>
      </c>
      <c r="H5" s="68">
        <f>'Data Sheet'!G16</f>
        <v>43921</v>
      </c>
      <c r="I5" s="68">
        <f>'Data Sheet'!H16</f>
        <v>44286</v>
      </c>
      <c r="J5" s="68">
        <f>'Data Sheet'!I16</f>
        <v>44651</v>
      </c>
      <c r="K5" s="68">
        <f>'Data Sheet'!J16</f>
        <v>45016</v>
      </c>
      <c r="L5" s="68">
        <f>'Data Sheet'!K16</f>
        <v>45382</v>
      </c>
    </row>
    <row r="7" spans="1:12" x14ac:dyDescent="0.35">
      <c r="B7" s="131" t="str">
        <f>'Data Sheet'!A17</f>
        <v>Sales</v>
      </c>
      <c r="C7" s="69">
        <f>'Data Sheet'!B17/'Data Sheet'!B$17</f>
        <v>1</v>
      </c>
      <c r="D7" s="69">
        <f>'Data Sheet'!C17/'Data Sheet'!C$17</f>
        <v>1</v>
      </c>
      <c r="E7" s="69">
        <f>'Data Sheet'!D17/'Data Sheet'!D$17</f>
        <v>1</v>
      </c>
      <c r="F7" s="69">
        <f>'Data Sheet'!E17/'Data Sheet'!E$17</f>
        <v>1</v>
      </c>
      <c r="G7" s="69">
        <f>'Data Sheet'!F17/'Data Sheet'!F$17</f>
        <v>1</v>
      </c>
      <c r="H7" s="69">
        <f>'Data Sheet'!G17/'Data Sheet'!G$17</f>
        <v>1</v>
      </c>
      <c r="I7" s="69">
        <f>'Data Sheet'!H17/'Data Sheet'!H$17</f>
        <v>1</v>
      </c>
      <c r="J7" s="69">
        <f>'Data Sheet'!I17/'Data Sheet'!I$17</f>
        <v>1</v>
      </c>
      <c r="K7" s="69">
        <f>'Data Sheet'!J17/'Data Sheet'!J$17</f>
        <v>1</v>
      </c>
      <c r="L7" s="69">
        <f>'Data Sheet'!K17/'Data Sheet'!K$17</f>
        <v>1</v>
      </c>
    </row>
    <row r="8" spans="1:12" x14ac:dyDescent="0.35">
      <c r="B8" s="132" t="str">
        <f>'Data Sheet'!A18</f>
        <v>Raw Material Cost</v>
      </c>
      <c r="C8" s="22">
        <f>'Data Sheet'!B18/'Data Sheet'!B$17</f>
        <v>0.50493563839397848</v>
      </c>
      <c r="D8" s="22">
        <f>'Data Sheet'!C18/'Data Sheet'!C$17</f>
        <v>0.46034646697716919</v>
      </c>
      <c r="E8" s="22">
        <f>'Data Sheet'!D18/'Data Sheet'!D$17</f>
        <v>0.4947951764673858</v>
      </c>
      <c r="F8" s="22">
        <f>'Data Sheet'!E18/'Data Sheet'!E$17</f>
        <v>0.48311366425847946</v>
      </c>
      <c r="G8" s="22">
        <f>'Data Sheet'!F18/'Data Sheet'!F$17</f>
        <v>0.51841645560606919</v>
      </c>
      <c r="H8" s="22">
        <f>'Data Sheet'!G18/'Data Sheet'!G$17</f>
        <v>0.4938828622673016</v>
      </c>
      <c r="I8" s="22">
        <f>'Data Sheet'!H18/'Data Sheet'!H$17</f>
        <v>0.48015708713619937</v>
      </c>
      <c r="J8" s="22">
        <f>'Data Sheet'!I18/'Data Sheet'!I$17</f>
        <v>0.58840195345359381</v>
      </c>
      <c r="K8" s="22">
        <f>'Data Sheet'!J18/'Data Sheet'!J$17</f>
        <v>0.55048727709657019</v>
      </c>
      <c r="L8" s="22">
        <f>'Data Sheet'!K18/'Data Sheet'!K$17</f>
        <v>0.49051901507632256</v>
      </c>
    </row>
    <row r="9" spans="1:12" x14ac:dyDescent="0.35">
      <c r="B9" s="132" t="str">
        <f>'Data Sheet'!A19</f>
        <v>Change in Inventory</v>
      </c>
      <c r="C9" s="22">
        <f>'Data Sheet'!B19/'Data Sheet'!B$17</f>
        <v>1.0875297276732136E-2</v>
      </c>
      <c r="D9" s="22">
        <f>'Data Sheet'!C19/'Data Sheet'!C$17</f>
        <v>-1.3967006948818941E-2</v>
      </c>
      <c r="E9" s="22">
        <f>'Data Sheet'!D19/'Data Sheet'!D$17</f>
        <v>3.5094964211236368E-2</v>
      </c>
      <c r="F9" s="22">
        <f>'Data Sheet'!E19/'Data Sheet'!E$17</f>
        <v>-8.4477742346749252E-3</v>
      </c>
      <c r="G9" s="22">
        <f>'Data Sheet'!F19/'Data Sheet'!F$17</f>
        <v>1.5242100755036478E-2</v>
      </c>
      <c r="H9" s="22">
        <f>'Data Sheet'!G19/'Data Sheet'!G$17</f>
        <v>1.1832519017873709E-2</v>
      </c>
      <c r="I9" s="22">
        <f>'Data Sheet'!H19/'Data Sheet'!H$17</f>
        <v>4.2578590775298802E-3</v>
      </c>
      <c r="J9" s="22">
        <f>'Data Sheet'!I19/'Data Sheet'!I$17</f>
        <v>4.5529612443164016E-2</v>
      </c>
      <c r="K9" s="22">
        <f>'Data Sheet'!J19/'Data Sheet'!J$17</f>
        <v>8.9806512820616927E-3</v>
      </c>
      <c r="L9" s="22">
        <f>'Data Sheet'!K19/'Data Sheet'!K$17</f>
        <v>-1.0249408855906214E-2</v>
      </c>
    </row>
    <row r="10" spans="1:12" x14ac:dyDescent="0.35">
      <c r="B10" s="132" t="str">
        <f>'Data Sheet'!A20</f>
        <v>Power and Fuel</v>
      </c>
      <c r="C10" s="22">
        <f>'Data Sheet'!B20/'Data Sheet'!B$17</f>
        <v>9.5980539482903738E-3</v>
      </c>
      <c r="D10" s="22">
        <f>'Data Sheet'!C20/'Data Sheet'!C$17</f>
        <v>8.021587094269764E-3</v>
      </c>
      <c r="E10" s="22">
        <f>'Data Sheet'!D20/'Data Sheet'!D$17</f>
        <v>7.0389105290867941E-3</v>
      </c>
      <c r="F10" s="22">
        <f>'Data Sheet'!E20/'Data Sheet'!E$17</f>
        <v>6.5558959972183504E-3</v>
      </c>
      <c r="G10" s="22">
        <f>'Data Sheet'!F20/'Data Sheet'!F$17</f>
        <v>6.2177334560629266E-3</v>
      </c>
      <c r="H10" s="22">
        <f>'Data Sheet'!G20/'Data Sheet'!G$17</f>
        <v>4.8383944585317588E-3</v>
      </c>
      <c r="I10" s="22">
        <f>'Data Sheet'!H20/'Data Sheet'!H$17</f>
        <v>3.9631019320870327E-3</v>
      </c>
      <c r="J10" s="22">
        <f>'Data Sheet'!I20/'Data Sheet'!I$17</f>
        <v>4.0283451449558234E-3</v>
      </c>
      <c r="K10" s="22">
        <f>'Data Sheet'!J20/'Data Sheet'!J$17</f>
        <v>4.0097319142359837E-3</v>
      </c>
      <c r="L10" s="22">
        <f>'Data Sheet'!K20/'Data Sheet'!K$17</f>
        <v>3.7540784223460775E-3</v>
      </c>
    </row>
    <row r="11" spans="1:12" x14ac:dyDescent="0.35">
      <c r="B11" s="132" t="str">
        <f>'Data Sheet'!A21</f>
        <v>Other Mfr. Exp</v>
      </c>
      <c r="C11" s="22">
        <f>'Data Sheet'!B21/'Data Sheet'!B$17</f>
        <v>0.11049880795519146</v>
      </c>
      <c r="D11" s="22">
        <f>'Data Sheet'!C21/'Data Sheet'!C$17</f>
        <v>0.10757250994815538</v>
      </c>
      <c r="E11" s="22">
        <f>'Data Sheet'!D21/'Data Sheet'!D$17</f>
        <v>0.11039377930804628</v>
      </c>
      <c r="F11" s="22">
        <f>'Data Sheet'!E21/'Data Sheet'!E$17</f>
        <v>0.10054830589822611</v>
      </c>
      <c r="G11" s="22">
        <f>'Data Sheet'!F21/'Data Sheet'!F$17</f>
        <v>9.679508402490003E-2</v>
      </c>
      <c r="H11" s="22">
        <f>'Data Sheet'!G21/'Data Sheet'!G$17</f>
        <v>9.6288947986888487E-2</v>
      </c>
      <c r="I11" s="22">
        <f>'Data Sheet'!H21/'Data Sheet'!H$17</f>
        <v>9.5257679920452407E-2</v>
      </c>
      <c r="J11" s="22">
        <f>'Data Sheet'!I21/'Data Sheet'!I$17</f>
        <v>9.8980182315004703E-2</v>
      </c>
      <c r="K11" s="22">
        <f>'Data Sheet'!J21/'Data Sheet'!J$17</f>
        <v>8.455550081925646E-2</v>
      </c>
      <c r="L11" s="22">
        <f>'Data Sheet'!K21/'Data Sheet'!K$17</f>
        <v>7.796030565664254E-2</v>
      </c>
    </row>
    <row r="12" spans="1:12" x14ac:dyDescent="0.35">
      <c r="B12" s="132" t="str">
        <f>'Data Sheet'!A22</f>
        <v>Employee Cost</v>
      </c>
      <c r="C12" s="22">
        <f>'Data Sheet'!B22/'Data Sheet'!B$17</f>
        <v>6.8809556336052347E-2</v>
      </c>
      <c r="D12" s="22">
        <f>'Data Sheet'!C22/'Data Sheet'!C$17</f>
        <v>6.9718018230752368E-2</v>
      </c>
      <c r="E12" s="22">
        <f>'Data Sheet'!D22/'Data Sheet'!D$17</f>
        <v>6.9040677891832367E-2</v>
      </c>
      <c r="F12" s="22">
        <f>'Data Sheet'!E22/'Data Sheet'!E$17</f>
        <v>6.6681724028280112E-2</v>
      </c>
      <c r="G12" s="22">
        <f>'Data Sheet'!F22/'Data Sheet'!F$17</f>
        <v>6.4588440930492666E-2</v>
      </c>
      <c r="H12" s="22">
        <f>'Data Sheet'!G22/'Data Sheet'!G$17</f>
        <v>6.7846867462428101E-2</v>
      </c>
      <c r="I12" s="22">
        <f>'Data Sheet'!H22/'Data Sheet'!H$17</f>
        <v>7.1276422790438249E-2</v>
      </c>
      <c r="J12" s="22">
        <f>'Data Sheet'!I22/'Data Sheet'!I$17</f>
        <v>6.1667734202756716E-2</v>
      </c>
      <c r="K12" s="22">
        <f>'Data Sheet'!J22/'Data Sheet'!J$17</f>
        <v>5.9045904747048232E-2</v>
      </c>
      <c r="L12" s="22">
        <f>'Data Sheet'!K22/'Data Sheet'!K$17</f>
        <v>6.5782159774141119E-2</v>
      </c>
    </row>
    <row r="13" spans="1:12" x14ac:dyDescent="0.35">
      <c r="B13" s="132" t="str">
        <f>'Data Sheet'!A23</f>
        <v>Selling and admin</v>
      </c>
      <c r="C13" s="22">
        <f>'Data Sheet'!B23/'Data Sheet'!B$17</f>
        <v>0.24616937171967335</v>
      </c>
      <c r="D13" s="22">
        <f>'Data Sheet'!C23/'Data Sheet'!C$17</f>
        <v>0.27413395517917194</v>
      </c>
      <c r="E13" s="22">
        <f>'Data Sheet'!D23/'Data Sheet'!D$17</f>
        <v>0.28973860691714709</v>
      </c>
      <c r="F13" s="22">
        <f>'Data Sheet'!E23/'Data Sheet'!E$17</f>
        <v>0.13402557572119314</v>
      </c>
      <c r="G13" s="22">
        <f>'Data Sheet'!F23/'Data Sheet'!F$17</f>
        <v>0.12301736006981241</v>
      </c>
      <c r="H13" s="22">
        <f>'Data Sheet'!G23/'Data Sheet'!G$17</f>
        <v>0.11436749335147506</v>
      </c>
      <c r="I13" s="22">
        <f>'Data Sheet'!H23/'Data Sheet'!H$17</f>
        <v>0.10342705842961683</v>
      </c>
      <c r="J13" s="22">
        <f>'Data Sheet'!I23/'Data Sheet'!I$17</f>
        <v>0.10109452230279906</v>
      </c>
      <c r="K13" s="22">
        <f>'Data Sheet'!J23/'Data Sheet'!J$17</f>
        <v>0.10150719411840266</v>
      </c>
      <c r="L13" s="22">
        <f>'Data Sheet'!K23/'Data Sheet'!K$17</f>
        <v>0.10739228048783579</v>
      </c>
    </row>
    <row r="14" spans="1:12" x14ac:dyDescent="0.35">
      <c r="B14" s="132" t="str">
        <f>'Data Sheet'!A24</f>
        <v>Other Expenses</v>
      </c>
      <c r="C14" s="22">
        <f>'Data Sheet'!B24/'Data Sheet'!B$17</f>
        <v>-9.3869672705478996E-2</v>
      </c>
      <c r="D14" s="22">
        <f>'Data Sheet'!C24/'Data Sheet'!C$17</f>
        <v>-0.12470246624564078</v>
      </c>
      <c r="E14" s="22">
        <f>'Data Sheet'!D24/'Data Sheet'!D$17</f>
        <v>-0.13467476741121193</v>
      </c>
      <c r="F14" s="22">
        <f>'Data Sheet'!E24/'Data Sheet'!E$17</f>
        <v>1.0190465718251008E-2</v>
      </c>
      <c r="G14" s="22">
        <f>'Data Sheet'!F24/'Data Sheet'!F$17</f>
        <v>1.0525396657922789E-2</v>
      </c>
      <c r="H14" s="22">
        <f>'Data Sheet'!G24/'Data Sheet'!G$17</f>
        <v>2.8939328344362667E-2</v>
      </c>
      <c r="I14" s="22">
        <f>'Data Sheet'!H24/'Data Sheet'!H$17</f>
        <v>2.6547947085565692E-2</v>
      </c>
      <c r="J14" s="22">
        <f>'Data Sheet'!I24/'Data Sheet'!I$17</f>
        <v>2.6291627034962038E-2</v>
      </c>
      <c r="K14" s="22">
        <f>'Data Sheet'!J24/'Data Sheet'!J$17</f>
        <v>2.7870376840572496E-2</v>
      </c>
      <c r="L14" s="22">
        <f>'Data Sheet'!K24/'Data Sheet'!K$17</f>
        <v>3.0649620380264902E-2</v>
      </c>
    </row>
    <row r="15" spans="1:12" x14ac:dyDescent="0.35">
      <c r="B15" s="132" t="str">
        <f>'Data Sheet'!A25</f>
        <v>Other Income</v>
      </c>
      <c r="C15" s="22">
        <f>'Data Sheet'!B25/'Data Sheet'!B$17</f>
        <v>1.0439756567263496E-2</v>
      </c>
      <c r="D15" s="22">
        <f>'Data Sheet'!C25/'Data Sheet'!C$17</f>
        <v>1.4952187893485543E-2</v>
      </c>
      <c r="E15" s="22">
        <f>'Data Sheet'!D25/'Data Sheet'!D$17</f>
        <v>2.2433954610247383E-2</v>
      </c>
      <c r="F15" s="22">
        <f>'Data Sheet'!E25/'Data Sheet'!E$17</f>
        <v>1.9995185606747286E-2</v>
      </c>
      <c r="G15" s="22">
        <f>'Data Sheet'!F25/'Data Sheet'!F$17</f>
        <v>1.422911383654892E-2</v>
      </c>
      <c r="H15" s="22">
        <f>'Data Sheet'!G25/'Data Sheet'!G$17</f>
        <v>1.7566949100129878E-2</v>
      </c>
      <c r="I15" s="22">
        <f>'Data Sheet'!H25/'Data Sheet'!H$17</f>
        <v>1.5274407388456295E-2</v>
      </c>
      <c r="J15" s="22">
        <f>'Data Sheet'!I25/'Data Sheet'!I$17</f>
        <v>1.0167250375241226E-2</v>
      </c>
      <c r="K15" s="22">
        <f>'Data Sheet'!J25/'Data Sheet'!J$17</f>
        <v>1.2510224395952401E-2</v>
      </c>
      <c r="L15" s="22">
        <f>'Data Sheet'!K25/'Data Sheet'!K$17</f>
        <v>2.3129067329149988E-2</v>
      </c>
    </row>
    <row r="16" spans="1:12" x14ac:dyDescent="0.35">
      <c r="B16" s="132" t="str">
        <f>'Data Sheet'!A26</f>
        <v>Depreciation</v>
      </c>
      <c r="C16" s="22">
        <f>'Data Sheet'!B26/'Data Sheet'!B$17</f>
        <v>1.953102621617215E-2</v>
      </c>
      <c r="D16" s="22">
        <f>'Data Sheet'!C26/'Data Sheet'!C$17</f>
        <v>1.9309826794539322E-2</v>
      </c>
      <c r="E16" s="22">
        <f>'Data Sheet'!D26/'Data Sheet'!D$17</f>
        <v>2.2227474590011016E-2</v>
      </c>
      <c r="F16" s="22">
        <f>'Data Sheet'!E26/'Data Sheet'!E$17</f>
        <v>2.1425238713665449E-2</v>
      </c>
      <c r="G16" s="22">
        <f>'Data Sheet'!F26/'Data Sheet'!F$17</f>
        <v>3.2335540352378074E-2</v>
      </c>
      <c r="H16" s="22">
        <f>'Data Sheet'!G26/'Data Sheet'!G$17</f>
        <v>3.8617106809326486E-2</v>
      </c>
      <c r="I16" s="22">
        <f>'Data Sheet'!H26/'Data Sheet'!H$17</f>
        <v>3.6442576011650275E-2</v>
      </c>
      <c r="J16" s="22">
        <f>'Data Sheet'!I26/'Data Sheet'!I$17</f>
        <v>2.8052374328551871E-2</v>
      </c>
      <c r="K16" s="22">
        <f>'Data Sheet'!J26/'Data Sheet'!J$17</f>
        <v>2.4878372818372688E-2</v>
      </c>
      <c r="L16" s="22">
        <f>'Data Sheet'!K26/'Data Sheet'!K$17</f>
        <v>2.4031736542297968E-2</v>
      </c>
    </row>
    <row r="17" spans="1:12" x14ac:dyDescent="0.35">
      <c r="B17" s="132" t="str">
        <f>'Data Sheet'!A27</f>
        <v>Interest</v>
      </c>
      <c r="C17" s="22">
        <f>'Data Sheet'!B27/'Data Sheet'!B$17</f>
        <v>3.1024012762150706E-3</v>
      </c>
      <c r="D17" s="22">
        <f>'Data Sheet'!C27/'Data Sheet'!C$17</f>
        <v>3.4334186549547386E-3</v>
      </c>
      <c r="E17" s="22">
        <f>'Data Sheet'!D27/'Data Sheet'!D$17</f>
        <v>2.4784241657310885E-3</v>
      </c>
      <c r="F17" s="22">
        <f>'Data Sheet'!E27/'Data Sheet'!E$17</f>
        <v>2.4648504714836358E-3</v>
      </c>
      <c r="G17" s="22">
        <f>'Data Sheet'!F27/'Data Sheet'!F$17</f>
        <v>5.7416451967840128E-3</v>
      </c>
      <c r="H17" s="22">
        <f>'Data Sheet'!G27/'Data Sheet'!G$17</f>
        <v>5.0630218319005502E-3</v>
      </c>
      <c r="I17" s="22">
        <f>'Data Sheet'!H27/'Data Sheet'!H$17</f>
        <v>4.2200933182700148E-3</v>
      </c>
      <c r="J17" s="22">
        <f>'Data Sheet'!I27/'Data Sheet'!I$17</f>
        <v>3.2785499469439143E-3</v>
      </c>
      <c r="K17" s="22">
        <f>'Data Sheet'!J27/'Data Sheet'!J$17</f>
        <v>4.1883417095335005E-3</v>
      </c>
      <c r="L17" s="22">
        <f>'Data Sheet'!K27/'Data Sheet'!K$17</f>
        <v>5.7802947085384216E-3</v>
      </c>
    </row>
    <row r="18" spans="1:12" x14ac:dyDescent="0.35">
      <c r="B18" s="132" t="str">
        <f>'Data Sheet'!A28</f>
        <v>Profit before tax</v>
      </c>
      <c r="C18" s="22">
        <f>'Data Sheet'!B28/'Data Sheet'!B$17</f>
        <v>0.15253987070390135</v>
      </c>
      <c r="D18" s="22">
        <f>'Data Sheet'!C28/'Data Sheet'!C$17</f>
        <v>0.18315186431129477</v>
      </c>
      <c r="E18" s="22">
        <f>'Data Sheet'!D28/'Data Sheet'!D$17</f>
        <v>0.19649063636345529</v>
      </c>
      <c r="F18" s="22">
        <f>'Data Sheet'!E28/'Data Sheet'!E$17</f>
        <v>0.18654169056527517</v>
      </c>
      <c r="G18" s="22">
        <f>'Data Sheet'!F28/'Data Sheet'!F$17</f>
        <v>0.17183355829716326</v>
      </c>
      <c r="H18" s="22">
        <f>'Data Sheet'!G28/'Data Sheet'!G$17</f>
        <v>0.17955544560578884</v>
      </c>
      <c r="I18" s="22">
        <f>'Data Sheet'!H28/'Data Sheet'!H$17</f>
        <v>0.19824029984170621</v>
      </c>
      <c r="J18" s="22">
        <f>'Data Sheet'!I28/'Data Sheet'!I$17</f>
        <v>0.14390157408883733</v>
      </c>
      <c r="K18" s="22">
        <f>'Data Sheet'!J28/'Data Sheet'!J$17</f>
        <v>0.16494817561402192</v>
      </c>
      <c r="L18" s="22">
        <f>'Data Sheet'!K28/'Data Sheet'!K$17</f>
        <v>0.20701016742485434</v>
      </c>
    </row>
    <row r="19" spans="1:12" x14ac:dyDescent="0.35">
      <c r="B19" s="132" t="str">
        <f>'Data Sheet'!A29</f>
        <v>Tax</v>
      </c>
      <c r="C19" s="22">
        <f>'Data Sheet'!B29/'Data Sheet'!B$17</f>
        <v>4.7706764321797747E-2</v>
      </c>
      <c r="D19" s="22">
        <f>'Data Sheet'!C29/'Data Sheet'!C$17</f>
        <v>5.9173218773933209E-2</v>
      </c>
      <c r="E19" s="22">
        <f>'Data Sheet'!D29/'Data Sheet'!D$17</f>
        <v>6.2627182729506528E-2</v>
      </c>
      <c r="F19" s="22">
        <f>'Data Sheet'!E29/'Data Sheet'!E$17</f>
        <v>6.1871491362324706E-2</v>
      </c>
      <c r="G19" s="22">
        <f>'Data Sheet'!F29/'Data Sheet'!F$17</f>
        <v>5.7071339954563712E-2</v>
      </c>
      <c r="H19" s="22">
        <f>'Data Sheet'!G29/'Data Sheet'!G$17</f>
        <v>4.2295751128703075E-2</v>
      </c>
      <c r="I19" s="22">
        <f>'Data Sheet'!H29/'Data Sheet'!H$17</f>
        <v>5.05508504434483E-2</v>
      </c>
      <c r="J19" s="22">
        <f>'Data Sheet'!I29/'Data Sheet'!I$17</f>
        <v>3.7899020249281136E-2</v>
      </c>
      <c r="K19" s="22">
        <f>'Data Sheet'!J29/'Data Sheet'!J$17</f>
        <v>4.3304176830656176E-2</v>
      </c>
      <c r="L19" s="22">
        <f>'Data Sheet'!K29/'Data Sheet'!K$17</f>
        <v>5.0432275439198995E-2</v>
      </c>
    </row>
    <row r="20" spans="1:12" x14ac:dyDescent="0.35">
      <c r="B20" s="132" t="str">
        <f>'Data Sheet'!A30</f>
        <v>Net profit</v>
      </c>
      <c r="C20" s="22">
        <f>'Data Sheet'!B30/'Data Sheet'!B$17</f>
        <v>0.10246958192498712</v>
      </c>
      <c r="D20" s="22">
        <f>'Data Sheet'!C30/'Data Sheet'!C$17</f>
        <v>0.12228295714042473</v>
      </c>
      <c r="E20" s="22">
        <f>'Data Sheet'!D30/'Data Sheet'!D$17</f>
        <v>0.12876319795724203</v>
      </c>
      <c r="F20" s="22">
        <f>'Data Sheet'!E30/'Data Sheet'!E$17</f>
        <v>0.12118778808348515</v>
      </c>
      <c r="G20" s="22">
        <f>'Data Sheet'!F30/'Data Sheet'!F$17</f>
        <v>0.11205329693718286</v>
      </c>
      <c r="H20" s="22">
        <f>'Data Sheet'!G30/'Data Sheet'!G$17</f>
        <v>0.13384476467313997</v>
      </c>
      <c r="I20" s="22">
        <f>'Data Sheet'!H30/'Data Sheet'!H$17</f>
        <v>0.14458252486207437</v>
      </c>
      <c r="J20" s="22">
        <f>'Data Sheet'!I30/'Data Sheet'!I$17</f>
        <v>0.10413871829692715</v>
      </c>
      <c r="K20" s="22">
        <f>'Data Sheet'!J30/'Data Sheet'!J$17</f>
        <v>0.11906691459407301</v>
      </c>
      <c r="L20" s="22">
        <f>'Data Sheet'!K30/'Data Sheet'!K$17</f>
        <v>0.15383213226301479</v>
      </c>
    </row>
    <row r="21" spans="1:12" x14ac:dyDescent="0.35">
      <c r="B21" s="132" t="str">
        <f>'Data Sheet'!A31</f>
        <v>Dividend Amount</v>
      </c>
      <c r="C21" s="22">
        <f>'Data Sheet'!B31/'Data Sheet'!B$17</f>
        <v>4.2974574117571017E-2</v>
      </c>
      <c r="D21" s="22">
        <f>'Data Sheet'!C31/'Data Sheet'!C$17</f>
        <v>5.0408191436213036E-2</v>
      </c>
      <c r="E21" s="22">
        <f>'Data Sheet'!D31/'Data Sheet'!D$17</f>
        <v>6.559425414570054E-2</v>
      </c>
      <c r="F21" s="22">
        <f>'Data Sheet'!E31/'Data Sheet'!E$17</f>
        <v>4.9600137893732674E-2</v>
      </c>
      <c r="G21" s="22">
        <f>'Data Sheet'!F31/'Data Sheet'!F$17</f>
        <v>5.2346839652330827E-2</v>
      </c>
      <c r="H21" s="22">
        <f>'Data Sheet'!G31/'Data Sheet'!G$17</f>
        <v>5.6950460758241075E-2</v>
      </c>
      <c r="I21" s="22">
        <f>'Data Sheet'!H31/'Data Sheet'!H$17</f>
        <v>7.8855365892637475E-2</v>
      </c>
      <c r="J21" s="22">
        <f>'Data Sheet'!I31/'Data Sheet'!I$17</f>
        <v>6.3119904004222488E-2</v>
      </c>
      <c r="K21" s="22">
        <f>'Data Sheet'!J31/'Data Sheet'!J$17</f>
        <v>7.1338086016273797E-2</v>
      </c>
      <c r="L21" s="22">
        <f>'Data Sheet'!K31/'Data Sheet'!K$17</f>
        <v>8.998913359814259E-2</v>
      </c>
    </row>
    <row r="22" spans="1:12" x14ac:dyDescent="0.35">
      <c r="B22" s="131" t="str">
        <f>'Data Sheet'!A33</f>
        <v>EBITDA</v>
      </c>
      <c r="C22" s="69">
        <f>'Data Sheet'!B33/'Data Sheet'!B$17</f>
        <v>0.17280977373917211</v>
      </c>
      <c r="D22" s="69">
        <f>'Data Sheet'!C33/'Data Sheet'!C$17</f>
        <v>0.204199421363852</v>
      </c>
      <c r="E22" s="69">
        <f>'Data Sheet'!D33/'Data Sheet'!D$17</f>
        <v>0.21609627944249069</v>
      </c>
      <c r="F22" s="69">
        <f>'Data Sheet'!E33/'Data Sheet'!E$17</f>
        <v>0.20694936863095892</v>
      </c>
      <c r="G22" s="69">
        <f>'Data Sheet'!F33/'Data Sheet'!F$17</f>
        <v>0.20720182244090865</v>
      </c>
      <c r="H22" s="69">
        <f>'Data Sheet'!G33/'Data Sheet'!G$17</f>
        <v>0.21982064444307009</v>
      </c>
      <c r="I22" s="69">
        <f>'Data Sheet'!H33/'Data Sheet'!H$17</f>
        <v>0.23579604463544296</v>
      </c>
      <c r="J22" s="69">
        <f>'Data Sheet'!I33/'Data Sheet'!I$17</f>
        <v>0.17336866282170407</v>
      </c>
      <c r="K22" s="69">
        <f>'Data Sheet'!J33/'Data Sheet'!J$17</f>
        <v>0.19143780595263538</v>
      </c>
      <c r="L22" s="69">
        <f>'Data Sheet'!K33/'Data Sheet'!K$17</f>
        <v>0.23407643895305019</v>
      </c>
    </row>
    <row r="24" spans="1:12" x14ac:dyDescent="0.35">
      <c r="A24" t="s">
        <v>57</v>
      </c>
      <c r="B24" s="216" t="str">
        <f>"Common Size Balance Sheet"&amp;""&amp;"- "&amp;'Data Sheet'!$B$1</f>
        <v>Common Size Balance Sheet- ASIAN PAINTS LTD</v>
      </c>
      <c r="C24" s="216"/>
      <c r="D24" s="216"/>
      <c r="E24" s="216"/>
      <c r="F24" s="216"/>
      <c r="G24" s="216"/>
      <c r="H24" s="216"/>
      <c r="I24" s="216"/>
      <c r="J24" s="216"/>
      <c r="K24" s="216"/>
      <c r="L24" s="216"/>
    </row>
    <row r="26" spans="1:12" x14ac:dyDescent="0.35">
      <c r="B26" s="67" t="s">
        <v>165</v>
      </c>
      <c r="C26" s="68">
        <f>'Data Sheet'!B56</f>
        <v>42094</v>
      </c>
      <c r="D26" s="68">
        <f>'Data Sheet'!C56</f>
        <v>42460</v>
      </c>
      <c r="E26" s="68">
        <f>'Data Sheet'!D56</f>
        <v>42825</v>
      </c>
      <c r="F26" s="68">
        <f>'Data Sheet'!E56</f>
        <v>43190</v>
      </c>
      <c r="G26" s="68">
        <f>'Data Sheet'!F56</f>
        <v>43555</v>
      </c>
      <c r="H26" s="68">
        <f>'Data Sheet'!G56</f>
        <v>43921</v>
      </c>
      <c r="I26" s="68">
        <f>'Data Sheet'!H56</f>
        <v>44286</v>
      </c>
      <c r="J26" s="68">
        <f>'Data Sheet'!I56</f>
        <v>44651</v>
      </c>
      <c r="K26" s="68">
        <f>'Data Sheet'!J56</f>
        <v>45016</v>
      </c>
      <c r="L26" s="68">
        <f>'Data Sheet'!K56</f>
        <v>45382</v>
      </c>
    </row>
    <row r="28" spans="1:12" x14ac:dyDescent="0.35">
      <c r="B28" s="70" t="s">
        <v>166</v>
      </c>
      <c r="C28" s="69">
        <f>'Data Sheet'!B61/'Data Sheet'!B$61</f>
        <v>1</v>
      </c>
      <c r="D28" s="69">
        <f>'Data Sheet'!C61/'Data Sheet'!C$61</f>
        <v>1</v>
      </c>
      <c r="E28" s="69">
        <f>'Data Sheet'!D61/'Data Sheet'!D$61</f>
        <v>1</v>
      </c>
      <c r="F28" s="69">
        <f>'Data Sheet'!E61/'Data Sheet'!E$61</f>
        <v>1</v>
      </c>
      <c r="G28" s="69">
        <f>'Data Sheet'!F61/'Data Sheet'!F$61</f>
        <v>1</v>
      </c>
      <c r="H28" s="69">
        <f>'Data Sheet'!G61/'Data Sheet'!G$61</f>
        <v>1</v>
      </c>
      <c r="I28" s="69">
        <f>'Data Sheet'!H61/'Data Sheet'!H$61</f>
        <v>1</v>
      </c>
      <c r="J28" s="69">
        <f>'Data Sheet'!I61/'Data Sheet'!I$61</f>
        <v>1</v>
      </c>
      <c r="K28" s="69">
        <f>'Data Sheet'!J61/'Data Sheet'!J$61</f>
        <v>1</v>
      </c>
      <c r="L28" s="69">
        <f>'Data Sheet'!K61/'Data Sheet'!K$61</f>
        <v>1</v>
      </c>
    </row>
    <row r="29" spans="1:12" x14ac:dyDescent="0.35">
      <c r="B29" s="71" t="str">
        <f>'Data Sheet'!A57</f>
        <v>Equity Share Capital</v>
      </c>
      <c r="C29" s="22">
        <f>'Data Sheet'!B57/'Data Sheet'!B$61</f>
        <v>1.0759997756464188E-2</v>
      </c>
      <c r="D29" s="22">
        <f>'Data Sheet'!C57/'Data Sheet'!C$61</f>
        <v>9.0841677691984955E-3</v>
      </c>
      <c r="E29" s="22">
        <f>'Data Sheet'!D57/'Data Sheet'!D$61</f>
        <v>7.732247551226543E-3</v>
      </c>
      <c r="F29" s="22">
        <f>'Data Sheet'!E57/'Data Sheet'!E$61</f>
        <v>6.969167681429406E-3</v>
      </c>
      <c r="G29" s="22">
        <f>'Data Sheet'!F57/'Data Sheet'!F$61</f>
        <v>5.9031906277617358E-3</v>
      </c>
      <c r="H29" s="22">
        <f>'Data Sheet'!G57/'Data Sheet'!G$61</f>
        <v>5.9437463324073601E-3</v>
      </c>
      <c r="I29" s="22">
        <f>'Data Sheet'!H57/'Data Sheet'!H$61</f>
        <v>4.712276974985434E-3</v>
      </c>
      <c r="J29" s="22">
        <f>'Data Sheet'!I57/'Data Sheet'!I$61</f>
        <v>4.1779860382439044E-3</v>
      </c>
      <c r="K29" s="22">
        <f>'Data Sheet'!J57/'Data Sheet'!J$61</f>
        <v>3.7208104322338864E-3</v>
      </c>
      <c r="L29" s="22">
        <f>'Data Sheet'!K57/'Data Sheet'!K$61</f>
        <v>3.2079441432444717E-3</v>
      </c>
    </row>
    <row r="30" spans="1:12" x14ac:dyDescent="0.35">
      <c r="B30" s="71" t="str">
        <f>'Data Sheet'!A58</f>
        <v>Reserves</v>
      </c>
      <c r="C30" s="22">
        <f>'Data Sheet'!B58/'Data Sheet'!B$61</f>
        <v>0.52122272701777994</v>
      </c>
      <c r="D30" s="22">
        <f>'Data Sheet'!C58/'Data Sheet'!C$61</f>
        <v>0.60885327534820899</v>
      </c>
      <c r="E30" s="22">
        <f>'Data Sheet'!D58/'Data Sheet'!D$61</f>
        <v>0.60522813435344402</v>
      </c>
      <c r="F30" s="22">
        <f>'Data Sheet'!E58/'Data Sheet'!E$61</f>
        <v>0.60408486807115636</v>
      </c>
      <c r="G30" s="22">
        <f>'Data Sheet'!F58/'Data Sheet'!F$61</f>
        <v>0.57694149243884485</v>
      </c>
      <c r="H30" s="22">
        <f>'Data Sheet'!G58/'Data Sheet'!G$61</f>
        <v>0.62177832775745645</v>
      </c>
      <c r="I30" s="22">
        <f>'Data Sheet'!H58/'Data Sheet'!H$61</f>
        <v>0.62442435252862394</v>
      </c>
      <c r="J30" s="22">
        <f>'Data Sheet'!I58/'Data Sheet'!I$61</f>
        <v>0.59741193104232293</v>
      </c>
      <c r="K30" s="22">
        <f>'Data Sheet'!J58/'Data Sheet'!J$61</f>
        <v>0.61663006757739625</v>
      </c>
      <c r="L30" s="22">
        <f>'Data Sheet'!K58/'Data Sheet'!K$61</f>
        <v>0.62314047430885566</v>
      </c>
    </row>
    <row r="31" spans="1:12" x14ac:dyDescent="0.35">
      <c r="B31" s="71" t="str">
        <f>'Data Sheet'!A59</f>
        <v>Borrowings</v>
      </c>
      <c r="C31" s="22">
        <f>'Data Sheet'!B59/'Data Sheet'!B$61</f>
        <v>4.6908968534410234E-2</v>
      </c>
      <c r="D31" s="22">
        <f>'Data Sheet'!C59/'Data Sheet'!C$61</f>
        <v>3.0617395726690803E-2</v>
      </c>
      <c r="E31" s="22">
        <f>'Data Sheet'!D59/'Data Sheet'!D$61</f>
        <v>4.5169803928839465E-2</v>
      </c>
      <c r="F31" s="22">
        <f>'Data Sheet'!E59/'Data Sheet'!E$61</f>
        <v>3.8756913222528021E-2</v>
      </c>
      <c r="G31" s="22">
        <f>'Data Sheet'!F59/'Data Sheet'!F$61</f>
        <v>8.1211951130049892E-2</v>
      </c>
      <c r="H31" s="22">
        <f>'Data Sheet'!G59/'Data Sheet'!G$61</f>
        <v>6.9308593336088742E-2</v>
      </c>
      <c r="I31" s="22">
        <f>'Data Sheet'!H59/'Data Sheet'!H$61</f>
        <v>5.3701878720768106E-2</v>
      </c>
      <c r="J31" s="22">
        <f>'Data Sheet'!I59/'Data Sheet'!I$61</f>
        <v>6.9119708969646448E-2</v>
      </c>
      <c r="K31" s="22">
        <f>'Data Sheet'!J59/'Data Sheet'!J$61</f>
        <v>7.4967813360548932E-2</v>
      </c>
      <c r="L31" s="22">
        <f>'Data Sheet'!K59/'Data Sheet'!K$61</f>
        <v>8.2753052847802919E-2</v>
      </c>
    </row>
    <row r="32" spans="1:12" x14ac:dyDescent="0.35">
      <c r="B32" s="71" t="str">
        <f>'Data Sheet'!A60</f>
        <v>Other Liabilities</v>
      </c>
      <c r="C32" s="22">
        <f>'Data Sheet'!B60/'Data Sheet'!B$61</f>
        <v>0.42110830669134552</v>
      </c>
      <c r="D32" s="22">
        <f>'Data Sheet'!C60/'Data Sheet'!C$61</f>
        <v>0.35144516115590163</v>
      </c>
      <c r="E32" s="22">
        <f>'Data Sheet'!D60/'Data Sheet'!D$61</f>
        <v>0.34186981416648998</v>
      </c>
      <c r="F32" s="22">
        <f>'Data Sheet'!E60/'Data Sheet'!E$61</f>
        <v>0.35018905102488612</v>
      </c>
      <c r="G32" s="22">
        <f>'Data Sheet'!F60/'Data Sheet'!F$61</f>
        <v>0.3359433658033435</v>
      </c>
      <c r="H32" s="22">
        <f>'Data Sheet'!G60/'Data Sheet'!G$61</f>
        <v>0.30296933257404746</v>
      </c>
      <c r="I32" s="22">
        <f>'Data Sheet'!H60/'Data Sheet'!H$61</f>
        <v>0.31716149177562253</v>
      </c>
      <c r="J32" s="22">
        <f>'Data Sheet'!I60/'Data Sheet'!I$61</f>
        <v>0.32929037394978661</v>
      </c>
      <c r="K32" s="22">
        <f>'Data Sheet'!J60/'Data Sheet'!J$61</f>
        <v>0.30468130862982085</v>
      </c>
      <c r="L32" s="22">
        <f>'Data Sheet'!K60/'Data Sheet'!K$61</f>
        <v>0.29089852870009703</v>
      </c>
    </row>
    <row r="33" spans="2:12" x14ac:dyDescent="0.35">
      <c r="B33" s="71"/>
    </row>
    <row r="34" spans="2:12" x14ac:dyDescent="0.35">
      <c r="B34" s="70" t="s">
        <v>84</v>
      </c>
      <c r="C34" s="69">
        <f>'Data Sheet'!B75/'Data Sheet'!B$75</f>
        <v>1</v>
      </c>
      <c r="D34" s="69">
        <f>'Data Sheet'!C75/'Data Sheet'!C$75</f>
        <v>1</v>
      </c>
      <c r="E34" s="69">
        <f>'Data Sheet'!D75/'Data Sheet'!D$75</f>
        <v>1</v>
      </c>
      <c r="F34" s="69">
        <f>'Data Sheet'!E75/'Data Sheet'!E$75</f>
        <v>1</v>
      </c>
      <c r="G34" s="69">
        <f>'Data Sheet'!F75/'Data Sheet'!F$75</f>
        <v>1</v>
      </c>
      <c r="H34" s="69">
        <f>'Data Sheet'!G75/'Data Sheet'!G$75</f>
        <v>1</v>
      </c>
      <c r="I34" s="69">
        <f>'Data Sheet'!H75/'Data Sheet'!H$75</f>
        <v>1</v>
      </c>
      <c r="J34" s="69">
        <f>'Data Sheet'!I75/'Data Sheet'!I$75</f>
        <v>1</v>
      </c>
      <c r="K34" s="69">
        <f>'Data Sheet'!J75/'Data Sheet'!J$75</f>
        <v>1</v>
      </c>
      <c r="L34" s="69">
        <f>'Data Sheet'!K75/'Data Sheet'!K$75</f>
        <v>1</v>
      </c>
    </row>
    <row r="35" spans="2:12" x14ac:dyDescent="0.35">
      <c r="B35" s="71" t="str">
        <f>'Data Sheet'!A62</f>
        <v>Net Block</v>
      </c>
      <c r="C35" s="22">
        <f>'Data Sheet'!B62/'Data Sheet'!B$75</f>
        <v>0.29839475012619887</v>
      </c>
      <c r="D35" s="22">
        <f>'Data Sheet'!C62/'Data Sheet'!C$75</f>
        <v>0.32354771224250711</v>
      </c>
      <c r="E35" s="22">
        <f>'Data Sheet'!D62/'Data Sheet'!D$75</f>
        <v>0.26631917769901142</v>
      </c>
      <c r="F35" s="22">
        <f>'Data Sheet'!E62/'Data Sheet'!E$75</f>
        <v>0.2711697913609058</v>
      </c>
      <c r="G35" s="22">
        <f>'Data Sheet'!F62/'Data Sheet'!F$75</f>
        <v>0.39981684846425963</v>
      </c>
      <c r="H35" s="22">
        <f>'Data Sheet'!G62/'Data Sheet'!G$75</f>
        <v>0.38866784360114692</v>
      </c>
      <c r="I35" s="22">
        <f>'Data Sheet'!H62/'Data Sheet'!H$75</f>
        <v>0.28781243644173965</v>
      </c>
      <c r="J35" s="22">
        <f>'Data Sheet'!I62/'Data Sheet'!I$75</f>
        <v>0.240393615765538</v>
      </c>
      <c r="K35" s="22">
        <f>'Data Sheet'!J62/'Data Sheet'!J$75</f>
        <v>0.22384057304825222</v>
      </c>
      <c r="L35" s="22">
        <f>'Data Sheet'!K62/'Data Sheet'!K$75</f>
        <v>0.23901123616549005</v>
      </c>
    </row>
    <row r="36" spans="2:12" x14ac:dyDescent="0.35">
      <c r="B36" s="71" t="str">
        <f>'Data Sheet'!A63</f>
        <v>Capital Work in Progress</v>
      </c>
      <c r="C36" s="22">
        <f>'Data Sheet'!B63/'Data Sheet'!B$75</f>
        <v>2.1986650961915981E-2</v>
      </c>
      <c r="D36" s="22">
        <f>'Data Sheet'!C63/'Data Sheet'!C$75</f>
        <v>1.0094677257285944E-2</v>
      </c>
      <c r="E36" s="22">
        <f>'Data Sheet'!D63/'Data Sheet'!D$75</f>
        <v>2.0760665495651417E-2</v>
      </c>
      <c r="F36" s="22">
        <f>'Data Sheet'!E63/'Data Sheet'!E$75</f>
        <v>0.10208973311982143</v>
      </c>
      <c r="G36" s="22">
        <f>'Data Sheet'!F63/'Data Sheet'!F$75</f>
        <v>1.2903690355742316E-2</v>
      </c>
      <c r="H36" s="22">
        <f>'Data Sheet'!G63/'Data Sheet'!G$75</f>
        <v>8.6900644876648069E-3</v>
      </c>
      <c r="I36" s="22">
        <f>'Data Sheet'!H63/'Data Sheet'!H$75</f>
        <v>8.9892873319728384E-3</v>
      </c>
      <c r="J36" s="22">
        <f>'Data Sheet'!I63/'Data Sheet'!I$75</f>
        <v>1.8574005278235488E-2</v>
      </c>
      <c r="K36" s="22">
        <f>'Data Sheet'!J63/'Data Sheet'!J$75</f>
        <v>3.9550678780247588E-2</v>
      </c>
      <c r="L36" s="22">
        <f>'Data Sheet'!K63/'Data Sheet'!K$75</f>
        <v>9.0244164280719186E-2</v>
      </c>
    </row>
    <row r="37" spans="2:12" x14ac:dyDescent="0.35">
      <c r="B37" s="71" t="str">
        <f>'Data Sheet'!A64</f>
        <v>Investments</v>
      </c>
      <c r="C37" s="22">
        <f>'Data Sheet'!B64/'Data Sheet'!B$75</f>
        <v>0.17811318638173762</v>
      </c>
      <c r="D37" s="22">
        <f>'Data Sheet'!C64/'Data Sheet'!C$75</f>
        <v>0.25685408602873561</v>
      </c>
      <c r="E37" s="22">
        <f>'Data Sheet'!D64/'Data Sheet'!D$75</f>
        <v>0.21378068372995493</v>
      </c>
      <c r="F37" s="22">
        <f>'Data Sheet'!E64/'Data Sheet'!E$75</f>
        <v>0.15553479207293502</v>
      </c>
      <c r="G37" s="22">
        <f>'Data Sheet'!F64/'Data Sheet'!F$75</f>
        <v>0.15807774585755044</v>
      </c>
      <c r="H37" s="22">
        <f>'Data Sheet'!G64/'Data Sheet'!G$75</f>
        <v>0.12509937743099039</v>
      </c>
      <c r="I37" s="22">
        <f>'Data Sheet'!H64/'Data Sheet'!H$75</f>
        <v>0.23270552100824649</v>
      </c>
      <c r="J37" s="22">
        <f>'Data Sheet'!I64/'Data Sheet'!I$75</f>
        <v>0.14145261675123255</v>
      </c>
      <c r="K37" s="22">
        <f>'Data Sheet'!J64/'Data Sheet'!J$75</f>
        <v>0.16531500236817637</v>
      </c>
      <c r="L37" s="22">
        <f>'Data Sheet'!K64/'Data Sheet'!K$75</f>
        <v>0.15343818904998099</v>
      </c>
    </row>
    <row r="38" spans="2:12" x14ac:dyDescent="0.35">
      <c r="B38" s="71" t="str">
        <f>'Data Sheet'!A65</f>
        <v>Other Assets</v>
      </c>
      <c r="C38" s="22">
        <f>'Data Sheet'!B74/'Data Sheet'!B$75</f>
        <v>9.2623254248695955E-2</v>
      </c>
      <c r="D38" s="22">
        <f>'Data Sheet'!C74/'Data Sheet'!C$75</f>
        <v>6.7684247511371809E-2</v>
      </c>
      <c r="E38" s="22">
        <f>'Data Sheet'!D74/'Data Sheet'!D$75</f>
        <v>0.10617894607015289</v>
      </c>
      <c r="F38" s="22">
        <f>'Data Sheet'!E74/'Data Sheet'!E$75</f>
        <v>0.12292240043942376</v>
      </c>
      <c r="G38" s="22">
        <f>'Data Sheet'!F74/'Data Sheet'!F$75</f>
        <v>9.0588620479984977E-2</v>
      </c>
      <c r="H38" s="22">
        <f>'Data Sheet'!G74/'Data Sheet'!G$75</f>
        <v>0.10774031678085906</v>
      </c>
      <c r="I38" s="22">
        <f>'Data Sheet'!H74/'Data Sheet'!H$75</f>
        <v>0.1260367058472126</v>
      </c>
      <c r="J38" s="22">
        <f>'Data Sheet'!I74/'Data Sheet'!I$75</f>
        <v>0.12529863758105408</v>
      </c>
      <c r="K38" s="22">
        <f>'Data Sheet'!J74/'Data Sheet'!J$75</f>
        <v>0.11777536499203044</v>
      </c>
      <c r="L38" s="22">
        <f>'Data Sheet'!K74/'Data Sheet'!K$75</f>
        <v>0.11944140568955251</v>
      </c>
    </row>
    <row r="39" spans="2:12" x14ac:dyDescent="0.35">
      <c r="B39" s="71" t="str">
        <f>'Data Sheet'!A67</f>
        <v>Receivables</v>
      </c>
      <c r="C39" s="22">
        <f>'Data Sheet'!B67/'Data Sheet'!B$75</f>
        <v>0.13260081889057154</v>
      </c>
      <c r="D39" s="22">
        <f>'Data Sheet'!C67/'Data Sheet'!C$75</f>
        <v>0.11240047618010365</v>
      </c>
      <c r="E39" s="22">
        <f>'Data Sheet'!D67/'Data Sheet'!D$75</f>
        <v>0.11661248235617511</v>
      </c>
      <c r="F39" s="22">
        <f>'Data Sheet'!E67/'Data Sheet'!E$75</f>
        <v>0.12574072836230374</v>
      </c>
      <c r="G39" s="22">
        <f>'Data Sheet'!F67/'Data Sheet'!F$75</f>
        <v>0.11738253315313585</v>
      </c>
      <c r="H39" s="22">
        <f>'Data Sheet'!G67/'Data Sheet'!G$75</f>
        <v>0.111241996360137</v>
      </c>
      <c r="I39" s="22">
        <f>'Data Sheet'!H67/'Data Sheet'!H$75</f>
        <v>0.12783721618012767</v>
      </c>
      <c r="J39" s="22">
        <f>'Data Sheet'!I67/'Data Sheet'!I$75</f>
        <v>0.168628255503534</v>
      </c>
      <c r="K39" s="22">
        <f>'Data Sheet'!J67/'Data Sheet'!J$75</f>
        <v>0.17987046211053581</v>
      </c>
      <c r="L39" s="22">
        <f>'Data Sheet'!K67/'Data Sheet'!K$75</f>
        <v>0.16350916715522712</v>
      </c>
    </row>
    <row r="40" spans="2:12" x14ac:dyDescent="0.35">
      <c r="B40" s="71" t="str">
        <f>'Data Sheet'!A68</f>
        <v>Inventory</v>
      </c>
      <c r="C40" s="22">
        <f>'Data Sheet'!B68/'Data Sheet'!B$75</f>
        <v>0.2533535251556453</v>
      </c>
      <c r="D40" s="22">
        <f>'Data Sheet'!C68/'Data Sheet'!C$75</f>
        <v>0.18924465599586324</v>
      </c>
      <c r="E40" s="22">
        <f>'Data Sheet'!D68/'Data Sheet'!D$75</f>
        <v>0.21176136762113276</v>
      </c>
      <c r="F40" s="22">
        <f>'Data Sheet'!E68/'Data Sheet'!E$75</f>
        <v>0.19314228668912223</v>
      </c>
      <c r="G40" s="22">
        <f>'Data Sheet'!F68/'Data Sheet'!F$75</f>
        <v>0.19385137646748937</v>
      </c>
      <c r="H40" s="22">
        <f>'Data Sheet'!G68/'Data Sheet'!G$75</f>
        <v>0.21005182188342153</v>
      </c>
      <c r="I40" s="22">
        <f>'Data Sheet'!H68/'Data Sheet'!H$75</f>
        <v>0.18661442157193148</v>
      </c>
      <c r="J40" s="22">
        <f>'Data Sheet'!I68/'Data Sheet'!I$75</f>
        <v>0.26800525994155522</v>
      </c>
      <c r="K40" s="22">
        <f>'Data Sheet'!J68/'Data Sheet'!J$75</f>
        <v>0.24091549314896857</v>
      </c>
      <c r="L40" s="22">
        <f>'Data Sheet'!K68/'Data Sheet'!K$75</f>
        <v>0.19810225622952185</v>
      </c>
    </row>
    <row r="41" spans="2:12" x14ac:dyDescent="0.35">
      <c r="B41" s="71" t="str">
        <f>'Data Sheet'!A69</f>
        <v>Cash &amp; Bank</v>
      </c>
      <c r="C41" s="22">
        <f>'Data Sheet'!B69/'Data Sheet'!B$75</f>
        <v>2.2927814235234729E-2</v>
      </c>
      <c r="D41" s="22">
        <f>'Data Sheet'!C69/'Data Sheet'!C$75</f>
        <v>4.0174144784132629E-2</v>
      </c>
      <c r="E41" s="22">
        <f>'Data Sheet'!D69/'Data Sheet'!D$75</f>
        <v>6.4586677027921383E-2</v>
      </c>
      <c r="F41" s="22">
        <f>'Data Sheet'!E69/'Data Sheet'!E$75</f>
        <v>2.9400267955488002E-2</v>
      </c>
      <c r="G41" s="22">
        <f>'Data Sheet'!F69/'Data Sheet'!F$75</f>
        <v>2.7379185221837375E-2</v>
      </c>
      <c r="H41" s="22">
        <f>'Data Sheet'!G69/'Data Sheet'!G$75</f>
        <v>4.8508579455780382E-2</v>
      </c>
      <c r="I41" s="22">
        <f>'Data Sheet'!H69/'Data Sheet'!H$75</f>
        <v>3.0004411618769326E-2</v>
      </c>
      <c r="J41" s="22">
        <f>'Data Sheet'!I69/'Data Sheet'!I$75</f>
        <v>3.7647609178850648E-2</v>
      </c>
      <c r="K41" s="22">
        <f>'Data Sheet'!J69/'Data Sheet'!J$75</f>
        <v>3.2732425551788971E-2</v>
      </c>
      <c r="L41" s="22">
        <f>'Data Sheet'!K69/'Data Sheet'!K$75</f>
        <v>3.6253581429508339E-2</v>
      </c>
    </row>
  </sheetData>
  <mergeCells count="2">
    <mergeCell ref="B3:L3"/>
    <mergeCell ref="B24:L24"/>
  </mergeCells>
  <pageMargins left="0.25" right="0.25" top="0.75" bottom="0.75" header="0.3" footer="0.3"/>
  <pageSetup paperSize="9" scale="8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EA62-48D6-4E90-8E8B-B8D88D48AA99}">
  <sheetPr>
    <pageSetUpPr fitToPage="1"/>
  </sheetPr>
  <dimension ref="B3:O21"/>
  <sheetViews>
    <sheetView showGridLines="0" tabSelected="1" zoomScale="75" zoomScaleNormal="75" workbookViewId="0">
      <selection activeCell="A40" sqref="A40"/>
    </sheetView>
  </sheetViews>
  <sheetFormatPr defaultRowHeight="14.5" x14ac:dyDescent="0.35"/>
  <cols>
    <col min="1" max="1" width="1.81640625" customWidth="1"/>
    <col min="2" max="2" width="15.36328125" style="60" customWidth="1"/>
    <col min="3" max="3" width="9.54296875" style="58" bestFit="1" customWidth="1"/>
    <col min="4" max="4" width="13.7265625" style="58" customWidth="1"/>
    <col min="5" max="5" width="11.81640625" bestFit="1" customWidth="1"/>
    <col min="6" max="6" width="2.6328125" customWidth="1"/>
    <col min="7" max="7" width="15.36328125" customWidth="1"/>
    <col min="8" max="8" width="9.54296875" customWidth="1"/>
    <col min="9" max="10" width="13.6328125" customWidth="1"/>
    <col min="11" max="11" width="2.6328125" customWidth="1"/>
    <col min="12" max="12" width="15.36328125" customWidth="1"/>
    <col min="13" max="13" width="6" bestFit="1" customWidth="1"/>
    <col min="14" max="14" width="12.26953125" customWidth="1"/>
    <col min="15" max="15" width="14.453125" customWidth="1"/>
  </cols>
  <sheetData>
    <row r="3" spans="2:15" x14ac:dyDescent="0.35">
      <c r="B3" s="216" t="str">
        <f>'Data Sheet'!B1&amp;" - "&amp;"Forecasting"</f>
        <v>ASIAN PAINTS LTD - Forecasting</v>
      </c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</row>
    <row r="5" spans="2:15" x14ac:dyDescent="0.35">
      <c r="B5" s="217" t="str">
        <f>'Data Sheet'!B1&amp;" - "&amp;'Data Sheet'!A17&amp;" FORECASTING"</f>
        <v>ASIAN PAINTS LTD - Sales FORECASTING</v>
      </c>
      <c r="C5" s="217"/>
      <c r="D5" s="217"/>
      <c r="E5" s="217"/>
      <c r="G5" s="217" t="str">
        <f>'Data Sheet'!B1&amp;" - "&amp;HistoricalFS!B20&amp;" FORECASTING"</f>
        <v>ASIAN PAINTS LTD - EBITDA FORECASTING</v>
      </c>
      <c r="H5" s="217"/>
      <c r="I5" s="217"/>
      <c r="J5" s="217"/>
      <c r="L5" s="217" t="str">
        <f>'Data Sheet'!B1&amp;" - "&amp;HistoricalFS!B40&amp;" FORECASTING"</f>
        <v>ASIAN PAINTS LTD - Earnings per Share FORECASTING</v>
      </c>
      <c r="M5" s="217"/>
      <c r="N5" s="217"/>
      <c r="O5" s="217"/>
    </row>
    <row r="6" spans="2:15" x14ac:dyDescent="0.35">
      <c r="B6" s="59" t="s">
        <v>154</v>
      </c>
      <c r="C6" s="57" t="s">
        <v>155</v>
      </c>
      <c r="D6" s="57" t="s">
        <v>33</v>
      </c>
      <c r="E6" s="57" t="s">
        <v>58</v>
      </c>
      <c r="G6" s="59" t="s">
        <v>154</v>
      </c>
      <c r="H6" s="57" t="s">
        <v>155</v>
      </c>
      <c r="I6" s="57" t="s">
        <v>64</v>
      </c>
      <c r="J6" s="57" t="s">
        <v>124</v>
      </c>
      <c r="L6" s="59" t="s">
        <v>154</v>
      </c>
      <c r="M6" s="57" t="s">
        <v>155</v>
      </c>
      <c r="N6" s="57" t="s">
        <v>156</v>
      </c>
      <c r="O6" s="57" t="s">
        <v>157</v>
      </c>
    </row>
    <row r="7" spans="2:15" x14ac:dyDescent="0.35">
      <c r="B7" s="60">
        <v>1</v>
      </c>
      <c r="C7" s="61">
        <f>'Data Sheet'!$B$16</f>
        <v>42094</v>
      </c>
      <c r="D7" s="62">
        <f t="array" ref="D7:D16">IFERROR(TRANSPOSE('Data Sheet'!B17:K17),0)</f>
        <v>13615.26</v>
      </c>
      <c r="G7" s="60">
        <v>1</v>
      </c>
      <c r="H7" s="61">
        <f>'Data Sheet'!$B$16</f>
        <v>42094</v>
      </c>
      <c r="I7" s="62">
        <f t="array" ref="I7:I16">IFERROR(TRANSPOSE(HistoricalFS!C20:L20),0)</f>
        <v>2242.89</v>
      </c>
      <c r="L7" s="60">
        <v>1</v>
      </c>
      <c r="M7" s="61">
        <f>'Data Sheet'!$B$16</f>
        <v>42094</v>
      </c>
      <c r="N7" s="62">
        <f t="array" ref="N7:N16">IFERROR(TRANSPOSE(HistoricalFS!C40:L40),0)</f>
        <v>13.398561301084236</v>
      </c>
    </row>
    <row r="8" spans="2:15" x14ac:dyDescent="0.35">
      <c r="B8" s="60">
        <f>B7+1</f>
        <v>2</v>
      </c>
      <c r="C8" s="61">
        <f>C7+365</f>
        <v>42459</v>
      </c>
      <c r="D8" s="62">
        <v>14271.49</v>
      </c>
      <c r="E8" s="22">
        <f>IFERROR(D8/D7-1,0)</f>
        <v>4.8198124751198224E-2</v>
      </c>
      <c r="G8" s="60">
        <f>G7+1</f>
        <v>2</v>
      </c>
      <c r="H8" s="61">
        <f>H7+365</f>
        <v>42459</v>
      </c>
      <c r="I8" s="62">
        <v>2725.0400000000013</v>
      </c>
      <c r="J8" s="22">
        <f>IFERROR(I8/I7-1,0)</f>
        <v>0.21496818836412013</v>
      </c>
      <c r="L8" s="60">
        <f>L7+1</f>
        <v>2</v>
      </c>
      <c r="M8" s="61">
        <f>M7+365</f>
        <v>42459</v>
      </c>
      <c r="N8" s="62">
        <v>16.221538782318614</v>
      </c>
      <c r="O8" s="22">
        <f>IFERROR(N8/N7-1,0)</f>
        <v>0.21069258241972122</v>
      </c>
    </row>
    <row r="9" spans="2:15" x14ac:dyDescent="0.35">
      <c r="B9" s="60">
        <f t="shared" ref="B9:B21" si="0">B8+1</f>
        <v>3</v>
      </c>
      <c r="C9" s="61">
        <f t="shared" ref="C9:C21" si="1">C8+365</f>
        <v>42824</v>
      </c>
      <c r="D9" s="62">
        <v>15061.99</v>
      </c>
      <c r="E9" s="22">
        <f t="shared" ref="E9:E21" si="2">IFERROR(D9/D8-1,0)</f>
        <v>5.5390151974320734E-2</v>
      </c>
      <c r="G9" s="60">
        <f t="shared" ref="G9:G21" si="3">G8+1</f>
        <v>3</v>
      </c>
      <c r="H9" s="61">
        <f t="shared" ref="H9:H21" si="4">H8+365</f>
        <v>42824</v>
      </c>
      <c r="I9" s="62">
        <v>2993.76</v>
      </c>
      <c r="J9" s="22">
        <f t="shared" ref="J9:J21" si="5">IFERROR(I9/I8-1,0)</f>
        <v>9.861139652995865E-2</v>
      </c>
      <c r="L9" s="60">
        <f t="shared" ref="L9:L21" si="6">L8+1</f>
        <v>3</v>
      </c>
      <c r="M9" s="61">
        <f t="shared" ref="M9:M21" si="7">M8+365</f>
        <v>42824</v>
      </c>
      <c r="N9" s="62">
        <v>17.497393661384489</v>
      </c>
      <c r="O9" s="22">
        <f t="shared" ref="O9:O16" si="8">IFERROR(N9/N8-1,0)</f>
        <v>7.8651902028958443E-2</v>
      </c>
    </row>
    <row r="10" spans="2:15" x14ac:dyDescent="0.35">
      <c r="B10" s="60">
        <f t="shared" si="0"/>
        <v>4</v>
      </c>
      <c r="C10" s="61">
        <f t="shared" si="1"/>
        <v>43189</v>
      </c>
      <c r="D10" s="62">
        <v>16824.55</v>
      </c>
      <c r="E10" s="22">
        <f t="shared" si="2"/>
        <v>0.11702039371955486</v>
      </c>
      <c r="G10" s="60">
        <f t="shared" si="3"/>
        <v>4</v>
      </c>
      <c r="H10" s="61">
        <f t="shared" si="4"/>
        <v>43189</v>
      </c>
      <c r="I10" s="62">
        <v>3204.0100000000011</v>
      </c>
      <c r="J10" s="22">
        <f t="shared" si="5"/>
        <v>7.0229410507188561E-2</v>
      </c>
      <c r="L10" s="60">
        <f t="shared" si="6"/>
        <v>4</v>
      </c>
      <c r="M10" s="61">
        <f t="shared" si="7"/>
        <v>43189</v>
      </c>
      <c r="N10" s="62">
        <v>18.360195996663897</v>
      </c>
      <c r="O10" s="22">
        <f t="shared" si="8"/>
        <v>4.9310334554771629E-2</v>
      </c>
    </row>
    <row r="11" spans="2:15" x14ac:dyDescent="0.35">
      <c r="B11" s="60">
        <f t="shared" si="0"/>
        <v>5</v>
      </c>
      <c r="C11" s="61">
        <f t="shared" si="1"/>
        <v>43554</v>
      </c>
      <c r="D11" s="62">
        <v>19240.13</v>
      </c>
      <c r="E11" s="22">
        <f t="shared" si="2"/>
        <v>0.14357471670861943</v>
      </c>
      <c r="G11" s="60">
        <f t="shared" si="3"/>
        <v>5</v>
      </c>
      <c r="H11" s="61">
        <f t="shared" si="4"/>
        <v>43554</v>
      </c>
      <c r="I11" s="62">
        <v>3764.9400000000014</v>
      </c>
      <c r="J11" s="22">
        <f t="shared" si="5"/>
        <v>0.17507123885381137</v>
      </c>
      <c r="L11" s="60">
        <f t="shared" si="6"/>
        <v>5</v>
      </c>
      <c r="M11" s="61">
        <f t="shared" si="7"/>
        <v>43554</v>
      </c>
      <c r="N11" s="62">
        <v>20.165450375312773</v>
      </c>
      <c r="O11" s="22">
        <f t="shared" si="8"/>
        <v>9.8324352255111824E-2</v>
      </c>
    </row>
    <row r="12" spans="2:15" x14ac:dyDescent="0.35">
      <c r="B12" s="60">
        <f t="shared" si="0"/>
        <v>6</v>
      </c>
      <c r="C12" s="61">
        <f t="shared" si="1"/>
        <v>43919</v>
      </c>
      <c r="D12" s="62">
        <v>20211.25</v>
      </c>
      <c r="E12" s="22">
        <f t="shared" si="2"/>
        <v>5.0473671435691925E-2</v>
      </c>
      <c r="G12" s="60">
        <f t="shared" si="3"/>
        <v>6</v>
      </c>
      <c r="H12" s="61">
        <f t="shared" si="4"/>
        <v>43919</v>
      </c>
      <c r="I12" s="62">
        <v>4156.8199999999979</v>
      </c>
      <c r="J12" s="22">
        <f t="shared" si="5"/>
        <v>0.10408665211132084</v>
      </c>
      <c r="L12" s="60">
        <f t="shared" si="6"/>
        <v>6</v>
      </c>
      <c r="M12" s="61">
        <f t="shared" si="7"/>
        <v>43919</v>
      </c>
      <c r="N12" s="62">
        <v>25.220391993327752</v>
      </c>
      <c r="O12" s="22">
        <f t="shared" si="8"/>
        <v>0.25067338065523237</v>
      </c>
    </row>
    <row r="13" spans="2:15" x14ac:dyDescent="0.35">
      <c r="B13" s="60">
        <f t="shared" si="0"/>
        <v>7</v>
      </c>
      <c r="C13" s="61">
        <f t="shared" si="1"/>
        <v>44284</v>
      </c>
      <c r="D13" s="62">
        <v>21712.79</v>
      </c>
      <c r="E13" s="22">
        <f t="shared" si="2"/>
        <v>7.4292287711052118E-2</v>
      </c>
      <c r="G13" s="60">
        <f t="shared" si="3"/>
        <v>7</v>
      </c>
      <c r="H13" s="61">
        <f t="shared" si="4"/>
        <v>44284</v>
      </c>
      <c r="I13" s="62">
        <v>4855.6000000000031</v>
      </c>
      <c r="J13" s="22">
        <f t="shared" si="5"/>
        <v>0.16810446447043792</v>
      </c>
      <c r="L13" s="60">
        <f t="shared" si="6"/>
        <v>7</v>
      </c>
      <c r="M13" s="61">
        <f t="shared" si="7"/>
        <v>44284</v>
      </c>
      <c r="N13" s="62">
        <v>29.973936613844902</v>
      </c>
      <c r="O13" s="22">
        <f t="shared" si="8"/>
        <v>0.18848020370875829</v>
      </c>
    </row>
    <row r="14" spans="2:15" x14ac:dyDescent="0.35">
      <c r="B14" s="60">
        <f t="shared" si="0"/>
        <v>8</v>
      </c>
      <c r="C14" s="61">
        <f t="shared" si="1"/>
        <v>44649</v>
      </c>
      <c r="D14" s="62">
        <v>29101.279999999999</v>
      </c>
      <c r="E14" s="22">
        <f t="shared" si="2"/>
        <v>0.34028284711453471</v>
      </c>
      <c r="G14" s="60">
        <f t="shared" si="3"/>
        <v>8</v>
      </c>
      <c r="H14" s="61">
        <f t="shared" si="4"/>
        <v>44649</v>
      </c>
      <c r="I14" s="62">
        <v>4803.6099999999988</v>
      </c>
      <c r="J14" s="22">
        <f t="shared" si="5"/>
        <v>-1.0707224647830249E-2</v>
      </c>
      <c r="L14" s="60">
        <f t="shared" si="6"/>
        <v>8</v>
      </c>
      <c r="M14" s="61">
        <f t="shared" si="7"/>
        <v>44649</v>
      </c>
      <c r="N14" s="62">
        <v>29.075583819849857</v>
      </c>
      <c r="O14" s="22">
        <f t="shared" si="8"/>
        <v>-2.9971131438908061E-2</v>
      </c>
    </row>
    <row r="15" spans="2:15" x14ac:dyDescent="0.35">
      <c r="B15" s="60">
        <f t="shared" si="0"/>
        <v>9</v>
      </c>
      <c r="C15" s="61">
        <f t="shared" si="1"/>
        <v>45014</v>
      </c>
      <c r="D15" s="62">
        <v>34488.589999999997</v>
      </c>
      <c r="E15" s="22">
        <f t="shared" si="2"/>
        <v>0.18512278497715551</v>
      </c>
      <c r="G15" s="60">
        <f t="shared" si="3"/>
        <v>9</v>
      </c>
      <c r="H15" s="61">
        <f t="shared" si="4"/>
        <v>45014</v>
      </c>
      <c r="I15" s="62">
        <v>6259.8399999999956</v>
      </c>
      <c r="J15" s="22">
        <f t="shared" si="5"/>
        <v>0.3031532534906034</v>
      </c>
      <c r="L15" s="60">
        <f t="shared" si="6"/>
        <v>9</v>
      </c>
      <c r="M15" s="61">
        <f t="shared" si="7"/>
        <v>45014</v>
      </c>
      <c r="N15" s="62">
        <v>39.23967889908252</v>
      </c>
      <c r="O15" s="22">
        <f t="shared" si="8"/>
        <v>0.34957492658474676</v>
      </c>
    </row>
    <row r="16" spans="2:15" x14ac:dyDescent="0.35">
      <c r="B16" s="60">
        <f t="shared" si="0"/>
        <v>10</v>
      </c>
      <c r="C16" s="61">
        <f t="shared" si="1"/>
        <v>45379</v>
      </c>
      <c r="D16" s="62">
        <v>35494.730000000003</v>
      </c>
      <c r="E16" s="22">
        <f t="shared" si="2"/>
        <v>2.9173126532572313E-2</v>
      </c>
      <c r="G16" s="60">
        <f t="shared" si="3"/>
        <v>10</v>
      </c>
      <c r="H16" s="61">
        <f t="shared" si="4"/>
        <v>45379</v>
      </c>
      <c r="I16" s="62">
        <v>7584.9800000000014</v>
      </c>
      <c r="J16" s="22">
        <f t="shared" si="5"/>
        <v>0.21168911665473988</v>
      </c>
      <c r="L16" s="60">
        <f t="shared" si="6"/>
        <v>10</v>
      </c>
      <c r="M16" s="61">
        <f t="shared" si="7"/>
        <v>45379</v>
      </c>
      <c r="N16" s="62">
        <v>49.382089241034208</v>
      </c>
      <c r="O16" s="22">
        <f t="shared" si="8"/>
        <v>0.25847332665581102</v>
      </c>
    </row>
    <row r="17" spans="2:15" x14ac:dyDescent="0.35">
      <c r="B17" s="63">
        <f t="shared" si="0"/>
        <v>11</v>
      </c>
      <c r="C17" s="64">
        <f t="shared" si="1"/>
        <v>45744</v>
      </c>
      <c r="D17" s="65">
        <f>IFERROR(FORECAST(B17,$D$7:$D$16,$B$7:$B$16),0)</f>
        <v>36144.446666666663</v>
      </c>
      <c r="E17" s="66">
        <f t="shared" si="2"/>
        <v>1.8304595264329704E-2</v>
      </c>
      <c r="G17" s="63">
        <f t="shared" si="3"/>
        <v>11</v>
      </c>
      <c r="H17" s="64">
        <f t="shared" si="4"/>
        <v>45744</v>
      </c>
      <c r="I17" s="65">
        <f>IFERROR(FORECAST(G17,$I$7:$I$16,$G$7:$G$16),0)</f>
        <v>7166.4259999999986</v>
      </c>
      <c r="J17" s="66">
        <f>IFERROR(I17/I16-1,0)</f>
        <v>-5.5181951699279752E-2</v>
      </c>
      <c r="L17" s="63">
        <f t="shared" si="6"/>
        <v>11</v>
      </c>
      <c r="M17" s="64">
        <f>M16+365</f>
        <v>45744</v>
      </c>
      <c r="N17" s="65">
        <f>IFERROR(FORECAST(L17,$N$7:$N$16,$L$7:$L$16),0)</f>
        <v>45.279010286349724</v>
      </c>
      <c r="O17" s="66">
        <f>IFERROR(N17/N16-1,0)</f>
        <v>-8.3088403462586169E-2</v>
      </c>
    </row>
    <row r="18" spans="2:15" x14ac:dyDescent="0.35">
      <c r="B18" s="63">
        <f t="shared" si="0"/>
        <v>12</v>
      </c>
      <c r="C18" s="64">
        <f t="shared" si="1"/>
        <v>46109</v>
      </c>
      <c r="D18" s="65">
        <f t="shared" ref="D18:D21" si="9">IFERROR(FORECAST(B18,$D$7:$D$16,$B$7:$B$16),0)</f>
        <v>38715.763151515152</v>
      </c>
      <c r="E18" s="66">
        <f t="shared" si="2"/>
        <v>7.1140015188552397E-2</v>
      </c>
      <c r="G18" s="63">
        <f t="shared" si="3"/>
        <v>12</v>
      </c>
      <c r="H18" s="64">
        <f t="shared" si="4"/>
        <v>46109</v>
      </c>
      <c r="I18" s="65">
        <f t="shared" ref="I18:I21" si="10">IFERROR(FORECAST(G18,$I$7:$I$16,$G$7:$G$16),0)</f>
        <v>7695.0218181818163</v>
      </c>
      <c r="J18" s="66">
        <f t="shared" si="5"/>
        <v>7.3760032990198621E-2</v>
      </c>
      <c r="L18" s="63">
        <f t="shared" si="6"/>
        <v>12</v>
      </c>
      <c r="M18" s="64">
        <f t="shared" si="7"/>
        <v>46109</v>
      </c>
      <c r="N18" s="65">
        <f t="shared" ref="N18:N21" si="11">IFERROR(FORECAST(L18,$N$7:$N$16,$L$7:$L$16),0)</f>
        <v>48.810924507796891</v>
      </c>
      <c r="O18" s="66">
        <f t="shared" ref="O18:O21" si="12">IFERROR(N18/N17-1,0)</f>
        <v>7.8003344134753183E-2</v>
      </c>
    </row>
    <row r="19" spans="2:15" x14ac:dyDescent="0.35">
      <c r="B19" s="63">
        <f t="shared" si="0"/>
        <v>13</v>
      </c>
      <c r="C19" s="64">
        <f t="shared" si="1"/>
        <v>46474</v>
      </c>
      <c r="D19" s="65">
        <f t="shared" si="9"/>
        <v>41287.07963636364</v>
      </c>
      <c r="E19" s="66">
        <f t="shared" si="2"/>
        <v>6.6415234404280543E-2</v>
      </c>
      <c r="G19" s="63">
        <f t="shared" si="3"/>
        <v>13</v>
      </c>
      <c r="H19" s="64">
        <f t="shared" si="4"/>
        <v>46474</v>
      </c>
      <c r="I19" s="65">
        <f t="shared" si="10"/>
        <v>8223.6176363636332</v>
      </c>
      <c r="J19" s="66">
        <f t="shared" si="5"/>
        <v>6.8693218898073782E-2</v>
      </c>
      <c r="L19" s="63">
        <f t="shared" si="6"/>
        <v>13</v>
      </c>
      <c r="M19" s="64">
        <f t="shared" si="7"/>
        <v>46474</v>
      </c>
      <c r="N19" s="65">
        <f t="shared" si="11"/>
        <v>52.342838729244058</v>
      </c>
      <c r="O19" s="66">
        <f t="shared" si="12"/>
        <v>7.235909290927256E-2</v>
      </c>
    </row>
    <row r="20" spans="2:15" x14ac:dyDescent="0.35">
      <c r="B20" s="63">
        <f t="shared" si="0"/>
        <v>14</v>
      </c>
      <c r="C20" s="64">
        <f t="shared" si="1"/>
        <v>46839</v>
      </c>
      <c r="D20" s="65">
        <f t="shared" si="9"/>
        <v>43858.396121212121</v>
      </c>
      <c r="E20" s="66">
        <f t="shared" si="2"/>
        <v>6.2278962510678326E-2</v>
      </c>
      <c r="F20" s="56"/>
      <c r="G20" s="63">
        <f t="shared" si="3"/>
        <v>14</v>
      </c>
      <c r="H20" s="64">
        <f t="shared" si="4"/>
        <v>46839</v>
      </c>
      <c r="I20" s="65">
        <f t="shared" si="10"/>
        <v>8752.2134545454537</v>
      </c>
      <c r="J20" s="66">
        <f t="shared" si="5"/>
        <v>6.4277771846352305E-2</v>
      </c>
      <c r="K20" s="56"/>
      <c r="L20" s="63">
        <f t="shared" si="6"/>
        <v>14</v>
      </c>
      <c r="M20" s="64">
        <f t="shared" si="7"/>
        <v>46839</v>
      </c>
      <c r="N20" s="65">
        <f t="shared" si="11"/>
        <v>55.874752950691217</v>
      </c>
      <c r="O20" s="66">
        <f t="shared" si="12"/>
        <v>6.7476550893940557E-2</v>
      </c>
    </row>
    <row r="21" spans="2:15" x14ac:dyDescent="0.35">
      <c r="B21" s="63">
        <f t="shared" si="0"/>
        <v>15</v>
      </c>
      <c r="C21" s="64">
        <f t="shared" si="1"/>
        <v>47204</v>
      </c>
      <c r="D21" s="65">
        <f t="shared" si="9"/>
        <v>46429.712606060602</v>
      </c>
      <c r="E21" s="66">
        <f t="shared" si="2"/>
        <v>5.8627690755997941E-2</v>
      </c>
      <c r="G21" s="63">
        <f t="shared" si="3"/>
        <v>15</v>
      </c>
      <c r="H21" s="64">
        <f t="shared" si="4"/>
        <v>47204</v>
      </c>
      <c r="I21" s="65">
        <f t="shared" si="10"/>
        <v>9280.8092727272706</v>
      </c>
      <c r="J21" s="66">
        <f t="shared" si="5"/>
        <v>6.0395672583521298E-2</v>
      </c>
      <c r="L21" s="63">
        <f t="shared" si="6"/>
        <v>15</v>
      </c>
      <c r="M21" s="64">
        <f t="shared" si="7"/>
        <v>47204</v>
      </c>
      <c r="N21" s="65">
        <f t="shared" si="11"/>
        <v>59.406667172138377</v>
      </c>
      <c r="O21" s="66">
        <f t="shared" si="12"/>
        <v>6.321127226395129E-2</v>
      </c>
    </row>
  </sheetData>
  <mergeCells count="4">
    <mergeCell ref="B5:E5"/>
    <mergeCell ref="G5:J5"/>
    <mergeCell ref="L5:O5"/>
    <mergeCell ref="B3:O3"/>
  </mergeCells>
  <pageMargins left="0.25" right="0.25" top="0.75" bottom="0.75" header="0.3" footer="0.3"/>
  <pageSetup paperSize="9" scale="6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BB14-9E8D-4958-BDA7-DFAFB80FC717}">
  <sheetPr>
    <pageSetUpPr fitToPage="1"/>
  </sheetPr>
  <dimension ref="A4:K46"/>
  <sheetViews>
    <sheetView showGridLines="0" tabSelected="1" topLeftCell="A8" zoomScale="75" zoomScaleNormal="75" workbookViewId="0">
      <selection activeCell="A40" sqref="A40"/>
    </sheetView>
  </sheetViews>
  <sheetFormatPr defaultRowHeight="14.5" x14ac:dyDescent="0.35"/>
  <cols>
    <col min="1" max="1" width="1.81640625" customWidth="1"/>
    <col min="2" max="2" width="12" customWidth="1"/>
    <col min="3" max="3" width="12.81640625" customWidth="1"/>
    <col min="4" max="4" width="12.90625" bestFit="1" customWidth="1"/>
    <col min="5" max="6" width="10.6328125" bestFit="1" customWidth="1"/>
    <col min="7" max="7" width="10" customWidth="1"/>
    <col min="8" max="8" width="8.453125" customWidth="1"/>
    <col min="9" max="9" width="8.26953125" customWidth="1"/>
    <col min="10" max="10" width="7.36328125" bestFit="1" customWidth="1"/>
    <col min="11" max="11" width="9.36328125" bestFit="1" customWidth="1"/>
  </cols>
  <sheetData>
    <row r="4" spans="1:11" ht="18.5" x14ac:dyDescent="0.45">
      <c r="A4" t="s">
        <v>57</v>
      </c>
      <c r="B4" s="85" t="s">
        <v>221</v>
      </c>
      <c r="C4" s="19"/>
      <c r="D4" s="19"/>
      <c r="E4" s="19"/>
      <c r="F4" s="19"/>
      <c r="G4" s="19"/>
      <c r="H4" s="19"/>
      <c r="I4" s="19"/>
      <c r="J4" s="19"/>
      <c r="K4" s="19"/>
    </row>
    <row r="6" spans="1:11" x14ac:dyDescent="0.35">
      <c r="B6" s="86" t="s">
        <v>222</v>
      </c>
    </row>
    <row r="8" spans="1:11" x14ac:dyDescent="0.35">
      <c r="A8" t="s">
        <v>57</v>
      </c>
      <c r="B8" s="12" t="s">
        <v>223</v>
      </c>
    </row>
    <row r="10" spans="1:11" x14ac:dyDescent="0.35">
      <c r="B10" s="87"/>
      <c r="C10" s="87"/>
      <c r="D10" s="87"/>
      <c r="E10" s="87"/>
      <c r="F10" s="87"/>
      <c r="G10" s="88"/>
      <c r="H10" s="88" t="s">
        <v>224</v>
      </c>
      <c r="I10" s="88" t="s">
        <v>224</v>
      </c>
      <c r="J10" s="88" t="s">
        <v>225</v>
      </c>
      <c r="K10" s="88" t="s">
        <v>226</v>
      </c>
    </row>
    <row r="11" spans="1:11" ht="16.5" x14ac:dyDescent="0.35">
      <c r="B11" s="89" t="s">
        <v>227</v>
      </c>
      <c r="C11" s="89"/>
      <c r="D11" s="90" t="s">
        <v>228</v>
      </c>
      <c r="E11" s="90" t="s">
        <v>229</v>
      </c>
      <c r="F11" s="90" t="s">
        <v>230</v>
      </c>
      <c r="G11" s="90" t="s">
        <v>231</v>
      </c>
      <c r="H11" s="90" t="s">
        <v>232</v>
      </c>
      <c r="I11" s="91" t="s">
        <v>233</v>
      </c>
      <c r="J11" s="90" t="s">
        <v>234</v>
      </c>
      <c r="K11" s="90" t="s">
        <v>235</v>
      </c>
    </row>
    <row r="12" spans="1:11" x14ac:dyDescent="0.35">
      <c r="I12" s="43"/>
    </row>
    <row r="13" spans="1:11" x14ac:dyDescent="0.35">
      <c r="B13" s="122" t="str">
        <f>'Beta Comps'!C3</f>
        <v>Asian Paints</v>
      </c>
      <c r="C13" s="92"/>
      <c r="D13" s="93" t="s">
        <v>236</v>
      </c>
      <c r="E13" s="94">
        <f>'Beta Comps'!F3</f>
        <v>2474.38</v>
      </c>
      <c r="F13" s="94">
        <f>'Beta Comps'!K3</f>
        <v>287006.37</v>
      </c>
      <c r="G13" s="95">
        <v>0.3</v>
      </c>
      <c r="H13" s="96">
        <f>E13/F13</f>
        <v>8.6213417493137875E-3</v>
      </c>
      <c r="I13" s="96">
        <f>E13/(E13+F13)</f>
        <v>8.5476495414634653E-3</v>
      </c>
      <c r="J13" s="123">
        <f>'Beta - Regression'!J7</f>
        <v>0.74796750504567233</v>
      </c>
      <c r="K13" s="98">
        <f>J13/(1+(1-G13)*H13)</f>
        <v>0.74348064454125917</v>
      </c>
    </row>
    <row r="14" spans="1:11" x14ac:dyDescent="0.35">
      <c r="B14" s="122" t="str">
        <f>'Beta Comps'!C4</f>
        <v>Berger Paints</v>
      </c>
      <c r="C14" s="92"/>
      <c r="D14" s="93" t="s">
        <v>236</v>
      </c>
      <c r="E14" s="94">
        <f>'Beta Comps'!F4</f>
        <v>753.29</v>
      </c>
      <c r="F14" s="94">
        <f>'Beta Comps'!K4</f>
        <v>64859.06</v>
      </c>
      <c r="G14" s="99">
        <f>$G$13</f>
        <v>0.3</v>
      </c>
      <c r="H14" s="96">
        <f>E14/F14</f>
        <v>1.161426021283688E-2</v>
      </c>
      <c r="I14" s="96">
        <f t="shared" ref="I14:I17" si="0">E14/(E14+F14)</f>
        <v>1.1480917845497075E-2</v>
      </c>
      <c r="J14" s="97">
        <v>1</v>
      </c>
      <c r="K14" s="98">
        <f>J14/(1+(1-G14)*H14)</f>
        <v>0.99193558143003002</v>
      </c>
    </row>
    <row r="15" spans="1:11" x14ac:dyDescent="0.35">
      <c r="B15" s="122" t="str">
        <f>'Beta Comps'!C5</f>
        <v>Kansai Nerolac</v>
      </c>
      <c r="C15" s="92"/>
      <c r="D15" s="93" t="s">
        <v>236</v>
      </c>
      <c r="E15" s="94">
        <f>'Beta Comps'!F5</f>
        <v>276.42</v>
      </c>
      <c r="F15" s="94">
        <f>'Beta Comps'!K5</f>
        <v>23205.03</v>
      </c>
      <c r="G15" s="99">
        <f t="shared" ref="G15:G17" si="1">$G$13</f>
        <v>0.3</v>
      </c>
      <c r="H15" s="96">
        <f t="shared" ref="H15:H17" si="2">E15/F15</f>
        <v>1.1912072511864887E-2</v>
      </c>
      <c r="I15" s="96">
        <f t="shared" si="0"/>
        <v>1.1771845435439465E-2</v>
      </c>
      <c r="J15" s="97">
        <v>0.58699999999999997</v>
      </c>
      <c r="K15" s="98">
        <f>J15/(1+(1-G15)*H15)</f>
        <v>0.58214580586365183</v>
      </c>
    </row>
    <row r="16" spans="1:11" x14ac:dyDescent="0.35">
      <c r="B16" s="122" t="str">
        <f>'Beta Comps'!C6</f>
        <v>Akzo Nobel</v>
      </c>
      <c r="C16" s="92"/>
      <c r="D16" s="93" t="s">
        <v>236</v>
      </c>
      <c r="E16" s="94">
        <f>'Beta Comps'!F6</f>
        <v>60.4</v>
      </c>
      <c r="F16" s="94">
        <f>'Beta Comps'!K6</f>
        <v>17810.13</v>
      </c>
      <c r="G16" s="99">
        <f t="shared" si="1"/>
        <v>0.3</v>
      </c>
      <c r="H16" s="96">
        <f>E16/F16</f>
        <v>3.3913284181530394E-3</v>
      </c>
      <c r="I16" s="96">
        <f t="shared" si="0"/>
        <v>3.3798661819207372E-3</v>
      </c>
      <c r="J16" s="97">
        <v>3.6999999999999998E-2</v>
      </c>
      <c r="K16" s="98">
        <f>J16/(1+(1-G16)*H16)</f>
        <v>3.6912372615237936E-2</v>
      </c>
    </row>
    <row r="17" spans="1:11" x14ac:dyDescent="0.35">
      <c r="B17" s="122" t="str">
        <f>'Beta Comps'!C7</f>
        <v>Indigo Paints</v>
      </c>
      <c r="C17" s="92"/>
      <c r="D17" s="93" t="s">
        <v>236</v>
      </c>
      <c r="E17" s="94">
        <f>'Beta Comps'!F7</f>
        <v>16.84</v>
      </c>
      <c r="F17" s="94">
        <f>'Beta Comps'!K7</f>
        <v>7463.88</v>
      </c>
      <c r="G17" s="99">
        <f t="shared" si="1"/>
        <v>0.3</v>
      </c>
      <c r="H17" s="96">
        <f t="shared" si="2"/>
        <v>2.2561991886257547E-3</v>
      </c>
      <c r="I17" s="96">
        <f t="shared" si="0"/>
        <v>2.251120213027623E-3</v>
      </c>
      <c r="J17" s="97">
        <v>0.58799999999999997</v>
      </c>
      <c r="K17" s="98">
        <f>J17/(1+(1-G17)*H17)</f>
        <v>0.58707281275733481</v>
      </c>
    </row>
    <row r="19" spans="1:11" x14ac:dyDescent="0.35">
      <c r="F19" s="100" t="s">
        <v>237</v>
      </c>
      <c r="G19" s="101">
        <f>AVERAGE(G13:G17)</f>
        <v>0.3</v>
      </c>
      <c r="H19" s="101">
        <f>AVERAGE(H13:H17)</f>
        <v>7.559040416158869E-3</v>
      </c>
      <c r="I19" s="101">
        <f>AVERAGE(I13:I17)</f>
        <v>7.4862798434696745E-3</v>
      </c>
      <c r="J19" s="102">
        <f>AVERAGE(J13:J17)</f>
        <v>0.5919935010091345</v>
      </c>
      <c r="K19" s="102">
        <f>AVERAGE(K13:K17)</f>
        <v>0.58830944344150271</v>
      </c>
    </row>
    <row r="20" spans="1:11" x14ac:dyDescent="0.35">
      <c r="F20" s="103" t="s">
        <v>158</v>
      </c>
      <c r="G20" s="104">
        <f>MEDIAN(G13:G17)</f>
        <v>0.3</v>
      </c>
      <c r="H20" s="104">
        <f>MEDIAN(H13:H17)</f>
        <v>8.6213417493137875E-3</v>
      </c>
      <c r="I20" s="104">
        <f>MEDIAN(I13:I17)</f>
        <v>8.5476495414634653E-3</v>
      </c>
      <c r="J20" s="105">
        <f>MEDIAN(J13:J17)</f>
        <v>0.58799999999999997</v>
      </c>
      <c r="K20" s="105">
        <f>MEDIAN(K13:K17)</f>
        <v>0.58707281275733481</v>
      </c>
    </row>
    <row r="21" spans="1:11" x14ac:dyDescent="0.35">
      <c r="F21" s="12"/>
      <c r="G21" s="106"/>
      <c r="H21" s="106"/>
      <c r="I21" s="106"/>
      <c r="J21" s="77"/>
      <c r="K21" s="77"/>
    </row>
    <row r="23" spans="1:11" x14ac:dyDescent="0.35">
      <c r="A23" t="s">
        <v>57</v>
      </c>
      <c r="B23" s="103" t="s">
        <v>238</v>
      </c>
      <c r="C23" s="103"/>
      <c r="D23" s="103"/>
      <c r="E23" s="103"/>
      <c r="G23" s="103" t="s">
        <v>239</v>
      </c>
      <c r="H23" s="103"/>
      <c r="I23" s="103"/>
      <c r="J23" s="103"/>
      <c r="K23" s="103"/>
    </row>
    <row r="25" spans="1:11" x14ac:dyDescent="0.35">
      <c r="B25" t="s">
        <v>240</v>
      </c>
      <c r="E25" s="107">
        <v>8.2839999999999997E-2</v>
      </c>
      <c r="G25" t="s">
        <v>241</v>
      </c>
      <c r="I25" s="106"/>
      <c r="K25" s="107">
        <v>6.089E-2</v>
      </c>
    </row>
    <row r="26" spans="1:11" x14ac:dyDescent="0.35">
      <c r="B26" t="s">
        <v>242</v>
      </c>
      <c r="E26" s="106">
        <f>G20</f>
        <v>0.3</v>
      </c>
      <c r="G26" t="s">
        <v>243</v>
      </c>
      <c r="I26" s="108"/>
      <c r="K26" s="106">
        <f>RM!F5-WACC!K25</f>
        <v>0.10680166666666666</v>
      </c>
    </row>
    <row r="27" spans="1:11" ht="16.5" x14ac:dyDescent="0.35">
      <c r="B27" s="109" t="s">
        <v>244</v>
      </c>
      <c r="C27" s="109"/>
      <c r="D27" s="109"/>
      <c r="E27" s="110">
        <f>E25*(1-E26)</f>
        <v>5.7987999999999991E-2</v>
      </c>
      <c r="G27" t="s">
        <v>245</v>
      </c>
      <c r="I27" s="106"/>
      <c r="K27" s="77">
        <f>K36</f>
        <v>0.59017251192811382</v>
      </c>
    </row>
    <row r="28" spans="1:11" x14ac:dyDescent="0.35">
      <c r="G28" s="109" t="s">
        <v>239</v>
      </c>
      <c r="H28" s="109"/>
      <c r="I28" s="109"/>
      <c r="J28" s="109"/>
      <c r="K28" s="110">
        <f>K25+(K26*K27)</f>
        <v>0.12392140789477576</v>
      </c>
    </row>
    <row r="31" spans="1:11" x14ac:dyDescent="0.35">
      <c r="A31" t="s">
        <v>57</v>
      </c>
      <c r="B31" s="103" t="s">
        <v>246</v>
      </c>
      <c r="C31" s="103"/>
      <c r="D31" s="103"/>
      <c r="E31" s="103"/>
      <c r="G31" s="103" t="s">
        <v>247</v>
      </c>
      <c r="H31" s="103"/>
      <c r="I31" s="103"/>
      <c r="J31" s="103"/>
      <c r="K31" s="89"/>
    </row>
    <row r="33" spans="1:11" x14ac:dyDescent="0.35">
      <c r="D33" s="75" t="s">
        <v>248</v>
      </c>
      <c r="E33" s="75" t="s">
        <v>249</v>
      </c>
      <c r="G33" t="s">
        <v>250</v>
      </c>
      <c r="K33" s="77">
        <f>K20</f>
        <v>0.58707281275733481</v>
      </c>
    </row>
    <row r="34" spans="1:11" x14ac:dyDescent="0.35">
      <c r="B34" t="s">
        <v>229</v>
      </c>
      <c r="C34" s="124">
        <f>E13</f>
        <v>2474.38</v>
      </c>
      <c r="D34" s="22">
        <f>C34/$C$36</f>
        <v>8.5476495414634653E-3</v>
      </c>
      <c r="E34" s="106">
        <f>I19</f>
        <v>7.4862798434696745E-3</v>
      </c>
      <c r="G34" t="s">
        <v>251</v>
      </c>
      <c r="K34" s="106">
        <f>E38</f>
        <v>7.5427469579856347E-3</v>
      </c>
    </row>
    <row r="35" spans="1:11" x14ac:dyDescent="0.35">
      <c r="B35" t="s">
        <v>252</v>
      </c>
      <c r="C35" s="124">
        <f>F13</f>
        <v>287006.37</v>
      </c>
      <c r="D35" s="22">
        <f>C35/$C$36</f>
        <v>0.99145235045853652</v>
      </c>
      <c r="E35" s="106">
        <f>1-E34</f>
        <v>0.99251372015653028</v>
      </c>
      <c r="G35" t="s">
        <v>242</v>
      </c>
      <c r="K35" s="108">
        <f>E26</f>
        <v>0.3</v>
      </c>
    </row>
    <row r="36" spans="1:11" x14ac:dyDescent="0.35">
      <c r="B36" s="109" t="s">
        <v>253</v>
      </c>
      <c r="C36" s="111">
        <f>SUM(C34:C35)</f>
        <v>289480.75</v>
      </c>
      <c r="D36" s="112">
        <f>SUM(D34:D35)</f>
        <v>1</v>
      </c>
      <c r="E36" s="112">
        <f>SUM(E34:E35)</f>
        <v>1</v>
      </c>
      <c r="G36" s="109" t="s">
        <v>247</v>
      </c>
      <c r="H36" s="109"/>
      <c r="I36" s="109"/>
      <c r="J36" s="109"/>
      <c r="K36" s="113">
        <f>K33*(1+(1-K35)*K34)</f>
        <v>0.59017251192811382</v>
      </c>
    </row>
    <row r="38" spans="1:11" x14ac:dyDescent="0.35">
      <c r="B38" t="s">
        <v>254</v>
      </c>
      <c r="D38" s="96">
        <f>D34/D35</f>
        <v>8.6213417493137875E-3</v>
      </c>
      <c r="E38" s="96">
        <f>E34/E35</f>
        <v>7.5427469579856347E-3</v>
      </c>
      <c r="G38" s="103" t="s">
        <v>255</v>
      </c>
      <c r="H38" s="103"/>
      <c r="I38" s="103"/>
      <c r="J38" s="103"/>
      <c r="K38" s="89"/>
    </row>
    <row r="40" spans="1:11" x14ac:dyDescent="0.35">
      <c r="G40" s="29" t="s">
        <v>239</v>
      </c>
      <c r="H40" s="29"/>
      <c r="I40" s="29"/>
      <c r="J40" s="114"/>
      <c r="K40" s="115">
        <f>K28</f>
        <v>0.12392140789477576</v>
      </c>
    </row>
    <row r="41" spans="1:11" x14ac:dyDescent="0.35">
      <c r="G41" s="29" t="s">
        <v>256</v>
      </c>
      <c r="H41" s="29"/>
      <c r="I41" s="29"/>
      <c r="J41" s="116"/>
      <c r="K41" s="116">
        <f>E35</f>
        <v>0.99251372015653028</v>
      </c>
    </row>
    <row r="42" spans="1:11" x14ac:dyDescent="0.35">
      <c r="A42" t="s">
        <v>57</v>
      </c>
      <c r="B42" s="117" t="s">
        <v>257</v>
      </c>
      <c r="G42" s="29"/>
      <c r="H42" s="29"/>
      <c r="I42" s="29"/>
      <c r="J42" s="116"/>
      <c r="K42" s="116"/>
    </row>
    <row r="43" spans="1:11" x14ac:dyDescent="0.35">
      <c r="B43" s="118" t="s">
        <v>258</v>
      </c>
      <c r="C43" s="118"/>
      <c r="D43" s="118"/>
      <c r="E43" s="117"/>
      <c r="G43" s="29" t="s">
        <v>238</v>
      </c>
      <c r="H43" s="29"/>
      <c r="I43" s="29"/>
      <c r="J43" s="29"/>
      <c r="K43" s="119">
        <f>E27</f>
        <v>5.7987999999999991E-2</v>
      </c>
    </row>
    <row r="44" spans="1:11" x14ac:dyDescent="0.35">
      <c r="B44" s="118" t="s">
        <v>259</v>
      </c>
      <c r="C44" s="118"/>
      <c r="D44" s="118"/>
      <c r="E44" s="117"/>
      <c r="G44" s="29" t="s">
        <v>260</v>
      </c>
      <c r="H44" s="29"/>
      <c r="I44" s="29"/>
      <c r="J44" s="29"/>
      <c r="K44" s="116">
        <f>E34</f>
        <v>7.4862798434696745E-3</v>
      </c>
    </row>
    <row r="45" spans="1:11" x14ac:dyDescent="0.35">
      <c r="B45" s="118" t="s">
        <v>261</v>
      </c>
      <c r="C45" s="118"/>
      <c r="D45" s="118"/>
      <c r="E45" s="117"/>
    </row>
    <row r="46" spans="1:11" x14ac:dyDescent="0.35">
      <c r="B46" s="118" t="s">
        <v>262</v>
      </c>
      <c r="C46" s="118"/>
      <c r="D46" s="118"/>
      <c r="E46" s="117"/>
      <c r="G46" s="120" t="s">
        <v>263</v>
      </c>
      <c r="H46" s="120"/>
      <c r="I46" s="120"/>
      <c r="J46" s="120"/>
      <c r="K46" s="121">
        <f>(K40*K41)+(K43*K44)</f>
        <v>0.12342781195224184</v>
      </c>
    </row>
  </sheetData>
  <pageMargins left="0.25" right="0.25" top="0.75" bottom="0.75" header="0.3" footer="0.3"/>
  <pageSetup paperSize="9" scale="9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7B95-CA71-4C4A-AC58-DB222C738446}">
  <sheetPr>
    <pageSetUpPr fitToPage="1"/>
  </sheetPr>
  <dimension ref="A3:O65"/>
  <sheetViews>
    <sheetView showGridLines="0" tabSelected="1" topLeftCell="B1" zoomScale="75" zoomScaleNormal="75" workbookViewId="0">
      <selection activeCell="A40" sqref="A40"/>
    </sheetView>
  </sheetViews>
  <sheetFormatPr defaultRowHeight="14.5" x14ac:dyDescent="0.35"/>
  <cols>
    <col min="1" max="1" width="1.81640625" customWidth="1"/>
    <col min="2" max="2" width="14.453125" customWidth="1"/>
    <col min="6" max="10" width="13.36328125" customWidth="1"/>
  </cols>
  <sheetData>
    <row r="3" spans="1:10" x14ac:dyDescent="0.35">
      <c r="A3" t="s">
        <v>57</v>
      </c>
      <c r="B3" s="133" t="s">
        <v>300</v>
      </c>
      <c r="C3" s="144"/>
      <c r="D3" s="144"/>
      <c r="E3" s="144"/>
      <c r="F3" s="134">
        <f>'Raw FS'!J$2</f>
        <v>43891</v>
      </c>
      <c r="G3" s="134">
        <f>'Raw FS'!K$2</f>
        <v>44256</v>
      </c>
      <c r="H3" s="134">
        <f>'Raw FS'!L$2</f>
        <v>44621</v>
      </c>
      <c r="I3" s="134">
        <f>'Raw FS'!M$2</f>
        <v>44986</v>
      </c>
      <c r="J3" s="134">
        <f>'Raw FS'!N$2</f>
        <v>45352</v>
      </c>
    </row>
    <row r="5" spans="1:10" x14ac:dyDescent="0.35">
      <c r="B5" s="12" t="s">
        <v>301</v>
      </c>
    </row>
    <row r="6" spans="1:10" x14ac:dyDescent="0.35">
      <c r="B6" s="145" t="str">
        <f>'Raw FS'!B35</f>
        <v>Inventories</v>
      </c>
      <c r="C6" s="145"/>
      <c r="D6" s="145"/>
      <c r="E6" s="145"/>
      <c r="F6" s="146">
        <f>'Raw FS'!J35</f>
        <v>3390</v>
      </c>
      <c r="G6" s="146">
        <f>'Raw FS'!K35</f>
        <v>3799</v>
      </c>
      <c r="H6" s="146">
        <f>'Raw FS'!L35</f>
        <v>6153</v>
      </c>
      <c r="I6" s="146">
        <f>'Raw FS'!M35</f>
        <v>6211</v>
      </c>
      <c r="J6" s="146">
        <f>'Raw FS'!N35</f>
        <v>5923</v>
      </c>
    </row>
    <row r="7" spans="1:10" x14ac:dyDescent="0.35">
      <c r="B7" s="145" t="str">
        <f>'Raw FS'!B36</f>
        <v xml:space="preserve">Trade receivables </v>
      </c>
      <c r="C7" s="145"/>
      <c r="D7" s="145"/>
      <c r="E7" s="145"/>
      <c r="F7" s="146">
        <f>'Raw FS'!J36</f>
        <v>1795</v>
      </c>
      <c r="G7" s="146">
        <f>'Raw FS'!K36</f>
        <v>2602</v>
      </c>
      <c r="H7" s="146">
        <f>'Raw FS'!L36</f>
        <v>3871</v>
      </c>
      <c r="I7" s="146">
        <f>'Raw FS'!M36</f>
        <v>4637</v>
      </c>
      <c r="J7" s="146">
        <f>'Raw FS'!N36</f>
        <v>4889</v>
      </c>
    </row>
    <row r="8" spans="1:10" x14ac:dyDescent="0.35">
      <c r="B8" s="145" t="str">
        <f>'Raw FS'!B38</f>
        <v>Short term loans</v>
      </c>
      <c r="C8" s="145"/>
      <c r="D8" s="145"/>
      <c r="E8" s="145"/>
      <c r="F8" s="146">
        <f>'Raw FS'!J38</f>
        <v>12</v>
      </c>
      <c r="G8" s="146">
        <f>'Raw FS'!K38</f>
        <v>11</v>
      </c>
      <c r="H8" s="146">
        <f>'Raw FS'!L38</f>
        <v>8</v>
      </c>
      <c r="I8" s="146">
        <f>'Raw FS'!M38</f>
        <v>12</v>
      </c>
      <c r="J8" s="146">
        <f>'Raw FS'!N38</f>
        <v>17</v>
      </c>
    </row>
    <row r="9" spans="1:10" x14ac:dyDescent="0.35">
      <c r="B9" s="145" t="str">
        <f>'Raw FS'!B39</f>
        <v>Other asset items</v>
      </c>
      <c r="F9" s="32">
        <f>'Raw FS'!J39</f>
        <v>1727</v>
      </c>
      <c r="G9" s="32">
        <f>'Raw FS'!K39</f>
        <v>2555</v>
      </c>
      <c r="H9" s="32">
        <f>'Raw FS'!L39</f>
        <v>2869</v>
      </c>
      <c r="I9" s="32">
        <f>'Raw FS'!M39</f>
        <v>3024</v>
      </c>
      <c r="J9" s="32">
        <f>'Raw FS'!N39</f>
        <v>3555</v>
      </c>
    </row>
    <row r="10" spans="1:10" x14ac:dyDescent="0.35">
      <c r="B10" s="147" t="s">
        <v>86</v>
      </c>
      <c r="C10" s="147"/>
      <c r="D10" s="147"/>
      <c r="E10" s="147"/>
      <c r="F10" s="148">
        <f>SUM(F6:F9)</f>
        <v>6924</v>
      </c>
      <c r="G10" s="148">
        <f>SUM(G6:G9)</f>
        <v>8967</v>
      </c>
      <c r="H10" s="148">
        <f>SUM(H6:H9)</f>
        <v>12901</v>
      </c>
      <c r="I10" s="148">
        <f>SUM(I6:I9)</f>
        <v>13884</v>
      </c>
      <c r="J10" s="148">
        <f>SUM(J6:J9)</f>
        <v>14384</v>
      </c>
    </row>
    <row r="11" spans="1:10" x14ac:dyDescent="0.35">
      <c r="F11" s="32"/>
      <c r="G11" s="32"/>
      <c r="H11" s="32"/>
      <c r="I11" s="32"/>
      <c r="J11" s="32"/>
    </row>
    <row r="12" spans="1:10" x14ac:dyDescent="0.35">
      <c r="B12" s="12" t="s">
        <v>302</v>
      </c>
      <c r="F12" s="32"/>
      <c r="G12" s="32"/>
      <c r="H12" s="32"/>
      <c r="I12" s="32"/>
      <c r="J12" s="32"/>
    </row>
    <row r="13" spans="1:10" x14ac:dyDescent="0.35">
      <c r="B13" s="145" t="str">
        <f>'Raw FS'!B13</f>
        <v>Trade Payables</v>
      </c>
      <c r="C13" s="145"/>
      <c r="D13" s="145"/>
      <c r="E13" s="145"/>
      <c r="F13" s="146">
        <f>'Raw FS'!J13</f>
        <v>2137</v>
      </c>
      <c r="G13" s="146">
        <f>'Raw FS'!K13</f>
        <v>3379</v>
      </c>
      <c r="H13" s="146">
        <f>'Raw FS'!L13</f>
        <v>4164</v>
      </c>
      <c r="I13" s="146">
        <f>'Raw FS'!M13</f>
        <v>3635</v>
      </c>
      <c r="J13" s="146">
        <f>'Raw FS'!N13</f>
        <v>3831</v>
      </c>
    </row>
    <row r="14" spans="1:10" x14ac:dyDescent="0.35">
      <c r="B14" s="145" t="str">
        <f>'Raw FS'!B14</f>
        <v>Advance from Customers</v>
      </c>
      <c r="C14" s="145"/>
      <c r="D14" s="145"/>
      <c r="E14" s="145"/>
      <c r="F14" s="146">
        <f>'Raw FS'!J14</f>
        <v>29</v>
      </c>
      <c r="G14" s="146">
        <f>'Raw FS'!K14</f>
        <v>41</v>
      </c>
      <c r="H14" s="146">
        <f>'Raw FS'!L14</f>
        <v>76</v>
      </c>
      <c r="I14" s="146">
        <f>'Raw FS'!M14</f>
        <v>108</v>
      </c>
      <c r="J14" s="146">
        <f>'Raw FS'!N14</f>
        <v>154</v>
      </c>
    </row>
    <row r="15" spans="1:10" x14ac:dyDescent="0.35">
      <c r="B15" s="145" t="str">
        <f>'Raw FS'!B15</f>
        <v>Other liability items</v>
      </c>
      <c r="C15" s="145"/>
      <c r="D15" s="145"/>
      <c r="E15" s="145"/>
      <c r="F15" s="146">
        <f>'Raw FS'!J15</f>
        <v>2320</v>
      </c>
      <c r="G15" s="146">
        <f>'Raw FS'!K15</f>
        <v>2613</v>
      </c>
      <c r="H15" s="146">
        <f>'Raw FS'!L15</f>
        <v>2932</v>
      </c>
      <c r="I15" s="146">
        <f>'Raw FS'!M15</f>
        <v>3657</v>
      </c>
      <c r="J15" s="146">
        <f>'Raw FS'!N15</f>
        <v>4017</v>
      </c>
    </row>
    <row r="16" spans="1:10" x14ac:dyDescent="0.35">
      <c r="B16" s="147" t="s">
        <v>303</v>
      </c>
      <c r="C16" s="147"/>
      <c r="D16" s="147"/>
      <c r="E16" s="147"/>
      <c r="F16" s="148">
        <f>SUM(F13:F15)</f>
        <v>4486</v>
      </c>
      <c r="G16" s="148">
        <f>SUM(G13:G15)</f>
        <v>6033</v>
      </c>
      <c r="H16" s="148">
        <f>SUM(H13:H15)</f>
        <v>7172</v>
      </c>
      <c r="I16" s="148">
        <f>SUM(I13:I15)</f>
        <v>7400</v>
      </c>
      <c r="J16" s="148">
        <f>SUM(J13:J15)</f>
        <v>8002</v>
      </c>
    </row>
    <row r="17" spans="1:11" x14ac:dyDescent="0.35">
      <c r="F17" s="32"/>
      <c r="G17" s="32"/>
      <c r="H17" s="32"/>
      <c r="I17" s="32"/>
      <c r="J17" s="32"/>
    </row>
    <row r="18" spans="1:11" ht="15" thickBot="1" x14ac:dyDescent="0.4">
      <c r="A18" t="s">
        <v>57</v>
      </c>
      <c r="B18" s="149" t="s">
        <v>304</v>
      </c>
      <c r="C18" s="149"/>
      <c r="D18" s="149"/>
      <c r="E18" s="149"/>
      <c r="F18" s="150">
        <f>F10-F16</f>
        <v>2438</v>
      </c>
      <c r="G18" s="150">
        <f>G10-G16</f>
        <v>2934</v>
      </c>
      <c r="H18" s="150">
        <f>H10-H16</f>
        <v>5729</v>
      </c>
      <c r="I18" s="150">
        <f t="shared" ref="I18:J18" si="0">I10-I16</f>
        <v>6484</v>
      </c>
      <c r="J18" s="150">
        <f t="shared" si="0"/>
        <v>6382</v>
      </c>
    </row>
    <row r="19" spans="1:11" x14ac:dyDescent="0.35">
      <c r="F19" s="32"/>
      <c r="G19" s="32"/>
      <c r="H19" s="32"/>
      <c r="I19" s="32"/>
      <c r="J19" s="32"/>
    </row>
    <row r="20" spans="1:11" x14ac:dyDescent="0.35">
      <c r="B20" s="12" t="s">
        <v>305</v>
      </c>
      <c r="F20" s="32"/>
      <c r="G20" s="32"/>
      <c r="H20" s="32"/>
      <c r="I20" s="32"/>
      <c r="J20" s="32"/>
    </row>
    <row r="21" spans="1:11" x14ac:dyDescent="0.35">
      <c r="B21" s="145" t="str">
        <f>'Raw FS'!B19</f>
        <v>Land</v>
      </c>
      <c r="C21" s="145"/>
      <c r="D21" s="145"/>
      <c r="E21" s="145"/>
      <c r="F21" s="146">
        <f>'Raw FS'!J19</f>
        <v>640</v>
      </c>
      <c r="G21" s="146">
        <f>'Raw FS'!K19</f>
        <v>644</v>
      </c>
      <c r="H21" s="146">
        <f>'Raw FS'!L19</f>
        <v>644</v>
      </c>
      <c r="I21" s="146">
        <f>'Raw FS'!M19</f>
        <v>804</v>
      </c>
      <c r="J21" s="146">
        <f>'Raw FS'!N19</f>
        <v>1126</v>
      </c>
    </row>
    <row r="22" spans="1:11" x14ac:dyDescent="0.35">
      <c r="B22" s="145" t="str">
        <f>'Raw FS'!B20</f>
        <v>Building</v>
      </c>
      <c r="C22" s="145"/>
      <c r="D22" s="145"/>
      <c r="E22" s="145"/>
      <c r="F22" s="146">
        <f>'Raw FS'!J20</f>
        <v>2257</v>
      </c>
      <c r="G22" s="146">
        <f>'Raw FS'!K20</f>
        <v>2249</v>
      </c>
      <c r="H22" s="146">
        <f>'Raw FS'!L20</f>
        <v>2325</v>
      </c>
      <c r="I22" s="146">
        <f>'Raw FS'!M20</f>
        <v>2883</v>
      </c>
      <c r="J22" s="146">
        <f>'Raw FS'!N20</f>
        <v>3390</v>
      </c>
    </row>
    <row r="23" spans="1:11" x14ac:dyDescent="0.35">
      <c r="B23" s="145" t="str">
        <f>'Raw FS'!B21</f>
        <v>Plant Machinery</v>
      </c>
      <c r="C23" s="145"/>
      <c r="D23" s="145"/>
      <c r="E23" s="145"/>
      <c r="F23" s="146">
        <f>'Raw FS'!J21</f>
        <v>4208</v>
      </c>
      <c r="G23" s="146">
        <f>'Raw FS'!K21</f>
        <v>4340</v>
      </c>
      <c r="H23" s="146">
        <f>'Raw FS'!L21</f>
        <v>4531</v>
      </c>
      <c r="I23" s="146">
        <f>'Raw FS'!M21</f>
        <v>4825</v>
      </c>
      <c r="J23" s="146">
        <f>'Raw FS'!N21</f>
        <v>5422</v>
      </c>
      <c r="K23" s="32"/>
    </row>
    <row r="24" spans="1:11" x14ac:dyDescent="0.35">
      <c r="B24" s="145" t="str">
        <f>'Raw FS'!B22</f>
        <v>Equipments</v>
      </c>
      <c r="C24" s="145"/>
      <c r="D24" s="145"/>
      <c r="E24" s="145"/>
      <c r="F24" s="146">
        <f>'Raw FS'!J22</f>
        <v>241</v>
      </c>
      <c r="G24" s="146">
        <f>'Raw FS'!K22</f>
        <v>243</v>
      </c>
      <c r="H24" s="146">
        <f>'Raw FS'!L22</f>
        <v>253</v>
      </c>
      <c r="I24" s="146">
        <f>'Raw FS'!M22</f>
        <v>270</v>
      </c>
      <c r="J24" s="146">
        <f>'Raw FS'!N22</f>
        <v>298</v>
      </c>
    </row>
    <row r="25" spans="1:11" x14ac:dyDescent="0.35">
      <c r="B25" s="145" t="str">
        <f>'Raw FS'!B23</f>
        <v>Furniture n fittings</v>
      </c>
      <c r="C25" s="145"/>
      <c r="D25" s="145"/>
      <c r="E25" s="145"/>
      <c r="F25" s="146">
        <f>'Raw FS'!J23</f>
        <v>94</v>
      </c>
      <c r="G25" s="146">
        <f>'Raw FS'!K23</f>
        <v>99</v>
      </c>
      <c r="H25" s="146">
        <f>'Raw FS'!L23</f>
        <v>113</v>
      </c>
      <c r="I25" s="146">
        <f>'Raw FS'!M23</f>
        <v>146</v>
      </c>
      <c r="J25" s="146">
        <f>'Raw FS'!N23</f>
        <v>175</v>
      </c>
    </row>
    <row r="26" spans="1:11" x14ac:dyDescent="0.35">
      <c r="B26" s="145" t="str">
        <f>'Raw FS'!B24</f>
        <v>Vehicles</v>
      </c>
      <c r="C26" s="145"/>
      <c r="D26" s="145"/>
      <c r="E26" s="145"/>
      <c r="F26" s="146">
        <f>'Raw FS'!J24</f>
        <v>43</v>
      </c>
      <c r="G26" s="146">
        <f>'Raw FS'!K24</f>
        <v>38</v>
      </c>
      <c r="H26" s="146">
        <f>'Raw FS'!L24</f>
        <v>32</v>
      </c>
      <c r="I26" s="146">
        <f>'Raw FS'!M24</f>
        <v>36</v>
      </c>
      <c r="J26" s="146">
        <f>'Raw FS'!N24</f>
        <v>40</v>
      </c>
    </row>
    <row r="27" spans="1:11" x14ac:dyDescent="0.35">
      <c r="B27" s="145" t="str">
        <f>'Raw FS'!B25</f>
        <v>Intangible Assets</v>
      </c>
      <c r="C27" s="145"/>
      <c r="D27" s="145"/>
      <c r="E27" s="145"/>
      <c r="F27" s="146">
        <f>'Raw FS'!J25</f>
        <v>505</v>
      </c>
      <c r="G27" s="146">
        <f>'Raw FS'!K25</f>
        <v>476</v>
      </c>
      <c r="H27" s="146">
        <f>'Raw FS'!L25</f>
        <v>345</v>
      </c>
      <c r="I27" s="146">
        <f>'Raw FS'!M25</f>
        <v>422</v>
      </c>
      <c r="J27" s="146">
        <f>'Raw FS'!N25</f>
        <v>850</v>
      </c>
    </row>
    <row r="28" spans="1:11" x14ac:dyDescent="0.35">
      <c r="B28" s="145" t="str">
        <f>'Raw FS'!B26</f>
        <v>Other fixed assets</v>
      </c>
      <c r="C28" s="145"/>
      <c r="D28" s="145"/>
      <c r="E28" s="145"/>
      <c r="F28" s="146">
        <f>'Raw FS'!J26</f>
        <v>293</v>
      </c>
      <c r="G28" s="146">
        <f>'Raw FS'!K26</f>
        <v>302</v>
      </c>
      <c r="H28" s="146">
        <f>'Raw FS'!L26</f>
        <v>294</v>
      </c>
      <c r="I28" s="146">
        <f>'Raw FS'!M26</f>
        <v>289</v>
      </c>
      <c r="J28" s="146">
        <f>'Raw FS'!N26</f>
        <v>321</v>
      </c>
    </row>
    <row r="29" spans="1:11" x14ac:dyDescent="0.35">
      <c r="F29" s="32"/>
      <c r="G29" s="32"/>
      <c r="H29" s="32"/>
      <c r="I29" s="32"/>
      <c r="J29" s="32"/>
    </row>
    <row r="30" spans="1:11" x14ac:dyDescent="0.35">
      <c r="B30" s="147" t="s">
        <v>290</v>
      </c>
      <c r="C30" s="147"/>
      <c r="D30" s="147"/>
      <c r="E30" s="147"/>
      <c r="F30" s="148">
        <f>SUM(F21:F29)</f>
        <v>8281</v>
      </c>
      <c r="G30" s="148">
        <f>SUM(G21:G29)</f>
        <v>8391</v>
      </c>
      <c r="H30" s="148">
        <f>SUM(H21:H29)</f>
        <v>8537</v>
      </c>
      <c r="I30" s="148">
        <f>SUM(I21:I29)</f>
        <v>9675</v>
      </c>
      <c r="J30" s="148">
        <f>SUM(J21:J29)</f>
        <v>11622</v>
      </c>
    </row>
    <row r="31" spans="1:11" x14ac:dyDescent="0.35">
      <c r="B31" t="s">
        <v>306</v>
      </c>
      <c r="F31" s="32">
        <f>-'Raw FS'!J28</f>
        <v>-2010</v>
      </c>
      <c r="G31" s="32">
        <f>-'Raw FS'!K28</f>
        <v>-2533</v>
      </c>
      <c r="H31" s="32">
        <f>-'Raw FS'!L28</f>
        <v>-3019</v>
      </c>
      <c r="I31" s="32">
        <f>-'Raw FS'!M28</f>
        <v>-3814</v>
      </c>
      <c r="J31" s="32">
        <f>-'Raw FS'!N28</f>
        <v>-4381</v>
      </c>
    </row>
    <row r="32" spans="1:11" ht="15" thickBot="1" x14ac:dyDescent="0.4">
      <c r="A32" t="s">
        <v>57</v>
      </c>
      <c r="B32" s="149" t="s">
        <v>307</v>
      </c>
      <c r="C32" s="149"/>
      <c r="D32" s="149"/>
      <c r="E32" s="149"/>
      <c r="F32" s="150">
        <f>SUM(F30:F31)</f>
        <v>6271</v>
      </c>
      <c r="G32" s="150">
        <f>SUM(G30:G31)</f>
        <v>5858</v>
      </c>
      <c r="H32" s="150">
        <f>SUM(H30:H31)</f>
        <v>5518</v>
      </c>
      <c r="I32" s="150">
        <f>SUM(I30:I31)</f>
        <v>5861</v>
      </c>
      <c r="J32" s="150">
        <f>SUM(J30:J31)</f>
        <v>7241</v>
      </c>
    </row>
    <row r="33" spans="1:10" x14ac:dyDescent="0.35">
      <c r="F33" s="32"/>
      <c r="G33" s="32"/>
      <c r="H33" s="32"/>
      <c r="I33" s="32"/>
      <c r="J33" s="32"/>
    </row>
    <row r="34" spans="1:10" x14ac:dyDescent="0.35">
      <c r="A34" t="s">
        <v>57</v>
      </c>
      <c r="B34" s="12" t="s">
        <v>308</v>
      </c>
      <c r="C34" s="12"/>
      <c r="D34" s="12"/>
      <c r="E34" s="12"/>
      <c r="F34" s="151">
        <f>F32+F18</f>
        <v>8709</v>
      </c>
      <c r="G34" s="151">
        <f>G32+G18</f>
        <v>8792</v>
      </c>
      <c r="H34" s="151">
        <f t="shared" ref="H34:J34" si="1">H32+H18</f>
        <v>11247</v>
      </c>
      <c r="I34" s="151">
        <f t="shared" si="1"/>
        <v>12345</v>
      </c>
      <c r="J34" s="151">
        <f t="shared" si="1"/>
        <v>13623</v>
      </c>
    </row>
    <row r="35" spans="1:10" x14ac:dyDescent="0.35">
      <c r="B35" s="12" t="s">
        <v>309</v>
      </c>
      <c r="C35" s="12"/>
      <c r="D35" s="12"/>
      <c r="E35" s="12"/>
      <c r="F35" s="151">
        <f>HistoricalFS!H29+HistoricalFS!H23</f>
        <v>3376.3199999999979</v>
      </c>
      <c r="G35" s="151">
        <f>HistoricalFS!I29+HistoricalFS!I23</f>
        <v>4064.3300000000031</v>
      </c>
      <c r="H35" s="151">
        <f>HistoricalFS!J29+HistoricalFS!J23</f>
        <v>3987.2499999999986</v>
      </c>
      <c r="I35" s="151">
        <f>HistoricalFS!K29+HistoricalFS!K23</f>
        <v>5401.8199999999952</v>
      </c>
      <c r="J35" s="151">
        <f>HistoricalFS!L29+HistoricalFS!L23</f>
        <v>6731.9800000000014</v>
      </c>
    </row>
    <row r="37" spans="1:10" ht="15" thickBot="1" x14ac:dyDescent="0.4">
      <c r="A37" t="s">
        <v>57</v>
      </c>
      <c r="B37" s="149" t="s">
        <v>310</v>
      </c>
      <c r="C37" s="149"/>
      <c r="D37" s="149"/>
      <c r="E37" s="149"/>
      <c r="F37" s="152">
        <f>F35/F34</f>
        <v>0.38768170857733353</v>
      </c>
      <c r="G37" s="152">
        <f t="shared" ref="G37" si="2">G35/G34</f>
        <v>0.46227593266606043</v>
      </c>
      <c r="H37" s="152">
        <f>H35/H34</f>
        <v>0.35451676002489541</v>
      </c>
      <c r="I37" s="152">
        <f>I35/I34</f>
        <v>0.43757148643175336</v>
      </c>
      <c r="J37" s="152">
        <f>J35/J34</f>
        <v>0.49416281288996561</v>
      </c>
    </row>
    <row r="40" spans="1:10" x14ac:dyDescent="0.35">
      <c r="A40" t="s">
        <v>57</v>
      </c>
      <c r="B40" s="133" t="s">
        <v>311</v>
      </c>
      <c r="C40" s="144"/>
      <c r="D40" s="144"/>
      <c r="E40" s="144"/>
      <c r="F40" s="134">
        <f>'Raw FS'!J$2</f>
        <v>43891</v>
      </c>
      <c r="G40" s="134">
        <f>'Raw FS'!K$2</f>
        <v>44256</v>
      </c>
      <c r="H40" s="134">
        <f>'Raw FS'!L$2</f>
        <v>44621</v>
      </c>
      <c r="I40" s="134">
        <f>'Raw FS'!M$2</f>
        <v>44986</v>
      </c>
      <c r="J40" s="134">
        <f>'Raw FS'!N$2</f>
        <v>45352</v>
      </c>
    </row>
    <row r="42" spans="1:10" x14ac:dyDescent="0.35">
      <c r="B42" s="145" t="s">
        <v>312</v>
      </c>
      <c r="C42" s="145"/>
      <c r="D42" s="145"/>
      <c r="E42" s="145"/>
      <c r="F42" s="146">
        <f>-SUM('Raw FS'!J55:J56)</f>
        <v>367</v>
      </c>
      <c r="G42" s="146">
        <f>-SUM('Raw FS'!K55:K56)</f>
        <v>254</v>
      </c>
      <c r="H42" s="146">
        <f>-SUM('Raw FS'!L55:L56)</f>
        <v>511</v>
      </c>
      <c r="I42" s="146">
        <f>-SUM('Raw FS'!M55:M56)</f>
        <v>1420</v>
      </c>
      <c r="J42" s="146">
        <f>-SUM('Raw FS'!N55:N56)</f>
        <v>2491</v>
      </c>
    </row>
    <row r="43" spans="1:10" x14ac:dyDescent="0.35">
      <c r="B43" s="145" t="s">
        <v>313</v>
      </c>
      <c r="C43" s="145"/>
      <c r="D43" s="145"/>
      <c r="E43" s="145"/>
      <c r="F43" s="146">
        <v>0</v>
      </c>
      <c r="G43" s="146">
        <f>G18-F18</f>
        <v>496</v>
      </c>
      <c r="H43" s="146">
        <f t="shared" ref="H43" si="3">H18-G18</f>
        <v>2795</v>
      </c>
      <c r="I43" s="146">
        <f>I18-H18</f>
        <v>755</v>
      </c>
      <c r="J43" s="146">
        <f>J18-I18</f>
        <v>-102</v>
      </c>
    </row>
    <row r="44" spans="1:10" x14ac:dyDescent="0.35">
      <c r="B44" s="145"/>
      <c r="C44" s="145"/>
      <c r="D44" s="145"/>
      <c r="E44" s="145"/>
      <c r="F44" s="146"/>
      <c r="G44" s="146"/>
      <c r="H44" s="146"/>
      <c r="I44" s="146"/>
      <c r="J44" s="146"/>
    </row>
    <row r="45" spans="1:10" x14ac:dyDescent="0.35">
      <c r="B45" s="145" t="s">
        <v>309</v>
      </c>
      <c r="C45" s="145"/>
      <c r="D45" s="145"/>
      <c r="E45" s="145"/>
      <c r="F45" s="146">
        <f>F35</f>
        <v>3376.3199999999979</v>
      </c>
      <c r="G45" s="146">
        <f>G35</f>
        <v>4064.3300000000031</v>
      </c>
      <c r="H45" s="146">
        <f>H35</f>
        <v>3987.2499999999986</v>
      </c>
      <c r="I45" s="146">
        <f>I35</f>
        <v>5401.8199999999952</v>
      </c>
      <c r="J45" s="146">
        <f>J35</f>
        <v>6731.9800000000014</v>
      </c>
    </row>
    <row r="46" spans="1:10" x14ac:dyDescent="0.35">
      <c r="B46" s="145" t="s">
        <v>314</v>
      </c>
      <c r="C46" s="145"/>
      <c r="D46" s="145"/>
      <c r="E46" s="145"/>
      <c r="F46" s="153">
        <v>0.25</v>
      </c>
      <c r="G46" s="154">
        <f>F46</f>
        <v>0.25</v>
      </c>
      <c r="H46" s="154">
        <f t="shared" ref="H46:J46" si="4">G46</f>
        <v>0.25</v>
      </c>
      <c r="I46" s="154">
        <f t="shared" si="4"/>
        <v>0.25</v>
      </c>
      <c r="J46" s="154">
        <f t="shared" si="4"/>
        <v>0.25</v>
      </c>
    </row>
    <row r="47" spans="1:10" x14ac:dyDescent="0.35">
      <c r="B47" s="145" t="s">
        <v>315</v>
      </c>
      <c r="C47" s="145"/>
      <c r="D47" s="145"/>
      <c r="E47" s="145"/>
      <c r="F47" s="146">
        <f>F45*(1-F46)</f>
        <v>2532.2399999999984</v>
      </c>
      <c r="G47" s="146">
        <f>G45*(1-G46)</f>
        <v>3048.2475000000022</v>
      </c>
      <c r="H47" s="146">
        <f>H45*(1-H46)</f>
        <v>2990.4374999999991</v>
      </c>
      <c r="I47" s="146">
        <f>I45*(1-I46)</f>
        <v>4051.3649999999961</v>
      </c>
      <c r="J47" s="146">
        <f>J45*(1-J46)</f>
        <v>5048.9850000000006</v>
      </c>
    </row>
    <row r="48" spans="1:10" x14ac:dyDescent="0.35">
      <c r="B48" s="145"/>
      <c r="C48" s="145"/>
      <c r="D48" s="145"/>
      <c r="E48" s="145"/>
      <c r="F48" s="145"/>
      <c r="G48" s="145"/>
      <c r="H48" s="145"/>
      <c r="I48" s="145"/>
      <c r="J48" s="145"/>
    </row>
    <row r="49" spans="1:10" x14ac:dyDescent="0.35">
      <c r="B49" s="145" t="s">
        <v>316</v>
      </c>
      <c r="C49" s="145"/>
      <c r="D49" s="145"/>
      <c r="E49" s="145"/>
      <c r="F49" s="146">
        <v>0</v>
      </c>
      <c r="G49" s="146">
        <f>SUM(G42:G43)</f>
        <v>750</v>
      </c>
      <c r="H49" s="146">
        <f>SUM(H42:H43)</f>
        <v>3306</v>
      </c>
      <c r="I49" s="146">
        <f>SUM(I42:I43)</f>
        <v>2175</v>
      </c>
      <c r="J49" s="146">
        <f>SUM(J42:J43)</f>
        <v>2389</v>
      </c>
    </row>
    <row r="50" spans="1:10" x14ac:dyDescent="0.35">
      <c r="G50" s="32"/>
      <c r="H50" s="32"/>
      <c r="I50" s="32"/>
      <c r="J50" s="32"/>
    </row>
    <row r="51" spans="1:10" ht="15" thickBot="1" x14ac:dyDescent="0.4">
      <c r="A51" t="s">
        <v>57</v>
      </c>
      <c r="B51" s="149" t="s">
        <v>317</v>
      </c>
      <c r="C51" s="149"/>
      <c r="D51" s="149"/>
      <c r="E51" s="149"/>
      <c r="F51" s="149"/>
      <c r="G51" s="152">
        <f>G49/G47</f>
        <v>0.24604301323957437</v>
      </c>
      <c r="H51" s="152">
        <f>H49/H47</f>
        <v>1.1055238572951285</v>
      </c>
      <c r="I51" s="152">
        <f>I49/I47</f>
        <v>0.53685609664890777</v>
      </c>
      <c r="J51" s="152">
        <f>J49/J47</f>
        <v>0.4731644082919636</v>
      </c>
    </row>
    <row r="53" spans="1:10" x14ac:dyDescent="0.35">
      <c r="I53" s="78" t="s">
        <v>318</v>
      </c>
      <c r="J53" s="155">
        <f>AVERAGE(G51:J51)</f>
        <v>0.59039684386889357</v>
      </c>
    </row>
    <row r="54" spans="1:10" x14ac:dyDescent="0.35">
      <c r="I54" s="78" t="s">
        <v>319</v>
      </c>
      <c r="J54" s="155">
        <f>MEDIAN(G51:J51)</f>
        <v>0.50501025247043563</v>
      </c>
    </row>
    <row r="56" spans="1:10" x14ac:dyDescent="0.35">
      <c r="A56" t="s">
        <v>57</v>
      </c>
      <c r="B56" s="133" t="s">
        <v>320</v>
      </c>
      <c r="C56" s="144"/>
      <c r="D56" s="144"/>
      <c r="E56" s="144"/>
      <c r="F56" s="134">
        <f>'Raw FS'!J$2</f>
        <v>43891</v>
      </c>
      <c r="G56" s="134">
        <f>'Raw FS'!K$2</f>
        <v>44256</v>
      </c>
      <c r="H56" s="134">
        <f>'Raw FS'!L$2</f>
        <v>44621</v>
      </c>
      <c r="I56" s="134">
        <f>'Raw FS'!M$2</f>
        <v>44986</v>
      </c>
      <c r="J56" s="134">
        <f>'Raw FS'!N$2</f>
        <v>45352</v>
      </c>
    </row>
    <row r="58" spans="1:10" x14ac:dyDescent="0.35">
      <c r="B58" s="145" t="s">
        <v>317</v>
      </c>
      <c r="C58" s="145"/>
      <c r="D58" s="145"/>
      <c r="E58" s="145"/>
      <c r="F58" s="145"/>
      <c r="G58" s="156">
        <f>G51</f>
        <v>0.24604301323957437</v>
      </c>
      <c r="H58" s="156">
        <f>H51</f>
        <v>1.1055238572951285</v>
      </c>
      <c r="I58" s="156">
        <f t="shared" ref="I58:J58" si="5">I51</f>
        <v>0.53685609664890777</v>
      </c>
      <c r="J58" s="156">
        <f t="shared" si="5"/>
        <v>0.4731644082919636</v>
      </c>
    </row>
    <row r="59" spans="1:10" x14ac:dyDescent="0.35">
      <c r="B59" s="145" t="s">
        <v>310</v>
      </c>
      <c r="C59" s="145"/>
      <c r="D59" s="145"/>
      <c r="E59" s="145"/>
      <c r="F59" s="145"/>
      <c r="G59" s="156">
        <f>G37</f>
        <v>0.46227593266606043</v>
      </c>
      <c r="H59" s="156">
        <f t="shared" ref="H59:J59" si="6">H37</f>
        <v>0.35451676002489541</v>
      </c>
      <c r="I59" s="156">
        <f t="shared" si="6"/>
        <v>0.43757148643175336</v>
      </c>
      <c r="J59" s="156">
        <f t="shared" si="6"/>
        <v>0.49416281288996561</v>
      </c>
    </row>
    <row r="61" spans="1:10" ht="15" thickBot="1" x14ac:dyDescent="0.4">
      <c r="A61" t="s">
        <v>57</v>
      </c>
      <c r="B61" s="149" t="s">
        <v>321</v>
      </c>
      <c r="C61" s="149"/>
      <c r="D61" s="149"/>
      <c r="E61" s="149"/>
      <c r="F61" s="149"/>
      <c r="G61" s="157">
        <f>G58*G59</f>
        <v>0.11373976342129209</v>
      </c>
      <c r="H61" s="157">
        <f>H58*H59</f>
        <v>0.39192673601849376</v>
      </c>
      <c r="I61" s="157">
        <f>I58*I59</f>
        <v>0.23491292021061161</v>
      </c>
      <c r="J61" s="157">
        <f>J58*J59</f>
        <v>0.23382025496097289</v>
      </c>
    </row>
    <row r="63" spans="1:10" x14ac:dyDescent="0.35">
      <c r="I63" s="78" t="s">
        <v>318</v>
      </c>
      <c r="J63" s="155">
        <f>AVERAGE(G61:J61)</f>
        <v>0.24359991865284258</v>
      </c>
    </row>
    <row r="64" spans="1:10" x14ac:dyDescent="0.35">
      <c r="I64" s="78" t="s">
        <v>319</v>
      </c>
      <c r="J64" s="155">
        <f>MEDIAN(G61:J61)</f>
        <v>0.23436658758579226</v>
      </c>
    </row>
    <row r="65" spans="15:15" x14ac:dyDescent="0.35">
      <c r="O65" s="32"/>
    </row>
  </sheetData>
  <pageMargins left="0.25" right="0.25" top="0.75" bottom="0.75" header="0.3" footer="0.3"/>
  <pageSetup paperSize="9" scale="79" orientation="portrait" r:id="rId1"/>
  <ignoredErrors>
    <ignoredError sqref="F42:J42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5708-7444-490A-8745-F550ED41BF43}">
  <sheetPr>
    <pageSetUpPr fitToPage="1"/>
  </sheetPr>
  <dimension ref="A4:O43"/>
  <sheetViews>
    <sheetView showGridLines="0" tabSelected="1" zoomScale="75" zoomScaleNormal="75" workbookViewId="0">
      <selection activeCell="A40" sqref="A40"/>
    </sheetView>
  </sheetViews>
  <sheetFormatPr defaultRowHeight="14.5" outlineLevelRow="1" x14ac:dyDescent="0.35"/>
  <cols>
    <col min="1" max="1" width="1.81640625" customWidth="1"/>
    <col min="4" max="4" width="11.26953125" customWidth="1"/>
    <col min="5" max="5" width="12" bestFit="1" customWidth="1"/>
    <col min="6" max="6" width="1.36328125" customWidth="1"/>
    <col min="7" max="7" width="6.26953125" customWidth="1"/>
    <col min="8" max="8" width="10" bestFit="1" customWidth="1"/>
    <col min="9" max="14" width="12.08984375" bestFit="1" customWidth="1"/>
  </cols>
  <sheetData>
    <row r="4" spans="1:12" x14ac:dyDescent="0.35">
      <c r="A4" t="s">
        <v>57</v>
      </c>
      <c r="B4" s="133" t="s">
        <v>322</v>
      </c>
      <c r="C4" s="133"/>
      <c r="D4" s="133"/>
      <c r="E4" s="133"/>
      <c r="F4" s="133"/>
      <c r="G4" s="133"/>
      <c r="H4" s="159">
        <f>'Intrinsic Growth'!J3</f>
        <v>45352</v>
      </c>
      <c r="I4" s="158">
        <f>H4+366</f>
        <v>45718</v>
      </c>
      <c r="J4" s="158">
        <f t="shared" ref="J4:L4" si="0">I4+366</f>
        <v>46084</v>
      </c>
      <c r="K4" s="158">
        <f t="shared" si="0"/>
        <v>46450</v>
      </c>
      <c r="L4" s="158">
        <f t="shared" si="0"/>
        <v>46816</v>
      </c>
    </row>
    <row r="6" spans="1:12" x14ac:dyDescent="0.35">
      <c r="B6" s="145" t="s">
        <v>309</v>
      </c>
      <c r="C6" s="145"/>
      <c r="D6" s="145"/>
      <c r="E6" s="145"/>
      <c r="F6" s="145"/>
      <c r="G6" s="145"/>
      <c r="H6" s="164">
        <f>'Data Sheet'!K33-'Data Sheet'!K26</f>
        <v>7455.48</v>
      </c>
      <c r="I6" s="165">
        <f>H6*(1+$E$16)</f>
        <v>9002.4920999999995</v>
      </c>
      <c r="J6" s="165">
        <f t="shared" ref="J6:L6" si="1">I6*(1+$E$16)</f>
        <v>10870.50921075</v>
      </c>
      <c r="K6" s="165">
        <f t="shared" si="1"/>
        <v>13126.139871980626</v>
      </c>
      <c r="L6" s="165">
        <f t="shared" si="1"/>
        <v>15849.813895416606</v>
      </c>
    </row>
    <row r="7" spans="1:12" x14ac:dyDescent="0.35">
      <c r="B7" s="145" t="s">
        <v>242</v>
      </c>
      <c r="C7" s="145"/>
      <c r="D7" s="145"/>
      <c r="E7" s="145"/>
      <c r="F7" s="145"/>
      <c r="G7" s="145"/>
      <c r="H7" s="166">
        <v>0.25</v>
      </c>
      <c r="I7" s="156">
        <f>H7</f>
        <v>0.25</v>
      </c>
      <c r="J7" s="156">
        <f t="shared" ref="J7:L7" si="2">I7</f>
        <v>0.25</v>
      </c>
      <c r="K7" s="156">
        <f t="shared" si="2"/>
        <v>0.25</v>
      </c>
      <c r="L7" s="156">
        <f t="shared" si="2"/>
        <v>0.25</v>
      </c>
    </row>
    <row r="8" spans="1:12" x14ac:dyDescent="0.35">
      <c r="B8" s="145" t="s">
        <v>315</v>
      </c>
      <c r="C8" s="145"/>
      <c r="D8" s="145"/>
      <c r="E8" s="145"/>
      <c r="F8" s="145"/>
      <c r="G8" s="145"/>
      <c r="H8" s="164">
        <f>H6*(1-H7)</f>
        <v>5591.61</v>
      </c>
      <c r="I8" s="165">
        <f t="shared" ref="I8:L8" si="3">I6*(1-I7)</f>
        <v>6751.8690749999996</v>
      </c>
      <c r="J8" s="165">
        <f t="shared" si="3"/>
        <v>8152.8819080624999</v>
      </c>
      <c r="K8" s="165">
        <f t="shared" si="3"/>
        <v>9844.6049039854697</v>
      </c>
      <c r="L8" s="165">
        <f t="shared" si="3"/>
        <v>11887.360421562455</v>
      </c>
    </row>
    <row r="9" spans="1:12" x14ac:dyDescent="0.35">
      <c r="B9" s="145" t="s">
        <v>323</v>
      </c>
      <c r="C9" s="145"/>
      <c r="D9" s="145"/>
      <c r="E9" s="145"/>
      <c r="F9" s="145"/>
      <c r="G9" s="145"/>
      <c r="H9" s="167">
        <f>'Intrinsic Growth'!$J$54</f>
        <v>0.50501025247043563</v>
      </c>
      <c r="I9" s="156">
        <f>H9+(($L$9-$H$9)/4)</f>
        <v>0.50160768935282674</v>
      </c>
      <c r="J9" s="156">
        <f t="shared" ref="J9:K9" si="4">I9+(($L$9-$H$9)/4)</f>
        <v>0.49820512623521784</v>
      </c>
      <c r="K9" s="156">
        <f t="shared" si="4"/>
        <v>0.49480256311760895</v>
      </c>
      <c r="L9" s="153">
        <v>0.4914</v>
      </c>
    </row>
    <row r="10" spans="1:12" x14ac:dyDescent="0.35">
      <c r="B10" s="145" t="s">
        <v>324</v>
      </c>
      <c r="C10" s="145"/>
      <c r="D10" s="145"/>
      <c r="E10" s="145"/>
      <c r="F10" s="145"/>
      <c r="G10" s="145"/>
      <c r="H10" s="164">
        <f>H8-(1-H9)</f>
        <v>5591.1150102524698</v>
      </c>
      <c r="I10" s="165">
        <f>I8-(1-I9)</f>
        <v>6751.3706826893522</v>
      </c>
      <c r="J10" s="165">
        <f>J8-(1-J9)</f>
        <v>8152.3801131887349</v>
      </c>
      <c r="K10" s="165">
        <f>K8-(1-K9)</f>
        <v>9844.0997065485881</v>
      </c>
      <c r="L10" s="165">
        <f>L8-(1-L9)</f>
        <v>11886.851821562455</v>
      </c>
    </row>
    <row r="11" spans="1:12" x14ac:dyDescent="0.35">
      <c r="B11" s="145" t="s">
        <v>325</v>
      </c>
      <c r="C11" s="145"/>
      <c r="D11" s="145"/>
      <c r="E11" s="145"/>
      <c r="F11" s="145"/>
      <c r="G11" s="145"/>
      <c r="H11" s="168"/>
      <c r="I11" s="169">
        <v>0.5</v>
      </c>
      <c r="J11" s="145">
        <f>I11+1</f>
        <v>1.5</v>
      </c>
      <c r="K11" s="145">
        <f t="shared" ref="K11:L11" si="5">J11+1</f>
        <v>2.5</v>
      </c>
      <c r="L11" s="145">
        <f t="shared" si="5"/>
        <v>3.5</v>
      </c>
    </row>
    <row r="12" spans="1:12" x14ac:dyDescent="0.35">
      <c r="B12" s="145" t="s">
        <v>326</v>
      </c>
      <c r="C12" s="145"/>
      <c r="D12" s="145"/>
      <c r="E12" s="145"/>
      <c r="F12" s="145"/>
      <c r="G12" s="145"/>
      <c r="H12" s="168"/>
      <c r="I12" s="170">
        <f>1/(1+$E$18)^I11</f>
        <v>0.94346852092697731</v>
      </c>
      <c r="J12" s="170">
        <f t="shared" ref="J12:L12" si="6">1/(1+$E$18)^J11</f>
        <v>0.83981232339927625</v>
      </c>
      <c r="K12" s="170">
        <f t="shared" si="6"/>
        <v>0.74754453687583944</v>
      </c>
      <c r="L12" s="170">
        <f t="shared" si="6"/>
        <v>0.66541394909637364</v>
      </c>
    </row>
    <row r="13" spans="1:12" ht="3" customHeight="1" x14ac:dyDescent="0.35">
      <c r="H13" s="163"/>
    </row>
    <row r="14" spans="1:12" ht="15" thickBot="1" x14ac:dyDescent="0.4">
      <c r="B14" s="149" t="s">
        <v>327</v>
      </c>
      <c r="C14" s="149"/>
      <c r="D14" s="149"/>
      <c r="E14" s="149"/>
      <c r="F14" s="149"/>
      <c r="G14" s="149"/>
      <c r="H14" s="171"/>
      <c r="I14" s="172">
        <f>I10*I12</f>
        <v>6369.7057122266797</v>
      </c>
      <c r="J14" s="172">
        <f t="shared" ref="J14:L14" si="7">J10*J12</f>
        <v>6846.4692840910857</v>
      </c>
      <c r="K14" s="172">
        <f t="shared" si="7"/>
        <v>7358.9029560914514</v>
      </c>
      <c r="L14" s="172">
        <f t="shared" si="7"/>
        <v>7909.6770129092956</v>
      </c>
    </row>
    <row r="16" spans="1:12" outlineLevel="1" x14ac:dyDescent="0.35">
      <c r="A16" t="s">
        <v>57</v>
      </c>
      <c r="B16" s="160" t="s">
        <v>328</v>
      </c>
      <c r="C16" s="160"/>
      <c r="D16" s="160"/>
      <c r="E16" s="161">
        <v>0.20749999999999999</v>
      </c>
      <c r="F16" s="107"/>
    </row>
    <row r="17" spans="1:15" outlineLevel="1" x14ac:dyDescent="0.35">
      <c r="B17" s="160" t="s">
        <v>329</v>
      </c>
      <c r="C17" s="160"/>
      <c r="D17" s="160"/>
      <c r="E17" s="161">
        <v>5.3800000000000001E-2</v>
      </c>
      <c r="F17" s="107"/>
    </row>
    <row r="18" spans="1:15" outlineLevel="1" x14ac:dyDescent="0.35">
      <c r="B18" s="160" t="s">
        <v>263</v>
      </c>
      <c r="C18" s="160"/>
      <c r="D18" s="160"/>
      <c r="E18" s="162">
        <f>WACC!K46</f>
        <v>0.12342781195224184</v>
      </c>
      <c r="F18" s="106"/>
    </row>
    <row r="19" spans="1:15" x14ac:dyDescent="0.35">
      <c r="O19" s="12"/>
    </row>
    <row r="20" spans="1:15" x14ac:dyDescent="0.35">
      <c r="A20" t="s">
        <v>57</v>
      </c>
      <c r="B20" s="133" t="s">
        <v>330</v>
      </c>
      <c r="C20" s="133"/>
      <c r="D20" s="133"/>
      <c r="E20" s="133"/>
      <c r="F20" s="213"/>
      <c r="G20" s="133" t="s">
        <v>386</v>
      </c>
      <c r="H20" s="133"/>
      <c r="I20" s="133"/>
      <c r="J20" s="133"/>
      <c r="K20" s="133"/>
      <c r="L20" s="133"/>
    </row>
    <row r="21" spans="1:15" x14ac:dyDescent="0.35">
      <c r="G21" s="207">
        <f>E32</f>
        <v>148195.79287529903</v>
      </c>
      <c r="H21" s="208">
        <v>0.1</v>
      </c>
      <c r="I21" s="208">
        <v>0.11</v>
      </c>
      <c r="J21" s="209">
        <v>0.1234</v>
      </c>
      <c r="K21" s="208">
        <v>0.13</v>
      </c>
      <c r="L21" s="208">
        <v>0.14000000000000001</v>
      </c>
    </row>
    <row r="22" spans="1:15" x14ac:dyDescent="0.35">
      <c r="B22" t="s">
        <v>331</v>
      </c>
      <c r="E22" s="132">
        <f>L10*(1+E17)</f>
        <v>12526.364449562516</v>
      </c>
      <c r="F22" s="132"/>
      <c r="G22" s="210">
        <v>0.03</v>
      </c>
      <c r="H22" s="204">
        <f t="dataTable" ref="H22:L26" dt2D="1" dtr="1" r1="E23" r2="E24"/>
        <v>147559.292625373</v>
      </c>
      <c r="I22" s="204">
        <v>132674.97541786623</v>
      </c>
      <c r="J22" s="204">
        <v>117726.91381118378</v>
      </c>
      <c r="K22" s="204">
        <v>111836.93132735667</v>
      </c>
      <c r="L22" s="204">
        <v>104259.46074898956</v>
      </c>
    </row>
    <row r="23" spans="1:15" x14ac:dyDescent="0.35">
      <c r="B23" t="s">
        <v>263</v>
      </c>
      <c r="E23" s="106">
        <f>E18</f>
        <v>0.12342781195224184</v>
      </c>
      <c r="F23" s="106"/>
      <c r="G23" s="210">
        <v>0.04</v>
      </c>
      <c r="H23" s="204">
        <v>167405.04890204876</v>
      </c>
      <c r="I23" s="204">
        <v>147559.292625373</v>
      </c>
      <c r="J23" s="204">
        <v>128427.41247375755</v>
      </c>
      <c r="K23" s="204">
        <v>121098.28425647202</v>
      </c>
      <c r="L23" s="204">
        <v>111836.93132735667</v>
      </c>
    </row>
    <row r="24" spans="1:15" x14ac:dyDescent="0.35">
      <c r="B24" t="s">
        <v>332</v>
      </c>
      <c r="E24" s="106">
        <f>E17</f>
        <v>5.3800000000000001E-2</v>
      </c>
      <c r="F24" s="106"/>
      <c r="G24" s="211">
        <v>5.3800000000000001E-2</v>
      </c>
      <c r="H24" s="204">
        <v>208900.72111691625</v>
      </c>
      <c r="I24" s="204">
        <v>176798.23603656079</v>
      </c>
      <c r="J24" s="212">
        <v>148243.62904870667</v>
      </c>
      <c r="K24" s="204">
        <v>137870.81318321635</v>
      </c>
      <c r="L24" s="204">
        <v>125181.01524610522</v>
      </c>
    </row>
    <row r="25" spans="1:15" x14ac:dyDescent="0.35">
      <c r="E25" s="106"/>
      <c r="F25" s="106"/>
      <c r="G25" s="210">
        <v>0.06</v>
      </c>
      <c r="H25" s="204">
        <v>236865.19587041388</v>
      </c>
      <c r="I25" s="204">
        <v>195189.10768939482</v>
      </c>
      <c r="J25" s="204">
        <v>159955.06468462161</v>
      </c>
      <c r="K25" s="204">
        <v>147559.292625373</v>
      </c>
      <c r="L25" s="204">
        <v>132674.9754178662</v>
      </c>
    </row>
    <row r="26" spans="1:15" ht="14" customHeight="1" thickBot="1" x14ac:dyDescent="0.4">
      <c r="B26" s="149" t="s">
        <v>333</v>
      </c>
      <c r="C26" s="149"/>
      <c r="D26" s="149"/>
      <c r="E26" s="172">
        <f>E22/(E23-E24)</f>
        <v>179904.61136642395</v>
      </c>
      <c r="G26" s="210">
        <v>7.0000000000000007E-2</v>
      </c>
      <c r="H26" s="204">
        <v>306325.34283877903</v>
      </c>
      <c r="I26" s="204">
        <v>236865.19587041397</v>
      </c>
      <c r="J26" s="204">
        <v>184574.97287175705</v>
      </c>
      <c r="K26" s="204">
        <v>167405.04890204879</v>
      </c>
      <c r="L26" s="204">
        <v>147559.292625373</v>
      </c>
    </row>
    <row r="27" spans="1:15" x14ac:dyDescent="0.35">
      <c r="B27" s="12"/>
      <c r="C27" s="12"/>
      <c r="D27" s="12"/>
      <c r="E27" s="131"/>
      <c r="F27" s="131"/>
    </row>
    <row r="28" spans="1:15" x14ac:dyDescent="0.35">
      <c r="A28" t="s">
        <v>57</v>
      </c>
      <c r="B28" s="133" t="s">
        <v>338</v>
      </c>
      <c r="C28" s="133"/>
      <c r="D28" s="133"/>
      <c r="E28" s="133"/>
      <c r="F28" s="131"/>
    </row>
    <row r="29" spans="1:15" x14ac:dyDescent="0.35">
      <c r="F29" s="213"/>
    </row>
    <row r="30" spans="1:15" x14ac:dyDescent="0.35">
      <c r="B30" t="s">
        <v>327</v>
      </c>
      <c r="E30" s="132">
        <f>SUM(I14:L14)</f>
        <v>28484.754965318509</v>
      </c>
    </row>
    <row r="31" spans="1:15" x14ac:dyDescent="0.35">
      <c r="B31" t="s">
        <v>334</v>
      </c>
      <c r="E31" s="132">
        <f>E26*L12</f>
        <v>119711.03790998051</v>
      </c>
      <c r="F31" s="132"/>
    </row>
    <row r="32" spans="1:15" x14ac:dyDescent="0.35">
      <c r="B32" s="12" t="s">
        <v>335</v>
      </c>
      <c r="C32" s="12"/>
      <c r="D32" s="12"/>
      <c r="E32" s="131">
        <f>SUM(E30:E31)</f>
        <v>148195.79287529903</v>
      </c>
      <c r="F32" s="132"/>
    </row>
    <row r="33" spans="2:6" x14ac:dyDescent="0.35">
      <c r="E33" s="106"/>
      <c r="F33" s="131"/>
    </row>
    <row r="34" spans="2:6" x14ac:dyDescent="0.35">
      <c r="B34" t="s">
        <v>336</v>
      </c>
      <c r="E34" s="132">
        <f>'Data Sheet'!K68</f>
        <v>5923.41</v>
      </c>
      <c r="F34" s="106"/>
    </row>
    <row r="35" spans="2:6" x14ac:dyDescent="0.35">
      <c r="B35" t="s">
        <v>337</v>
      </c>
      <c r="E35" s="132">
        <f>SUM('Raw FS'!N7:N8)</f>
        <v>1107</v>
      </c>
      <c r="F35" s="132"/>
    </row>
    <row r="36" spans="2:6" x14ac:dyDescent="0.35">
      <c r="B36" s="12" t="s">
        <v>339</v>
      </c>
      <c r="E36" s="132">
        <f>E32+E34-E35</f>
        <v>153012.20287529903</v>
      </c>
      <c r="F36" s="132"/>
    </row>
    <row r="37" spans="2:6" x14ac:dyDescent="0.35">
      <c r="B37" t="s">
        <v>340</v>
      </c>
      <c r="E37" s="132">
        <f>'Data Sheet'!B6</f>
        <v>95.919780091238735</v>
      </c>
      <c r="F37" s="132"/>
    </row>
    <row r="38" spans="2:6" ht="6" customHeight="1" x14ac:dyDescent="0.35">
      <c r="E38" s="132"/>
      <c r="F38" s="132"/>
    </row>
    <row r="39" spans="2:6" ht="14" customHeight="1" thickBot="1" x14ac:dyDescent="0.4">
      <c r="B39" s="149" t="s">
        <v>341</v>
      </c>
      <c r="C39" s="149"/>
      <c r="D39" s="149"/>
      <c r="E39" s="172">
        <f>E36/E37</f>
        <v>1595.210109215785</v>
      </c>
      <c r="F39" s="132"/>
    </row>
    <row r="40" spans="2:6" x14ac:dyDescent="0.35">
      <c r="F40" s="131"/>
    </row>
    <row r="41" spans="2:6" x14ac:dyDescent="0.35">
      <c r="B41" t="s">
        <v>342</v>
      </c>
      <c r="E41">
        <v>3010.85</v>
      </c>
    </row>
    <row r="42" spans="2:6" x14ac:dyDescent="0.35">
      <c r="B42" t="s">
        <v>343</v>
      </c>
      <c r="E42" s="173">
        <f>E41/E39</f>
        <v>1.8874316195752747</v>
      </c>
    </row>
    <row r="43" spans="2:6" x14ac:dyDescent="0.35">
      <c r="F43" s="214"/>
    </row>
  </sheetData>
  <pageMargins left="0.25" right="0.25" top="0.75" bottom="0.75" header="0.3" footer="0.3"/>
  <pageSetup paperSize="9" scale="91" orientation="portrait" r:id="rId1"/>
  <ignoredErrors>
    <ignoredError sqref="E35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0CBD-4D89-4A81-BA6B-6F87915841DA}">
  <sheetPr>
    <pageSetUpPr fitToPage="1"/>
  </sheetPr>
  <dimension ref="A3:S33"/>
  <sheetViews>
    <sheetView showGridLines="0" tabSelected="1" topLeftCell="B1" zoomScale="75" zoomScaleNormal="75" workbookViewId="0">
      <pane ySplit="2" topLeftCell="A23" activePane="bottomLeft" state="frozen"/>
      <selection activeCell="A40" sqref="A40"/>
      <selection pane="bottomLeft" activeCell="A40" sqref="A40"/>
    </sheetView>
  </sheetViews>
  <sheetFormatPr defaultRowHeight="14.5" x14ac:dyDescent="0.35"/>
  <cols>
    <col min="1" max="1" width="1.81640625" customWidth="1"/>
    <col min="2" max="2" width="22.6328125" customWidth="1"/>
    <col min="3" max="3" width="17.08984375" customWidth="1"/>
    <col min="8" max="8" width="9.36328125" customWidth="1"/>
    <col min="10" max="10" width="1.7265625" customWidth="1"/>
    <col min="13" max="13" width="10.7265625" bestFit="1" customWidth="1"/>
    <col min="14" max="14" width="1.7265625" customWidth="1"/>
    <col min="15" max="15" width="11.36328125" customWidth="1"/>
    <col min="16" max="16" width="10.36328125" bestFit="1" customWidth="1"/>
  </cols>
  <sheetData>
    <row r="3" spans="1:19" x14ac:dyDescent="0.35">
      <c r="B3" s="33" t="s">
        <v>344</v>
      </c>
    </row>
    <row r="4" spans="1:19" ht="15.5" x14ac:dyDescent="0.35">
      <c r="B4" s="174" t="s">
        <v>345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</row>
    <row r="6" spans="1:19" x14ac:dyDescent="0.35">
      <c r="B6" s="59"/>
      <c r="C6" s="59"/>
      <c r="D6" s="218" t="s">
        <v>346</v>
      </c>
      <c r="E6" s="218"/>
      <c r="F6" s="218"/>
      <c r="G6" s="218"/>
      <c r="H6" s="218"/>
      <c r="I6" s="218"/>
      <c r="J6" s="133"/>
      <c r="K6" s="218" t="s">
        <v>347</v>
      </c>
      <c r="L6" s="218"/>
      <c r="M6" s="218"/>
      <c r="N6" s="133"/>
      <c r="O6" s="218" t="s">
        <v>348</v>
      </c>
      <c r="P6" s="218"/>
      <c r="Q6" s="218"/>
      <c r="R6" s="176"/>
    </row>
    <row r="7" spans="1:19" ht="43.5" x14ac:dyDescent="0.35">
      <c r="B7" s="59" t="s">
        <v>349</v>
      </c>
      <c r="C7" s="59" t="s">
        <v>350</v>
      </c>
      <c r="D7" s="177" t="s">
        <v>342</v>
      </c>
      <c r="E7" s="177" t="s">
        <v>351</v>
      </c>
      <c r="F7" s="177" t="s">
        <v>352</v>
      </c>
      <c r="G7" s="177" t="s">
        <v>353</v>
      </c>
      <c r="H7" s="177" t="s">
        <v>354</v>
      </c>
      <c r="I7" s="177"/>
      <c r="J7" s="57"/>
      <c r="K7" s="57" t="s">
        <v>355</v>
      </c>
      <c r="L7" s="57" t="s">
        <v>64</v>
      </c>
      <c r="M7" s="57" t="s">
        <v>356</v>
      </c>
      <c r="N7" s="57"/>
      <c r="O7" s="57" t="s">
        <v>357</v>
      </c>
      <c r="P7" s="57" t="s">
        <v>358</v>
      </c>
      <c r="Q7" s="57" t="s">
        <v>359</v>
      </c>
      <c r="R7" s="176"/>
    </row>
    <row r="8" spans="1:19" x14ac:dyDescent="0.35">
      <c r="A8" s="77"/>
      <c r="B8" s="178"/>
      <c r="C8" s="178"/>
      <c r="D8" s="179"/>
      <c r="E8" s="179"/>
      <c r="F8" s="179"/>
      <c r="G8" s="179"/>
      <c r="H8" s="179"/>
      <c r="I8" s="179"/>
      <c r="J8" s="180"/>
      <c r="K8" s="180"/>
      <c r="L8" s="180"/>
      <c r="M8" s="180"/>
      <c r="N8" s="180"/>
      <c r="O8" s="180"/>
      <c r="P8" s="180"/>
      <c r="Q8" s="180"/>
      <c r="R8" s="176"/>
      <c r="S8" s="77"/>
    </row>
    <row r="9" spans="1:19" x14ac:dyDescent="0.35">
      <c r="A9" s="77" t="s">
        <v>57</v>
      </c>
      <c r="B9" s="181" t="str">
        <f>'RV Data'!B3</f>
        <v>Asian Paints</v>
      </c>
      <c r="C9" s="182" t="s">
        <v>371</v>
      </c>
      <c r="D9" s="183">
        <f>'RV Data'!C3</f>
        <v>3001.85</v>
      </c>
      <c r="E9" s="184">
        <f>'RV Data'!D3</f>
        <v>95.92</v>
      </c>
      <c r="F9" s="183">
        <f>E9*D9</f>
        <v>287937.45199999999</v>
      </c>
      <c r="G9" s="183">
        <f>'RV Data'!H3</f>
        <v>1390.3700000000001</v>
      </c>
      <c r="H9" s="183">
        <f>F9+G9</f>
        <v>289327.82199999999</v>
      </c>
      <c r="I9" s="183"/>
      <c r="J9" s="185"/>
      <c r="K9" s="185">
        <f>'RV Data'!J3</f>
        <v>35282.15</v>
      </c>
      <c r="L9" s="185">
        <f>'RV Data'!K3</f>
        <v>8405.94</v>
      </c>
      <c r="M9" s="185">
        <f>'RV Data'!L3</f>
        <v>5169.6400000000003</v>
      </c>
      <c r="N9" s="186"/>
      <c r="O9" s="187">
        <f>$H9/K9</f>
        <v>8.2004022430605836</v>
      </c>
      <c r="P9" s="187">
        <f>$H9/L9</f>
        <v>34.419448865920998</v>
      </c>
      <c r="Q9" s="187">
        <f>F9/M9</f>
        <v>55.697776247475637</v>
      </c>
      <c r="R9" s="176"/>
      <c r="S9" s="77"/>
    </row>
    <row r="10" spans="1:19" x14ac:dyDescent="0.35">
      <c r="A10" s="77"/>
      <c r="B10" s="188" t="str">
        <f>'RV Data'!B4</f>
        <v>Berger Paints</v>
      </c>
      <c r="C10" s="188" t="s">
        <v>372</v>
      </c>
      <c r="D10" s="189">
        <f>'RV Data'!C4</f>
        <v>539.20000000000005</v>
      </c>
      <c r="E10" s="190">
        <f>'RV Data'!D4</f>
        <v>116.58</v>
      </c>
      <c r="F10" s="189">
        <f>E10*D10</f>
        <v>62859.936000000002</v>
      </c>
      <c r="G10" s="189">
        <f>'RV Data'!H4</f>
        <v>302.64</v>
      </c>
      <c r="H10" s="189">
        <f>F10+G10</f>
        <v>63162.576000000001</v>
      </c>
      <c r="I10" s="189"/>
      <c r="J10" s="189"/>
      <c r="K10" s="189">
        <f>'RV Data'!J4</f>
        <v>11260.42</v>
      </c>
      <c r="L10" s="189">
        <f>'RV Data'!K4</f>
        <v>1966.02</v>
      </c>
      <c r="M10" s="189">
        <f>'RV Data'!L4</f>
        <v>1168.94</v>
      </c>
      <c r="N10" s="191"/>
      <c r="O10" s="192">
        <f t="shared" ref="O10:P15" si="0">$H10/K10</f>
        <v>5.6092557826439871</v>
      </c>
      <c r="P10" s="192">
        <f t="shared" si="0"/>
        <v>32.127127903073216</v>
      </c>
      <c r="Q10" s="192">
        <f t="shared" ref="Q10:Q15" si="1">F10/M10</f>
        <v>53.775160401731483</v>
      </c>
    </row>
    <row r="11" spans="1:19" x14ac:dyDescent="0.35">
      <c r="B11" s="188" t="str">
        <f>'RV Data'!B5</f>
        <v>Kansai Nerolac</v>
      </c>
      <c r="C11" s="188" t="s">
        <v>373</v>
      </c>
      <c r="D11" s="189">
        <f>'RV Data'!C5</f>
        <v>283.39999999999998</v>
      </c>
      <c r="E11" s="190">
        <f>'RV Data'!D5</f>
        <v>80.84</v>
      </c>
      <c r="F11" s="189">
        <f t="shared" ref="F11:F15" si="2">E11*D11</f>
        <v>22910.056</v>
      </c>
      <c r="G11" s="189">
        <f>'RV Data'!H5</f>
        <v>16.470000000000027</v>
      </c>
      <c r="H11" s="189">
        <f t="shared" ref="H11:H15" si="3">F11+G11</f>
        <v>22926.526000000002</v>
      </c>
      <c r="I11" s="189"/>
      <c r="J11" s="189"/>
      <c r="K11" s="189">
        <f>'RV Data'!J5</f>
        <v>7777.7</v>
      </c>
      <c r="L11" s="189">
        <f>'RV Data'!K5</f>
        <v>1780.88</v>
      </c>
      <c r="M11" s="189">
        <f>'RV Data'!L5</f>
        <v>666.73</v>
      </c>
      <c r="N11" s="191"/>
      <c r="O11" s="192">
        <f t="shared" si="0"/>
        <v>2.947725677256773</v>
      </c>
      <c r="P11" s="192">
        <f>$H11/L11</f>
        <v>12.873706257580523</v>
      </c>
      <c r="Q11" s="192">
        <f t="shared" si="1"/>
        <v>34.361819627135425</v>
      </c>
    </row>
    <row r="12" spans="1:19" x14ac:dyDescent="0.35">
      <c r="B12" s="188" t="str">
        <f>'RV Data'!B6</f>
        <v>Akzo Nobel</v>
      </c>
      <c r="C12" s="188" t="s">
        <v>374</v>
      </c>
      <c r="D12" s="189">
        <f>'RV Data'!C6</f>
        <v>3735.85</v>
      </c>
      <c r="E12" s="190">
        <f>'RV Data'!D6</f>
        <v>4.55</v>
      </c>
      <c r="F12" s="189">
        <f t="shared" si="2"/>
        <v>16998.1175</v>
      </c>
      <c r="G12" s="189">
        <f>'RV Data'!H6</f>
        <v>-462.80000000000007</v>
      </c>
      <c r="H12" s="189">
        <f t="shared" si="3"/>
        <v>16535.317500000001</v>
      </c>
      <c r="I12" s="189"/>
      <c r="J12" s="189"/>
      <c r="K12" s="189">
        <f>'RV Data'!J6</f>
        <v>3998.7</v>
      </c>
      <c r="L12" s="189">
        <f>'RV Data'!K6</f>
        <v>667.8</v>
      </c>
      <c r="M12" s="189">
        <f>'RV Data'!L6</f>
        <v>431.4</v>
      </c>
      <c r="N12" s="191"/>
      <c r="O12" s="192">
        <f t="shared" si="0"/>
        <v>4.1351733063245559</v>
      </c>
      <c r="P12" s="192">
        <f t="shared" si="0"/>
        <v>24.76088274932615</v>
      </c>
      <c r="Q12" s="192">
        <f t="shared" si="1"/>
        <v>39.40221951784887</v>
      </c>
    </row>
    <row r="13" spans="1:19" x14ac:dyDescent="0.35">
      <c r="B13" s="188" t="str">
        <f>'RV Data'!B7</f>
        <v>Indigo Paints</v>
      </c>
      <c r="C13" s="188" t="s">
        <v>375</v>
      </c>
      <c r="D13" s="189">
        <f>'RV Data'!C7</f>
        <v>1642.95</v>
      </c>
      <c r="E13" s="190">
        <f>'RV Data'!D7</f>
        <v>4.76</v>
      </c>
      <c r="F13" s="189">
        <f t="shared" si="2"/>
        <v>7820.442</v>
      </c>
      <c r="G13" s="189">
        <f>'RV Data'!H7</f>
        <v>-15.830000000000002</v>
      </c>
      <c r="H13" s="189">
        <f t="shared" si="3"/>
        <v>7804.6120000000001</v>
      </c>
      <c r="I13" s="189"/>
      <c r="J13" s="189"/>
      <c r="K13" s="189">
        <f>'RV Data'!J7</f>
        <v>1271.8</v>
      </c>
      <c r="L13" s="189">
        <f>'RV Data'!K7</f>
        <v>252.29</v>
      </c>
      <c r="M13" s="189">
        <f>'RV Data'!L7</f>
        <v>143.82</v>
      </c>
      <c r="N13" s="191"/>
      <c r="O13" s="192">
        <f t="shared" si="0"/>
        <v>6.1366661424752325</v>
      </c>
      <c r="P13" s="192">
        <f>$H13/L13</f>
        <v>30.93508264299021</v>
      </c>
      <c r="Q13" s="192">
        <f t="shared" si="1"/>
        <v>54.376595744680856</v>
      </c>
    </row>
    <row r="14" spans="1:19" x14ac:dyDescent="0.35">
      <c r="B14" s="188" t="str">
        <f>'RV Data'!B8</f>
        <v>Shalimar Paints</v>
      </c>
      <c r="C14" s="188" t="s">
        <v>376</v>
      </c>
      <c r="D14" s="189">
        <f>'RV Data'!C8</f>
        <v>106.36</v>
      </c>
      <c r="E14" s="190">
        <f>'RV Data'!D8</f>
        <v>8.3699999999999992</v>
      </c>
      <c r="F14" s="189">
        <f t="shared" si="2"/>
        <v>890.2331999999999</v>
      </c>
      <c r="G14" s="189">
        <f>'RV Data'!H8</f>
        <v>49.699999999999996</v>
      </c>
      <c r="H14" s="189">
        <f t="shared" si="3"/>
        <v>939.93319999999994</v>
      </c>
      <c r="I14" s="189"/>
      <c r="J14" s="189"/>
      <c r="K14" s="189">
        <f>'RV Data'!J8</f>
        <v>537.61</v>
      </c>
      <c r="L14" s="189">
        <f>'RV Data'!K8</f>
        <v>-46.05</v>
      </c>
      <c r="M14" s="189">
        <f>'RV Data'!L8</f>
        <v>-90.62</v>
      </c>
      <c r="N14" s="191"/>
      <c r="O14" s="192">
        <f>$H14/K14</f>
        <v>1.7483551273227802</v>
      </c>
      <c r="P14" s="192">
        <f t="shared" si="0"/>
        <v>-20.4111444082519</v>
      </c>
      <c r="Q14" s="192">
        <f t="shared" si="1"/>
        <v>-9.8238048995806651</v>
      </c>
    </row>
    <row r="15" spans="1:19" x14ac:dyDescent="0.35">
      <c r="B15" s="188" t="str">
        <f>'RV Data'!B9</f>
        <v>Retina Paints</v>
      </c>
      <c r="C15" s="188" t="s">
        <v>377</v>
      </c>
      <c r="D15" s="189">
        <f>'RV Data'!C9</f>
        <v>72.45</v>
      </c>
      <c r="E15" s="190">
        <f>'RV Data'!D9</f>
        <v>1.39</v>
      </c>
      <c r="F15" s="189">
        <f t="shared" si="2"/>
        <v>100.7055</v>
      </c>
      <c r="G15" s="189">
        <f>'RV Data'!H9</f>
        <v>6.5299999999999994</v>
      </c>
      <c r="H15" s="189">
        <f t="shared" si="3"/>
        <v>107.2355</v>
      </c>
      <c r="I15" s="189"/>
      <c r="J15" s="189"/>
      <c r="K15" s="189">
        <f>'RV Data'!J9</f>
        <v>11.66</v>
      </c>
      <c r="L15" s="189">
        <f>'RV Data'!K9</f>
        <v>2.11</v>
      </c>
      <c r="M15" s="189">
        <f>'RV Data'!L9</f>
        <v>0.74</v>
      </c>
      <c r="N15" s="191"/>
      <c r="O15" s="192">
        <f t="shared" si="0"/>
        <v>9.1968696397941674</v>
      </c>
      <c r="P15" s="192">
        <f>$H15/L15</f>
        <v>50.822511848341236</v>
      </c>
      <c r="Q15" s="192">
        <f t="shared" si="1"/>
        <v>136.0885135135135</v>
      </c>
    </row>
    <row r="17" spans="1:17" x14ac:dyDescent="0.35">
      <c r="A17" t="s">
        <v>57</v>
      </c>
      <c r="B17" s="193" t="s">
        <v>360</v>
      </c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4">
        <f>MAX(O9:O15)</f>
        <v>9.1968696397941674</v>
      </c>
      <c r="P17" s="194">
        <f>MAX(P9:P15)</f>
        <v>50.822511848341236</v>
      </c>
      <c r="Q17" s="194">
        <f>MAX(Q9:Q15)</f>
        <v>136.0885135135135</v>
      </c>
    </row>
    <row r="18" spans="1:17" x14ac:dyDescent="0.35">
      <c r="B18" s="193" t="s">
        <v>361</v>
      </c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4">
        <f>QUARTILE(O9:O15,)</f>
        <v>1.7483551273227802</v>
      </c>
      <c r="P18" s="194">
        <f>QUARTILE(P9:P15,)</f>
        <v>-20.4111444082519</v>
      </c>
      <c r="Q18" s="194">
        <f>QUARTILE(Q9:Q15,)</f>
        <v>-9.8238048995806651</v>
      </c>
    </row>
    <row r="19" spans="1:17" x14ac:dyDescent="0.35">
      <c r="B19" s="195" t="s">
        <v>237</v>
      </c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6">
        <f>AVERAGE(O9:O15)</f>
        <v>5.4249211312682979</v>
      </c>
      <c r="P19" s="196">
        <f>AVERAGE(P9:P15)</f>
        <v>23.646802265568631</v>
      </c>
      <c r="Q19" s="196">
        <f>AVERAGE(Q9:Q15)</f>
        <v>51.982611450400732</v>
      </c>
    </row>
    <row r="20" spans="1:17" x14ac:dyDescent="0.35">
      <c r="B20" s="195" t="s">
        <v>158</v>
      </c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6">
        <f>MEDIAN(O9:O15)</f>
        <v>5.6092557826439871</v>
      </c>
      <c r="P20" s="196">
        <f>MEDIAN(P9:P15)</f>
        <v>30.93508264299021</v>
      </c>
      <c r="Q20" s="196">
        <f>MEDIAN(Q9:Q15)</f>
        <v>53.775160401731483</v>
      </c>
    </row>
    <row r="21" spans="1:17" x14ac:dyDescent="0.35">
      <c r="B21" s="193" t="s">
        <v>362</v>
      </c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4">
        <f>QUARTILE(O9:O15,1)</f>
        <v>3.5414494917906643</v>
      </c>
      <c r="P21" s="194">
        <f>QUARTILE(P9:P15,1)</f>
        <v>18.817294503453336</v>
      </c>
      <c r="Q21" s="194">
        <f>QUARTILE(Q9:Q15,1)</f>
        <v>36.882019572492148</v>
      </c>
    </row>
    <row r="22" spans="1:17" x14ac:dyDescent="0.35">
      <c r="B22" s="193" t="s">
        <v>363</v>
      </c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4">
        <f>MIN(O9:O15)</f>
        <v>1.7483551273227802</v>
      </c>
      <c r="P22" s="194">
        <f>MIN(P9:P15)</f>
        <v>-20.4111444082519</v>
      </c>
      <c r="Q22" s="194">
        <f>MIN(Q9:Q15)</f>
        <v>-9.8238048995806651</v>
      </c>
    </row>
    <row r="24" spans="1:17" x14ac:dyDescent="0.35">
      <c r="A24" t="s">
        <v>57</v>
      </c>
      <c r="B24" s="197" t="s">
        <v>370</v>
      </c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57" t="s">
        <v>357</v>
      </c>
      <c r="P24" s="57" t="s">
        <v>358</v>
      </c>
      <c r="Q24" s="57" t="s">
        <v>359</v>
      </c>
    </row>
    <row r="26" spans="1:17" x14ac:dyDescent="0.35">
      <c r="B26" s="145" t="s">
        <v>364</v>
      </c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99">
        <f>O$20*K9</f>
        <v>197906.60391161256</v>
      </c>
      <c r="P26" s="199">
        <f>P$20*L9</f>
        <v>260038.44859201714</v>
      </c>
      <c r="Q26" s="199">
        <f>Q27+Q28</f>
        <v>279388.59021920717</v>
      </c>
    </row>
    <row r="27" spans="1:17" x14ac:dyDescent="0.35">
      <c r="B27" s="145" t="s">
        <v>353</v>
      </c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99">
        <f>$G$9</f>
        <v>1390.3700000000001</v>
      </c>
      <c r="P27" s="199">
        <f t="shared" ref="P27:Q27" si="4">$G$9</f>
        <v>1390.3700000000001</v>
      </c>
      <c r="Q27" s="199">
        <f t="shared" si="4"/>
        <v>1390.3700000000001</v>
      </c>
    </row>
    <row r="28" spans="1:17" x14ac:dyDescent="0.35">
      <c r="B28" s="145" t="s">
        <v>365</v>
      </c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99">
        <f>O26-O27</f>
        <v>196516.23391161257</v>
      </c>
      <c r="P28" s="199">
        <f t="shared" ref="P28" si="5">P26-P27</f>
        <v>258648.07859201715</v>
      </c>
      <c r="Q28" s="199">
        <f>Q20*M9</f>
        <v>277998.22021920717</v>
      </c>
    </row>
    <row r="29" spans="1:17" x14ac:dyDescent="0.35">
      <c r="B29" s="145" t="s">
        <v>351</v>
      </c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200">
        <f>$E$9</f>
        <v>95.92</v>
      </c>
      <c r="P29" s="200">
        <f t="shared" ref="P29:Q29" si="6">$E$9</f>
        <v>95.92</v>
      </c>
      <c r="Q29" s="200">
        <f t="shared" si="6"/>
        <v>95.92</v>
      </c>
    </row>
    <row r="30" spans="1:17" x14ac:dyDescent="0.35">
      <c r="O30" s="201"/>
      <c r="P30" s="201"/>
      <c r="Q30" s="201"/>
    </row>
    <row r="31" spans="1:17" x14ac:dyDescent="0.35">
      <c r="B31" s="202" t="s">
        <v>366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3">
        <f>O28/O29</f>
        <v>2048.7513960760275</v>
      </c>
      <c r="P31" s="203">
        <f t="shared" ref="P31:Q31" si="7">P28/P29</f>
        <v>2696.4979002503874</v>
      </c>
      <c r="Q31" s="203">
        <f t="shared" si="7"/>
        <v>2898.2299856047453</v>
      </c>
    </row>
    <row r="33" spans="15:17" x14ac:dyDescent="0.35">
      <c r="O33" t="str">
        <f>IF(O31&gt;$D$9,"Undervalued","Overvalued")</f>
        <v>Overvalued</v>
      </c>
      <c r="P33" t="str">
        <f t="shared" ref="P33:Q33" si="8">IF(P31&gt;$D$9,"Undervalued","Overvalued")</f>
        <v>Overvalued</v>
      </c>
      <c r="Q33" t="str">
        <f t="shared" si="8"/>
        <v>Overvalued</v>
      </c>
    </row>
  </sheetData>
  <mergeCells count="3">
    <mergeCell ref="D6:I6"/>
    <mergeCell ref="K6:M6"/>
    <mergeCell ref="O6:Q6"/>
  </mergeCells>
  <pageMargins left="0.25" right="0.25" top="0.75" bottom="0.75" header="0.3" footer="0.3"/>
  <pageSetup paperSize="9" scale="6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2054-141F-4984-BD61-22305F9F6BBD}">
  <sheetPr>
    <pageSetUpPr fitToPage="1"/>
  </sheetPr>
  <dimension ref="A1:Q9"/>
  <sheetViews>
    <sheetView showGridLines="0" tabSelected="1" zoomScale="75" zoomScaleNormal="75" workbookViewId="0">
      <selection activeCell="A40" sqref="A40"/>
    </sheetView>
  </sheetViews>
  <sheetFormatPr defaultRowHeight="14.5" x14ac:dyDescent="0.35"/>
  <cols>
    <col min="1" max="1" width="1.81640625" customWidth="1"/>
  </cols>
  <sheetData>
    <row r="1" spans="1:17" x14ac:dyDescent="0.35">
      <c r="A1" s="23"/>
    </row>
    <row r="2" spans="1:17" x14ac:dyDescent="0.35">
      <c r="K2" s="222"/>
      <c r="L2" s="222"/>
      <c r="M2" s="222"/>
      <c r="N2" s="222"/>
      <c r="O2" s="222"/>
      <c r="P2" s="222"/>
      <c r="Q2" s="222"/>
    </row>
    <row r="3" spans="1:17" x14ac:dyDescent="0.35">
      <c r="K3" s="222"/>
      <c r="L3" s="223" t="s">
        <v>385</v>
      </c>
      <c r="M3" s="223"/>
      <c r="N3" s="223"/>
      <c r="O3" s="223"/>
      <c r="P3" s="223"/>
      <c r="Q3" s="223"/>
    </row>
    <row r="4" spans="1:17" x14ac:dyDescent="0.35">
      <c r="A4" t="s">
        <v>57</v>
      </c>
      <c r="K4" s="222"/>
      <c r="L4" s="222"/>
      <c r="M4" s="222"/>
      <c r="N4" s="222" t="s">
        <v>383</v>
      </c>
      <c r="O4" s="224" t="s">
        <v>363</v>
      </c>
      <c r="P4" s="222" t="s">
        <v>384</v>
      </c>
      <c r="Q4" s="224" t="s">
        <v>360</v>
      </c>
    </row>
    <row r="5" spans="1:17" x14ac:dyDescent="0.35">
      <c r="K5" s="222"/>
      <c r="L5" s="222" t="s">
        <v>378</v>
      </c>
      <c r="M5" s="222"/>
      <c r="N5" s="222">
        <v>2048.8000000000002</v>
      </c>
      <c r="O5" s="222">
        <v>2048.8000000000002</v>
      </c>
      <c r="P5" s="222">
        <v>2898.2299856047453</v>
      </c>
      <c r="Q5" s="222">
        <v>2898.2299856047453</v>
      </c>
    </row>
    <row r="6" spans="1:17" x14ac:dyDescent="0.35">
      <c r="K6" s="222"/>
      <c r="L6" s="222" t="s">
        <v>379</v>
      </c>
      <c r="M6" s="222"/>
      <c r="N6" s="225">
        <v>1137.1572228922623</v>
      </c>
      <c r="O6" s="225">
        <v>1137.1572228922623</v>
      </c>
      <c r="P6" s="225">
        <v>1588.5743532818099</v>
      </c>
      <c r="Q6" s="225">
        <v>1588.5743532818099</v>
      </c>
    </row>
    <row r="7" spans="1:17" x14ac:dyDescent="0.35">
      <c r="K7" s="222"/>
      <c r="L7" s="222" t="s">
        <v>380</v>
      </c>
      <c r="M7" s="222"/>
      <c r="N7" s="225">
        <v>1277.5605166590331</v>
      </c>
      <c r="O7" s="225">
        <v>1277.5605166590331</v>
      </c>
      <c r="P7" s="225">
        <v>1974.476825234673</v>
      </c>
      <c r="Q7" s="225">
        <v>1974.476825234673</v>
      </c>
    </row>
    <row r="8" spans="1:17" x14ac:dyDescent="0.35">
      <c r="K8" s="222"/>
      <c r="L8" s="222" t="s">
        <v>381</v>
      </c>
      <c r="M8" s="222"/>
      <c r="N8" s="225">
        <v>1588.5743532818099</v>
      </c>
      <c r="O8" s="225">
        <v>1588.5743532818099</v>
      </c>
      <c r="P8" s="225">
        <v>3243.7704980434846</v>
      </c>
      <c r="Q8" s="225">
        <v>3243.7704980434846</v>
      </c>
    </row>
    <row r="9" spans="1:17" x14ac:dyDescent="0.35">
      <c r="K9" s="222"/>
      <c r="L9" s="222" t="s">
        <v>382</v>
      </c>
      <c r="M9" s="222"/>
      <c r="N9" s="226">
        <v>2422.9499999999998</v>
      </c>
      <c r="O9" s="226">
        <v>2422.9499999999998</v>
      </c>
      <c r="P9" s="226">
        <v>3422.95</v>
      </c>
      <c r="Q9" s="226">
        <v>3422.95</v>
      </c>
    </row>
  </sheetData>
  <mergeCells count="1">
    <mergeCell ref="L3:Q3"/>
  </mergeCells>
  <pageMargins left="0.25" right="0.25" top="0.75" bottom="0.75" header="0.3" footer="0.3"/>
  <pageSetup paperSize="9" scale="7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A3D6-18AE-48DC-874A-DC9D4140B509}">
  <sheetPr>
    <tabColor theme="8" tint="-0.499984740745262"/>
  </sheetPr>
  <dimension ref="A1"/>
  <sheetViews>
    <sheetView workbookViewId="0"/>
  </sheetViews>
  <sheetFormatPr defaultRowHeight="14.5" x14ac:dyDescent="0.35"/>
  <sheetData/>
  <sheetProtection algorithmName="SHA-512" hashValue="WmsF+ioUdJMk7vQ7n3Sf+v2NkqIYkZC1ErqBUGgyDnS3iAq5znwupoOrnoNI8xhjPU6UechIaFafQF+xiRiKYA==" saltValue="zDrulaamxkHAVhIBAVDfM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24CB-50E9-47E3-84AD-F290F655A23E}">
  <sheetPr>
    <tabColor rgb="FFFF0000"/>
  </sheetPr>
  <dimension ref="A1:K93"/>
  <sheetViews>
    <sheetView zoomScale="75" zoomScaleNormal="7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A33" sqref="A33"/>
    </sheetView>
  </sheetViews>
  <sheetFormatPr defaultColWidth="8.81640625" defaultRowHeight="14.5" x14ac:dyDescent="0.35"/>
  <cols>
    <col min="1" max="1" width="27.6328125" style="1" bestFit="1" customWidth="1"/>
    <col min="2" max="11" width="13.453125" style="1" bestFit="1" customWidth="1"/>
    <col min="12" max="16384" width="8.81640625" style="1"/>
  </cols>
  <sheetData>
    <row r="1" spans="1:11" s="3" customFormat="1" x14ac:dyDescent="0.35">
      <c r="A1" s="3" t="s">
        <v>53</v>
      </c>
      <c r="B1" s="3" t="s">
        <v>52</v>
      </c>
      <c r="E1" s="219" t="str">
        <f>IF(B2&lt;&gt;B3, "A NEW VERSION OF THE WORKSHEET IS AVAILABLE", "")</f>
        <v/>
      </c>
      <c r="F1" s="219"/>
      <c r="G1" s="219"/>
      <c r="H1" s="219"/>
      <c r="I1" s="219"/>
      <c r="J1" s="219"/>
      <c r="K1" s="219"/>
    </row>
    <row r="2" spans="1:11" x14ac:dyDescent="0.35">
      <c r="A2" s="3" t="s">
        <v>51</v>
      </c>
      <c r="B2" s="1">
        <v>2.1</v>
      </c>
      <c r="E2" s="220" t="s">
        <v>50</v>
      </c>
      <c r="F2" s="220"/>
      <c r="G2" s="220"/>
      <c r="H2" s="220"/>
      <c r="I2" s="220"/>
      <c r="J2" s="220"/>
      <c r="K2" s="220"/>
    </row>
    <row r="3" spans="1:11" x14ac:dyDescent="0.35">
      <c r="A3" s="3" t="s">
        <v>49</v>
      </c>
      <c r="B3" s="1">
        <v>2.1</v>
      </c>
    </row>
    <row r="4" spans="1:11" x14ac:dyDescent="0.35">
      <c r="A4" s="3"/>
    </row>
    <row r="5" spans="1:11" x14ac:dyDescent="0.35">
      <c r="A5" s="3" t="s">
        <v>48</v>
      </c>
    </row>
    <row r="6" spans="1:11" x14ac:dyDescent="0.35">
      <c r="A6" s="1" t="s">
        <v>47</v>
      </c>
      <c r="B6" s="1">
        <f>IF(B9&gt;0, B9/B8, 0)</f>
        <v>95.919780091238735</v>
      </c>
    </row>
    <row r="7" spans="1:11" x14ac:dyDescent="0.35">
      <c r="A7" s="1" t="s">
        <v>46</v>
      </c>
      <c r="B7">
        <v>1</v>
      </c>
    </row>
    <row r="8" spans="1:11" x14ac:dyDescent="0.35">
      <c r="A8" s="1" t="s">
        <v>45</v>
      </c>
      <c r="B8">
        <v>2992.15</v>
      </c>
    </row>
    <row r="9" spans="1:11" x14ac:dyDescent="0.35">
      <c r="A9" s="1" t="s">
        <v>44</v>
      </c>
      <c r="B9">
        <v>287006.37</v>
      </c>
    </row>
    <row r="15" spans="1:11" x14ac:dyDescent="0.35">
      <c r="A15" s="3" t="s">
        <v>43</v>
      </c>
    </row>
    <row r="16" spans="1:11" s="5" customFormat="1" x14ac:dyDescent="0.35">
      <c r="A16" s="7" t="s">
        <v>7</v>
      </c>
      <c r="B16" s="6">
        <v>42094</v>
      </c>
      <c r="C16" s="6">
        <v>42460</v>
      </c>
      <c r="D16" s="6">
        <v>42825</v>
      </c>
      <c r="E16" s="6">
        <v>43190</v>
      </c>
      <c r="F16" s="6">
        <v>43555</v>
      </c>
      <c r="G16" s="6">
        <v>43921</v>
      </c>
      <c r="H16" s="6">
        <v>44286</v>
      </c>
      <c r="I16" s="6">
        <v>44651</v>
      </c>
      <c r="J16" s="6">
        <v>45016</v>
      </c>
      <c r="K16" s="6">
        <v>45382</v>
      </c>
    </row>
    <row r="17" spans="1:11" s="4" customFormat="1" x14ac:dyDescent="0.35">
      <c r="A17" s="4" t="s">
        <v>33</v>
      </c>
      <c r="B17">
        <v>13615.26</v>
      </c>
      <c r="C17">
        <v>14271.49</v>
      </c>
      <c r="D17">
        <v>15061.99</v>
      </c>
      <c r="E17">
        <v>16824.55</v>
      </c>
      <c r="F17">
        <v>19240.13</v>
      </c>
      <c r="G17">
        <v>20211.25</v>
      </c>
      <c r="H17">
        <v>21712.79</v>
      </c>
      <c r="I17">
        <v>29101.279999999999</v>
      </c>
      <c r="J17">
        <v>34488.589999999997</v>
      </c>
      <c r="K17">
        <v>35494.730000000003</v>
      </c>
    </row>
    <row r="18" spans="1:11" s="4" customFormat="1" x14ac:dyDescent="0.35">
      <c r="A18" s="1" t="s">
        <v>42</v>
      </c>
      <c r="B18">
        <v>6874.83</v>
      </c>
      <c r="C18">
        <v>6569.83</v>
      </c>
      <c r="D18">
        <v>7452.6</v>
      </c>
      <c r="E18">
        <v>8128.17</v>
      </c>
      <c r="F18">
        <v>9974.4</v>
      </c>
      <c r="G18">
        <v>9981.99</v>
      </c>
      <c r="H18">
        <v>10425.549999999999</v>
      </c>
      <c r="I18">
        <v>17123.25</v>
      </c>
      <c r="J18">
        <v>18985.53</v>
      </c>
      <c r="K18">
        <v>17410.84</v>
      </c>
    </row>
    <row r="19" spans="1:11" s="4" customFormat="1" x14ac:dyDescent="0.35">
      <c r="A19" s="1" t="s">
        <v>41</v>
      </c>
      <c r="B19">
        <v>148.07</v>
      </c>
      <c r="C19">
        <v>-199.33</v>
      </c>
      <c r="D19">
        <v>528.6</v>
      </c>
      <c r="E19">
        <v>-142.13</v>
      </c>
      <c r="F19">
        <v>293.26</v>
      </c>
      <c r="G19">
        <v>239.15</v>
      </c>
      <c r="H19">
        <v>92.45</v>
      </c>
      <c r="I19">
        <v>1324.97</v>
      </c>
      <c r="J19">
        <v>309.73</v>
      </c>
      <c r="K19">
        <v>-363.8</v>
      </c>
    </row>
    <row r="20" spans="1:11" s="4" customFormat="1" x14ac:dyDescent="0.35">
      <c r="A20" s="1" t="s">
        <v>40</v>
      </c>
      <c r="B20">
        <v>130.68</v>
      </c>
      <c r="C20">
        <v>114.48</v>
      </c>
      <c r="D20">
        <v>106.02</v>
      </c>
      <c r="E20">
        <v>110.3</v>
      </c>
      <c r="F20">
        <v>119.63</v>
      </c>
      <c r="G20">
        <v>97.79</v>
      </c>
      <c r="H20">
        <v>86.05</v>
      </c>
      <c r="I20">
        <v>117.23</v>
      </c>
      <c r="J20">
        <v>138.29</v>
      </c>
      <c r="K20">
        <v>133.25</v>
      </c>
    </row>
    <row r="21" spans="1:11" s="4" customFormat="1" x14ac:dyDescent="0.35">
      <c r="A21" s="1" t="s">
        <v>39</v>
      </c>
      <c r="B21">
        <v>1504.47</v>
      </c>
      <c r="C21">
        <v>1535.22</v>
      </c>
      <c r="D21">
        <v>1662.75</v>
      </c>
      <c r="E21">
        <v>1691.68</v>
      </c>
      <c r="F21">
        <v>1862.35</v>
      </c>
      <c r="G21">
        <v>1946.12</v>
      </c>
      <c r="H21">
        <v>2068.31</v>
      </c>
      <c r="I21">
        <v>2880.45</v>
      </c>
      <c r="J21">
        <v>2916.2</v>
      </c>
      <c r="K21">
        <v>2767.18</v>
      </c>
    </row>
    <row r="22" spans="1:11" s="4" customFormat="1" x14ac:dyDescent="0.35">
      <c r="A22" s="1" t="s">
        <v>38</v>
      </c>
      <c r="B22">
        <v>936.86</v>
      </c>
      <c r="C22">
        <v>994.98</v>
      </c>
      <c r="D22">
        <v>1039.8900000000001</v>
      </c>
      <c r="E22">
        <v>1121.8900000000001</v>
      </c>
      <c r="F22">
        <v>1242.69</v>
      </c>
      <c r="G22">
        <v>1371.27</v>
      </c>
      <c r="H22">
        <v>1547.61</v>
      </c>
      <c r="I22">
        <v>1794.61</v>
      </c>
      <c r="J22">
        <v>2036.41</v>
      </c>
      <c r="K22">
        <v>2334.92</v>
      </c>
    </row>
    <row r="23" spans="1:11" s="4" customFormat="1" x14ac:dyDescent="0.35">
      <c r="A23" s="1" t="s">
        <v>37</v>
      </c>
      <c r="B23">
        <v>3351.66</v>
      </c>
      <c r="C23">
        <v>3912.3</v>
      </c>
      <c r="D23">
        <v>4364.04</v>
      </c>
      <c r="E23">
        <v>2254.92</v>
      </c>
      <c r="F23">
        <v>2366.87</v>
      </c>
      <c r="G23">
        <v>2311.5100000000002</v>
      </c>
      <c r="H23">
        <v>2245.69</v>
      </c>
      <c r="I23">
        <v>2941.98</v>
      </c>
      <c r="J23">
        <v>3500.84</v>
      </c>
      <c r="K23">
        <v>3811.86</v>
      </c>
    </row>
    <row r="24" spans="1:11" s="4" customFormat="1" x14ac:dyDescent="0.35">
      <c r="A24" s="1" t="s">
        <v>36</v>
      </c>
      <c r="B24">
        <v>-1278.06</v>
      </c>
      <c r="C24">
        <v>-1779.69</v>
      </c>
      <c r="D24">
        <v>-2028.47</v>
      </c>
      <c r="E24">
        <v>171.45</v>
      </c>
      <c r="F24">
        <v>202.51</v>
      </c>
      <c r="G24">
        <v>584.9</v>
      </c>
      <c r="H24">
        <v>576.42999999999995</v>
      </c>
      <c r="I24">
        <v>765.12</v>
      </c>
      <c r="J24">
        <v>961.21</v>
      </c>
      <c r="K24">
        <v>1087.9000000000001</v>
      </c>
    </row>
    <row r="25" spans="1:11" s="4" customFormat="1" x14ac:dyDescent="0.35">
      <c r="A25" s="4" t="s">
        <v>31</v>
      </c>
      <c r="B25">
        <v>142.13999999999999</v>
      </c>
      <c r="C25">
        <v>213.39</v>
      </c>
      <c r="D25">
        <v>337.9</v>
      </c>
      <c r="E25">
        <v>336.41</v>
      </c>
      <c r="F25">
        <v>273.77</v>
      </c>
      <c r="G25">
        <v>355.05</v>
      </c>
      <c r="H25">
        <v>331.65</v>
      </c>
      <c r="I25">
        <v>295.88</v>
      </c>
      <c r="J25">
        <v>431.46</v>
      </c>
      <c r="K25">
        <v>820.96</v>
      </c>
    </row>
    <row r="26" spans="1:11" s="4" customFormat="1" x14ac:dyDescent="0.35">
      <c r="A26" s="4" t="s">
        <v>30</v>
      </c>
      <c r="B26">
        <v>265.92</v>
      </c>
      <c r="C26">
        <v>275.58</v>
      </c>
      <c r="D26">
        <v>334.79</v>
      </c>
      <c r="E26">
        <v>360.47</v>
      </c>
      <c r="F26">
        <v>622.14</v>
      </c>
      <c r="G26">
        <v>780.5</v>
      </c>
      <c r="H26">
        <v>791.27</v>
      </c>
      <c r="I26">
        <v>816.36</v>
      </c>
      <c r="J26">
        <v>858.02</v>
      </c>
      <c r="K26">
        <v>853</v>
      </c>
    </row>
    <row r="27" spans="1:11" s="4" customFormat="1" x14ac:dyDescent="0.35">
      <c r="A27" s="4" t="s">
        <v>29</v>
      </c>
      <c r="B27">
        <v>42.24</v>
      </c>
      <c r="C27">
        <v>49</v>
      </c>
      <c r="D27">
        <v>37.33</v>
      </c>
      <c r="E27">
        <v>41.47</v>
      </c>
      <c r="F27">
        <v>110.47</v>
      </c>
      <c r="G27">
        <v>102.33</v>
      </c>
      <c r="H27">
        <v>91.63</v>
      </c>
      <c r="I27">
        <v>95.41</v>
      </c>
      <c r="J27">
        <v>144.44999999999999</v>
      </c>
      <c r="K27">
        <v>205.17</v>
      </c>
    </row>
    <row r="28" spans="1:11" s="4" customFormat="1" x14ac:dyDescent="0.35">
      <c r="A28" s="4" t="s">
        <v>28</v>
      </c>
      <c r="B28">
        <v>2076.87</v>
      </c>
      <c r="C28">
        <v>2613.85</v>
      </c>
      <c r="D28">
        <v>2959.54</v>
      </c>
      <c r="E28">
        <v>3138.48</v>
      </c>
      <c r="F28">
        <v>3306.1</v>
      </c>
      <c r="G28">
        <v>3629.04</v>
      </c>
      <c r="H28">
        <v>4304.3500000000004</v>
      </c>
      <c r="I28">
        <v>4187.72</v>
      </c>
      <c r="J28">
        <v>5688.83</v>
      </c>
      <c r="K28">
        <v>7347.77</v>
      </c>
    </row>
    <row r="29" spans="1:11" s="4" customFormat="1" x14ac:dyDescent="0.35">
      <c r="A29" s="4" t="s">
        <v>27</v>
      </c>
      <c r="B29">
        <v>649.54</v>
      </c>
      <c r="C29">
        <v>844.49</v>
      </c>
      <c r="D29">
        <v>943.29</v>
      </c>
      <c r="E29">
        <v>1040.96</v>
      </c>
      <c r="F29">
        <v>1098.06</v>
      </c>
      <c r="G29">
        <v>854.85</v>
      </c>
      <c r="H29">
        <v>1097.5999999999999</v>
      </c>
      <c r="I29">
        <v>1102.9100000000001</v>
      </c>
      <c r="J29">
        <v>1493.5</v>
      </c>
      <c r="K29">
        <v>1790.08</v>
      </c>
    </row>
    <row r="30" spans="1:11" s="4" customFormat="1" x14ac:dyDescent="0.35">
      <c r="A30" s="4" t="s">
        <v>26</v>
      </c>
      <c r="B30">
        <v>1395.15</v>
      </c>
      <c r="C30">
        <v>1745.16</v>
      </c>
      <c r="D30">
        <v>1939.43</v>
      </c>
      <c r="E30">
        <v>2038.93</v>
      </c>
      <c r="F30">
        <v>2155.92</v>
      </c>
      <c r="G30">
        <v>2705.17</v>
      </c>
      <c r="H30">
        <v>3139.29</v>
      </c>
      <c r="I30">
        <v>3030.57</v>
      </c>
      <c r="J30">
        <v>4106.45</v>
      </c>
      <c r="K30">
        <v>5460.23</v>
      </c>
    </row>
    <row r="31" spans="1:11" s="4" customFormat="1" x14ac:dyDescent="0.35">
      <c r="A31" s="4" t="s">
        <v>35</v>
      </c>
      <c r="B31">
        <v>585.11</v>
      </c>
      <c r="C31">
        <v>719.4</v>
      </c>
      <c r="D31">
        <v>987.98</v>
      </c>
      <c r="E31">
        <v>834.5</v>
      </c>
      <c r="F31">
        <v>1007.16</v>
      </c>
      <c r="G31">
        <v>1151.04</v>
      </c>
      <c r="H31">
        <v>1712.17</v>
      </c>
      <c r="I31">
        <v>1836.87</v>
      </c>
      <c r="J31">
        <v>2460.35</v>
      </c>
      <c r="K31">
        <v>3194.14</v>
      </c>
    </row>
    <row r="32" spans="1:11" s="4" customFormat="1" x14ac:dyDescent="0.35"/>
    <row r="33" spans="1:11" x14ac:dyDescent="0.35">
      <c r="A33" s="4" t="s">
        <v>64</v>
      </c>
      <c r="B33" s="1">
        <f>B26+B27+B29+B30</f>
        <v>2352.8500000000004</v>
      </c>
      <c r="C33" s="1">
        <f t="shared" ref="C33:K33" si="0">C26+C27+C29+C30</f>
        <v>2914.23</v>
      </c>
      <c r="D33" s="1">
        <f t="shared" si="0"/>
        <v>3254.84</v>
      </c>
      <c r="E33" s="1">
        <f t="shared" si="0"/>
        <v>3481.83</v>
      </c>
      <c r="F33" s="1">
        <f t="shared" si="0"/>
        <v>3986.59</v>
      </c>
      <c r="G33" s="1">
        <f t="shared" si="0"/>
        <v>4442.8500000000004</v>
      </c>
      <c r="H33" s="1">
        <f t="shared" si="0"/>
        <v>5119.79</v>
      </c>
      <c r="I33" s="1">
        <f t="shared" si="0"/>
        <v>5045.25</v>
      </c>
      <c r="J33" s="1">
        <f t="shared" si="0"/>
        <v>6602.42</v>
      </c>
      <c r="K33" s="1">
        <f t="shared" si="0"/>
        <v>8308.48</v>
      </c>
    </row>
    <row r="34" spans="1:11" x14ac:dyDescent="0.35">
      <c r="A34" s="4"/>
    </row>
    <row r="35" spans="1:11" x14ac:dyDescent="0.35">
      <c r="A35" s="4"/>
    </row>
    <row r="36" spans="1:11" x14ac:dyDescent="0.35">
      <c r="A36" s="4"/>
    </row>
    <row r="37" spans="1:11" x14ac:dyDescent="0.35">
      <c r="A37" s="4"/>
    </row>
    <row r="38" spans="1:11" x14ac:dyDescent="0.35">
      <c r="A38" s="4"/>
    </row>
    <row r="39" spans="1:11" x14ac:dyDescent="0.35">
      <c r="A39" s="4"/>
    </row>
    <row r="40" spans="1:11" x14ac:dyDescent="0.35">
      <c r="A40" s="3" t="s">
        <v>34</v>
      </c>
    </row>
    <row r="41" spans="1:11" s="5" customFormat="1" x14ac:dyDescent="0.35">
      <c r="A41" s="7" t="s">
        <v>7</v>
      </c>
      <c r="B41" s="6">
        <v>44651</v>
      </c>
      <c r="C41" s="6">
        <v>44742</v>
      </c>
      <c r="D41" s="6">
        <v>44834</v>
      </c>
      <c r="E41" s="6">
        <v>44926</v>
      </c>
      <c r="F41" s="6">
        <v>45016</v>
      </c>
      <c r="G41" s="6">
        <v>45107</v>
      </c>
      <c r="H41" s="6">
        <v>45199</v>
      </c>
      <c r="I41" s="6">
        <v>45291</v>
      </c>
      <c r="J41" s="6">
        <v>45382</v>
      </c>
      <c r="K41" s="6">
        <v>45473</v>
      </c>
    </row>
    <row r="42" spans="1:11" s="4" customFormat="1" x14ac:dyDescent="0.35">
      <c r="A42" s="4" t="s">
        <v>33</v>
      </c>
      <c r="B42">
        <v>7892.67</v>
      </c>
      <c r="C42">
        <v>8606.94</v>
      </c>
      <c r="D42">
        <v>8457.57</v>
      </c>
      <c r="E42">
        <v>8636.74</v>
      </c>
      <c r="F42">
        <v>8787.34</v>
      </c>
      <c r="G42">
        <v>9182.31</v>
      </c>
      <c r="H42">
        <v>8478.57</v>
      </c>
      <c r="I42">
        <v>9103.09</v>
      </c>
      <c r="J42">
        <v>8730.76</v>
      </c>
      <c r="K42">
        <v>8969.73</v>
      </c>
    </row>
    <row r="43" spans="1:11" s="4" customFormat="1" x14ac:dyDescent="0.35">
      <c r="A43" s="4" t="s">
        <v>32</v>
      </c>
      <c r="B43">
        <v>6449.38</v>
      </c>
      <c r="C43">
        <v>7050.99</v>
      </c>
      <c r="D43">
        <v>7229.87</v>
      </c>
      <c r="E43">
        <v>7025.31</v>
      </c>
      <c r="F43">
        <v>6922.58</v>
      </c>
      <c r="G43">
        <v>7061.02</v>
      </c>
      <c r="H43">
        <v>6762.34</v>
      </c>
      <c r="I43">
        <v>7047</v>
      </c>
      <c r="J43">
        <v>7039.39</v>
      </c>
      <c r="K43">
        <v>7275.96</v>
      </c>
    </row>
    <row r="44" spans="1:11" s="4" customFormat="1" x14ac:dyDescent="0.35">
      <c r="A44" s="4" t="s">
        <v>31</v>
      </c>
      <c r="B44">
        <v>-26.38</v>
      </c>
      <c r="C44">
        <v>87.52</v>
      </c>
      <c r="D44">
        <v>117.56</v>
      </c>
      <c r="E44">
        <v>122.21</v>
      </c>
      <c r="F44">
        <v>104.17</v>
      </c>
      <c r="G44">
        <v>227.74</v>
      </c>
      <c r="H44">
        <v>194.33</v>
      </c>
      <c r="I44">
        <v>186.46</v>
      </c>
      <c r="J44">
        <v>212.43</v>
      </c>
      <c r="K44">
        <v>192.93</v>
      </c>
    </row>
    <row r="45" spans="1:11" s="4" customFormat="1" x14ac:dyDescent="0.35">
      <c r="A45" s="4" t="s">
        <v>30</v>
      </c>
      <c r="B45">
        <v>205.11</v>
      </c>
      <c r="C45">
        <v>208.1</v>
      </c>
      <c r="D45">
        <v>215.7</v>
      </c>
      <c r="E45">
        <v>214.05</v>
      </c>
      <c r="F45">
        <v>220.17</v>
      </c>
      <c r="G45">
        <v>198.32</v>
      </c>
      <c r="H45">
        <v>208.72</v>
      </c>
      <c r="I45">
        <v>220.35</v>
      </c>
      <c r="J45">
        <v>225.61</v>
      </c>
      <c r="K45">
        <v>227.7</v>
      </c>
    </row>
    <row r="46" spans="1:11" s="4" customFormat="1" x14ac:dyDescent="0.35">
      <c r="A46" s="4" t="s">
        <v>29</v>
      </c>
      <c r="B46">
        <v>22.62</v>
      </c>
      <c r="C46">
        <v>28.75</v>
      </c>
      <c r="D46">
        <v>35.4</v>
      </c>
      <c r="E46">
        <v>41.39</v>
      </c>
      <c r="F46">
        <v>38.909999999999997</v>
      </c>
      <c r="G46">
        <v>45.75</v>
      </c>
      <c r="H46">
        <v>50.9</v>
      </c>
      <c r="I46">
        <v>54.42</v>
      </c>
      <c r="J46">
        <v>54.1</v>
      </c>
      <c r="K46">
        <v>55.38</v>
      </c>
    </row>
    <row r="47" spans="1:11" s="4" customFormat="1" x14ac:dyDescent="0.35">
      <c r="A47" s="4" t="s">
        <v>28</v>
      </c>
      <c r="B47">
        <v>1189.18</v>
      </c>
      <c r="C47">
        <v>1406.62</v>
      </c>
      <c r="D47">
        <v>1094.1600000000001</v>
      </c>
      <c r="E47">
        <v>1478.2</v>
      </c>
      <c r="F47">
        <v>1709.85</v>
      </c>
      <c r="G47">
        <v>2104.96</v>
      </c>
      <c r="H47">
        <v>1650.94</v>
      </c>
      <c r="I47">
        <v>1967.78</v>
      </c>
      <c r="J47">
        <v>1624.09</v>
      </c>
      <c r="K47">
        <v>1603.62</v>
      </c>
    </row>
    <row r="48" spans="1:11" s="4" customFormat="1" x14ac:dyDescent="0.35">
      <c r="A48" s="4" t="s">
        <v>27</v>
      </c>
      <c r="B48">
        <v>315.13</v>
      </c>
      <c r="C48">
        <v>370.59</v>
      </c>
      <c r="D48">
        <v>290.33</v>
      </c>
      <c r="E48">
        <v>381.14</v>
      </c>
      <c r="F48">
        <v>451.44</v>
      </c>
      <c r="G48">
        <v>530.12</v>
      </c>
      <c r="H48">
        <v>418.55</v>
      </c>
      <c r="I48">
        <v>492.62</v>
      </c>
      <c r="J48">
        <v>348.79</v>
      </c>
      <c r="K48">
        <v>416.83</v>
      </c>
    </row>
    <row r="49" spans="1:11" s="4" customFormat="1" x14ac:dyDescent="0.35">
      <c r="A49" s="4" t="s">
        <v>26</v>
      </c>
      <c r="B49">
        <v>850.42</v>
      </c>
      <c r="C49">
        <v>1016.93</v>
      </c>
      <c r="D49">
        <v>782.71</v>
      </c>
      <c r="E49">
        <v>1072.67</v>
      </c>
      <c r="F49">
        <v>1234.1400000000001</v>
      </c>
      <c r="G49">
        <v>1550.37</v>
      </c>
      <c r="H49">
        <v>1205.42</v>
      </c>
      <c r="I49">
        <v>1447.72</v>
      </c>
      <c r="J49">
        <v>1256.72</v>
      </c>
      <c r="K49">
        <v>1169.98</v>
      </c>
    </row>
    <row r="50" spans="1:11" x14ac:dyDescent="0.35">
      <c r="A50" s="4" t="s">
        <v>25</v>
      </c>
      <c r="B50">
        <v>1443.29</v>
      </c>
      <c r="C50">
        <v>1555.95</v>
      </c>
      <c r="D50">
        <v>1227.7</v>
      </c>
      <c r="E50">
        <v>1611.43</v>
      </c>
      <c r="F50">
        <v>1864.76</v>
      </c>
      <c r="G50">
        <v>2121.29</v>
      </c>
      <c r="H50">
        <v>1716.23</v>
      </c>
      <c r="I50">
        <v>2056.09</v>
      </c>
      <c r="J50">
        <v>1691.37</v>
      </c>
      <c r="K50">
        <v>1693.77</v>
      </c>
    </row>
    <row r="51" spans="1:11" x14ac:dyDescent="0.35">
      <c r="A51" s="4"/>
    </row>
    <row r="52" spans="1:11" x14ac:dyDescent="0.35">
      <c r="A52" s="4"/>
    </row>
    <row r="53" spans="1:11" x14ac:dyDescent="0.35">
      <c r="A53" s="4"/>
    </row>
    <row r="54" spans="1:11" x14ac:dyDescent="0.35">
      <c r="A54" s="4"/>
    </row>
    <row r="55" spans="1:11" x14ac:dyDescent="0.35">
      <c r="A55" s="3" t="s">
        <v>24</v>
      </c>
    </row>
    <row r="56" spans="1:11" s="5" customFormat="1" x14ac:dyDescent="0.35">
      <c r="A56" s="7" t="s">
        <v>7</v>
      </c>
      <c r="B56" s="6">
        <v>42094</v>
      </c>
      <c r="C56" s="6">
        <v>42460</v>
      </c>
      <c r="D56" s="6">
        <v>42825</v>
      </c>
      <c r="E56" s="6">
        <v>43190</v>
      </c>
      <c r="F56" s="6">
        <v>43555</v>
      </c>
      <c r="G56" s="6">
        <v>43921</v>
      </c>
      <c r="H56" s="6">
        <v>44286</v>
      </c>
      <c r="I56" s="6">
        <v>44651</v>
      </c>
      <c r="J56" s="6">
        <v>45016</v>
      </c>
      <c r="K56" s="6">
        <v>45382</v>
      </c>
    </row>
    <row r="57" spans="1:11" x14ac:dyDescent="0.35">
      <c r="A57" s="4" t="s">
        <v>23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4" t="s">
        <v>22</v>
      </c>
      <c r="B58">
        <v>4646.4399999999996</v>
      </c>
      <c r="C58">
        <v>6428.9</v>
      </c>
      <c r="D58">
        <v>7507.97</v>
      </c>
      <c r="E58">
        <v>8314.31</v>
      </c>
      <c r="F58">
        <v>9374.6299999999992</v>
      </c>
      <c r="G58">
        <v>10034.24</v>
      </c>
      <c r="H58">
        <v>12710.37</v>
      </c>
      <c r="I58">
        <v>13715.64</v>
      </c>
      <c r="J58">
        <v>15896.31</v>
      </c>
      <c r="K58">
        <v>18632.38</v>
      </c>
    </row>
    <row r="59" spans="1:11" x14ac:dyDescent="0.35">
      <c r="A59" s="4" t="s">
        <v>21</v>
      </c>
      <c r="B59">
        <v>418.17</v>
      </c>
      <c r="C59">
        <v>323.29000000000002</v>
      </c>
      <c r="D59">
        <v>560.34</v>
      </c>
      <c r="E59">
        <v>533.42999999999995</v>
      </c>
      <c r="F59">
        <v>1319.6</v>
      </c>
      <c r="G59">
        <v>1118.5</v>
      </c>
      <c r="H59">
        <v>1093.1199999999999</v>
      </c>
      <c r="I59">
        <v>1586.88</v>
      </c>
      <c r="J59">
        <v>1932.62</v>
      </c>
      <c r="K59">
        <v>2474.38</v>
      </c>
    </row>
    <row r="60" spans="1:11" x14ac:dyDescent="0.35">
      <c r="A60" s="4" t="s">
        <v>20</v>
      </c>
      <c r="B60">
        <v>3753.97</v>
      </c>
      <c r="C60">
        <v>3710.92</v>
      </c>
      <c r="D60">
        <v>4240.96</v>
      </c>
      <c r="E60">
        <v>4819.82</v>
      </c>
      <c r="F60">
        <v>5458.69</v>
      </c>
      <c r="G60">
        <v>4889.3100000000004</v>
      </c>
      <c r="H60">
        <v>6455.93</v>
      </c>
      <c r="I60">
        <v>7559.99</v>
      </c>
      <c r="J60">
        <v>7854.48</v>
      </c>
      <c r="K60">
        <v>8698.09</v>
      </c>
    </row>
    <row r="61" spans="1:11" s="3" customFormat="1" x14ac:dyDescent="0.35">
      <c r="A61" s="3" t="s">
        <v>15</v>
      </c>
      <c r="B61">
        <v>8914.5</v>
      </c>
      <c r="C61">
        <v>10559.03</v>
      </c>
      <c r="D61">
        <v>12405.19</v>
      </c>
      <c r="E61">
        <v>13763.48</v>
      </c>
      <c r="F61">
        <v>16248.84</v>
      </c>
      <c r="G61">
        <v>16137.97</v>
      </c>
      <c r="H61">
        <v>20355.34</v>
      </c>
      <c r="I61">
        <v>22958.43</v>
      </c>
      <c r="J61">
        <v>25779.33</v>
      </c>
      <c r="K61">
        <v>29900.77</v>
      </c>
    </row>
    <row r="62" spans="1:11" x14ac:dyDescent="0.35">
      <c r="A62" s="4" t="s">
        <v>19</v>
      </c>
      <c r="B62">
        <v>2660.04</v>
      </c>
      <c r="C62">
        <v>3416.35</v>
      </c>
      <c r="D62">
        <v>3303.74</v>
      </c>
      <c r="E62">
        <v>3732.24</v>
      </c>
      <c r="F62">
        <v>6496.56</v>
      </c>
      <c r="G62">
        <v>6272.31</v>
      </c>
      <c r="H62">
        <v>5858.52</v>
      </c>
      <c r="I62">
        <v>5519.06</v>
      </c>
      <c r="J62">
        <v>5770.46</v>
      </c>
      <c r="K62">
        <v>7146.62</v>
      </c>
    </row>
    <row r="63" spans="1:11" x14ac:dyDescent="0.35">
      <c r="A63" s="4" t="s">
        <v>18</v>
      </c>
      <c r="B63">
        <v>196</v>
      </c>
      <c r="C63">
        <v>106.59</v>
      </c>
      <c r="D63">
        <v>257.54000000000002</v>
      </c>
      <c r="E63">
        <v>1405.11</v>
      </c>
      <c r="F63">
        <v>209.67</v>
      </c>
      <c r="G63">
        <v>140.24</v>
      </c>
      <c r="H63">
        <v>182.98</v>
      </c>
      <c r="I63">
        <v>426.43</v>
      </c>
      <c r="J63">
        <v>1019.59</v>
      </c>
      <c r="K63">
        <v>2698.37</v>
      </c>
    </row>
    <row r="64" spans="1:11" x14ac:dyDescent="0.35">
      <c r="A64" s="4" t="s">
        <v>17</v>
      </c>
      <c r="B64">
        <v>1587.79</v>
      </c>
      <c r="C64">
        <v>2712.13</v>
      </c>
      <c r="D64">
        <v>2651.99</v>
      </c>
      <c r="E64">
        <v>2140.6999999999998</v>
      </c>
      <c r="F64">
        <v>2568.58</v>
      </c>
      <c r="G64">
        <v>2018.85</v>
      </c>
      <c r="H64">
        <v>4736.8</v>
      </c>
      <c r="I64">
        <v>3247.53</v>
      </c>
      <c r="J64">
        <v>4261.71</v>
      </c>
      <c r="K64">
        <v>4587.92</v>
      </c>
    </row>
    <row r="65" spans="1:11" x14ac:dyDescent="0.35">
      <c r="A65" s="4" t="s">
        <v>16</v>
      </c>
      <c r="B65">
        <v>4470.67</v>
      </c>
      <c r="C65">
        <v>4323.96</v>
      </c>
      <c r="D65">
        <v>6191.92</v>
      </c>
      <c r="E65">
        <v>6485.43</v>
      </c>
      <c r="F65">
        <v>6974.03</v>
      </c>
      <c r="G65">
        <v>7706.57</v>
      </c>
      <c r="H65">
        <v>9577.0400000000009</v>
      </c>
      <c r="I65">
        <v>13765.41</v>
      </c>
      <c r="J65">
        <v>14727.57</v>
      </c>
      <c r="K65">
        <v>15467.86</v>
      </c>
    </row>
    <row r="66" spans="1:11" s="3" customFormat="1" x14ac:dyDescent="0.35">
      <c r="A66" s="3" t="s">
        <v>15</v>
      </c>
      <c r="B66">
        <v>8914.5</v>
      </c>
      <c r="C66">
        <v>10559.03</v>
      </c>
      <c r="D66">
        <v>12405.19</v>
      </c>
      <c r="E66">
        <v>13763.48</v>
      </c>
      <c r="F66">
        <v>16248.84</v>
      </c>
      <c r="G66">
        <v>16137.97</v>
      </c>
      <c r="H66">
        <v>20355.34</v>
      </c>
      <c r="I66">
        <v>22958.43</v>
      </c>
      <c r="J66">
        <v>25779.33</v>
      </c>
      <c r="K66">
        <v>29900.77</v>
      </c>
    </row>
    <row r="67" spans="1:11" s="4" customFormat="1" x14ac:dyDescent="0.35">
      <c r="A67" s="4" t="s">
        <v>14</v>
      </c>
      <c r="B67">
        <v>1182.07</v>
      </c>
      <c r="C67">
        <v>1186.8399999999999</v>
      </c>
      <c r="D67">
        <v>1446.6</v>
      </c>
      <c r="E67">
        <v>1730.63</v>
      </c>
      <c r="F67">
        <v>1907.33</v>
      </c>
      <c r="G67">
        <v>1795.22</v>
      </c>
      <c r="H67">
        <v>2602.17</v>
      </c>
      <c r="I67">
        <v>3871.44</v>
      </c>
      <c r="J67">
        <v>4636.9399999999996</v>
      </c>
      <c r="K67">
        <v>4889.05</v>
      </c>
    </row>
    <row r="68" spans="1:11" x14ac:dyDescent="0.35">
      <c r="A68" s="4" t="s">
        <v>13</v>
      </c>
      <c r="B68">
        <v>2258.52</v>
      </c>
      <c r="C68">
        <v>1998.24</v>
      </c>
      <c r="D68">
        <v>2626.94</v>
      </c>
      <c r="E68">
        <v>2658.31</v>
      </c>
      <c r="F68">
        <v>3149.86</v>
      </c>
      <c r="G68">
        <v>3389.81</v>
      </c>
      <c r="H68">
        <v>3798.6</v>
      </c>
      <c r="I68">
        <v>6152.98</v>
      </c>
      <c r="J68">
        <v>6210.64</v>
      </c>
      <c r="K68">
        <v>5923.41</v>
      </c>
    </row>
    <row r="69" spans="1:11" x14ac:dyDescent="0.35">
      <c r="A69" s="1" t="s">
        <v>12</v>
      </c>
      <c r="B69">
        <v>204.39</v>
      </c>
      <c r="C69">
        <v>424.2</v>
      </c>
      <c r="D69">
        <v>801.21</v>
      </c>
      <c r="E69">
        <v>404.65</v>
      </c>
      <c r="F69">
        <v>444.88</v>
      </c>
      <c r="G69">
        <v>782.83</v>
      </c>
      <c r="H69">
        <v>610.75</v>
      </c>
      <c r="I69">
        <v>864.33</v>
      </c>
      <c r="J69">
        <v>843.82</v>
      </c>
      <c r="K69">
        <v>1084.01</v>
      </c>
    </row>
    <row r="70" spans="1:11" x14ac:dyDescent="0.35">
      <c r="A70" s="1" t="s">
        <v>11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1" t="s">
        <v>10</v>
      </c>
    </row>
    <row r="72" spans="1:11" x14ac:dyDescent="0.35">
      <c r="A72" s="1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4" t="s">
        <v>16</v>
      </c>
      <c r="B74" s="1">
        <f>B65-SUM(B67:B69)</f>
        <v>825.69</v>
      </c>
      <c r="C74" s="1">
        <f t="shared" ref="C74:K74" si="1">C65-SUM(C67:C69)</f>
        <v>714.68000000000029</v>
      </c>
      <c r="D74" s="1">
        <f t="shared" si="1"/>
        <v>1317.17</v>
      </c>
      <c r="E74" s="1">
        <f t="shared" si="1"/>
        <v>1691.8400000000001</v>
      </c>
      <c r="F74" s="1">
        <f t="shared" si="1"/>
        <v>1471.9599999999991</v>
      </c>
      <c r="G74" s="1">
        <f t="shared" si="1"/>
        <v>1738.71</v>
      </c>
      <c r="H74" s="1">
        <f t="shared" si="1"/>
        <v>2565.5200000000004</v>
      </c>
      <c r="I74" s="1">
        <f t="shared" si="1"/>
        <v>2876.66</v>
      </c>
      <c r="J74" s="1">
        <f t="shared" si="1"/>
        <v>3036.17</v>
      </c>
      <c r="K74" s="1">
        <f t="shared" si="1"/>
        <v>3571.3900000000012</v>
      </c>
    </row>
    <row r="75" spans="1:11" x14ac:dyDescent="0.35">
      <c r="A75" s="4" t="s">
        <v>84</v>
      </c>
      <c r="B75" s="1">
        <f>B61</f>
        <v>8914.5</v>
      </c>
      <c r="C75" s="1">
        <f t="shared" ref="C75:K75" si="2">C61</f>
        <v>10559.03</v>
      </c>
      <c r="D75" s="1">
        <f t="shared" si="2"/>
        <v>12405.19</v>
      </c>
      <c r="E75" s="1">
        <f t="shared" si="2"/>
        <v>13763.48</v>
      </c>
      <c r="F75" s="1">
        <f t="shared" si="2"/>
        <v>16248.84</v>
      </c>
      <c r="G75" s="1">
        <f t="shared" si="2"/>
        <v>16137.97</v>
      </c>
      <c r="H75" s="1">
        <f t="shared" si="2"/>
        <v>20355.34</v>
      </c>
      <c r="I75" s="1">
        <f t="shared" si="2"/>
        <v>22958.43</v>
      </c>
      <c r="J75" s="1">
        <f t="shared" si="2"/>
        <v>25779.33</v>
      </c>
      <c r="K75" s="1">
        <f t="shared" si="2"/>
        <v>29900.77</v>
      </c>
    </row>
    <row r="76" spans="1:11" x14ac:dyDescent="0.35">
      <c r="A76" s="4"/>
    </row>
    <row r="77" spans="1:11" x14ac:dyDescent="0.35">
      <c r="A77" s="4"/>
    </row>
    <row r="78" spans="1:11" x14ac:dyDescent="0.35">
      <c r="A78" s="4"/>
    </row>
    <row r="79" spans="1:11" x14ac:dyDescent="0.35">
      <c r="A79" s="4"/>
    </row>
    <row r="80" spans="1:11" x14ac:dyDescent="0.35">
      <c r="A80" s="3" t="s">
        <v>8</v>
      </c>
    </row>
    <row r="81" spans="1:11" s="5" customFormat="1" x14ac:dyDescent="0.35">
      <c r="A81" s="7" t="s">
        <v>7</v>
      </c>
      <c r="B81" s="6">
        <v>42094</v>
      </c>
      <c r="C81" s="6">
        <v>42460</v>
      </c>
      <c r="D81" s="6">
        <v>42825</v>
      </c>
      <c r="E81" s="6">
        <v>43190</v>
      </c>
      <c r="F81" s="6">
        <v>43555</v>
      </c>
      <c r="G81" s="6">
        <v>43921</v>
      </c>
      <c r="H81" s="6">
        <v>44286</v>
      </c>
      <c r="I81" s="6">
        <v>44651</v>
      </c>
      <c r="J81" s="6">
        <v>45016</v>
      </c>
      <c r="K81" s="6">
        <v>45382</v>
      </c>
    </row>
    <row r="82" spans="1:11" s="3" customFormat="1" x14ac:dyDescent="0.35">
      <c r="A82" s="4" t="s">
        <v>6</v>
      </c>
      <c r="B82">
        <v>1187.69</v>
      </c>
      <c r="C82">
        <v>2242.9499999999998</v>
      </c>
      <c r="D82">
        <v>1527.33</v>
      </c>
      <c r="E82">
        <v>2113.44</v>
      </c>
      <c r="F82">
        <v>2469.54</v>
      </c>
      <c r="G82">
        <v>3038.15</v>
      </c>
      <c r="H82">
        <v>3683.35</v>
      </c>
      <c r="I82">
        <v>986.49</v>
      </c>
      <c r="J82">
        <v>4193.43</v>
      </c>
      <c r="K82">
        <v>6103.6</v>
      </c>
    </row>
    <row r="83" spans="1:11" s="4" customFormat="1" x14ac:dyDescent="0.35">
      <c r="A83" s="4" t="s">
        <v>5</v>
      </c>
      <c r="B83">
        <v>-464.99</v>
      </c>
      <c r="C83">
        <v>-866.21</v>
      </c>
      <c r="D83">
        <v>-681.11</v>
      </c>
      <c r="E83">
        <v>-1556.14</v>
      </c>
      <c r="F83">
        <v>-917.79</v>
      </c>
      <c r="G83">
        <v>-517.91</v>
      </c>
      <c r="H83">
        <v>-540.54</v>
      </c>
      <c r="I83">
        <v>-316.75</v>
      </c>
      <c r="J83">
        <v>-1282.3399999999999</v>
      </c>
      <c r="K83">
        <v>-2548.48</v>
      </c>
    </row>
    <row r="84" spans="1:11" s="4" customFormat="1" x14ac:dyDescent="0.35">
      <c r="A84" s="4" t="s">
        <v>4</v>
      </c>
      <c r="B84">
        <v>-576.09</v>
      </c>
      <c r="C84">
        <v>-848.98</v>
      </c>
      <c r="D84">
        <v>-756.43</v>
      </c>
      <c r="E84">
        <v>-1379.14</v>
      </c>
      <c r="F84">
        <v>-1117.46</v>
      </c>
      <c r="G84">
        <v>-2871.46</v>
      </c>
      <c r="H84">
        <v>-650.4</v>
      </c>
      <c r="I84">
        <v>-1807.61</v>
      </c>
      <c r="J84">
        <v>-2140.0500000000002</v>
      </c>
      <c r="K84">
        <v>-2982.5</v>
      </c>
    </row>
    <row r="85" spans="1:11" s="3" customFormat="1" x14ac:dyDescent="0.35">
      <c r="A85" s="4" t="s">
        <v>3</v>
      </c>
      <c r="B85">
        <v>146.61000000000001</v>
      </c>
      <c r="C85">
        <v>527.76</v>
      </c>
      <c r="D85">
        <v>89.79</v>
      </c>
      <c r="E85">
        <v>-821.84</v>
      </c>
      <c r="F85">
        <v>434.29</v>
      </c>
      <c r="G85">
        <v>-351.22</v>
      </c>
      <c r="H85">
        <v>2492.41</v>
      </c>
      <c r="I85">
        <v>-1137.8699999999999</v>
      </c>
      <c r="J85">
        <v>771.04</v>
      </c>
      <c r="K85">
        <v>572.62</v>
      </c>
    </row>
    <row r="86" spans="1:11" x14ac:dyDescent="0.35">
      <c r="A86" s="4"/>
    </row>
    <row r="87" spans="1:11" x14ac:dyDescent="0.35">
      <c r="A87" s="4"/>
    </row>
    <row r="88" spans="1:11" x14ac:dyDescent="0.35">
      <c r="A88" s="4"/>
    </row>
    <row r="89" spans="1:11" x14ac:dyDescent="0.35">
      <c r="A89" s="4"/>
    </row>
    <row r="90" spans="1:11" s="3" customFormat="1" x14ac:dyDescent="0.35">
      <c r="A90" s="3" t="s">
        <v>2</v>
      </c>
      <c r="B90">
        <v>811.3</v>
      </c>
      <c r="C90">
        <v>868.4</v>
      </c>
      <c r="D90">
        <v>1073.5</v>
      </c>
      <c r="E90">
        <v>1120.4000000000001</v>
      </c>
      <c r="F90">
        <v>1492.7</v>
      </c>
      <c r="G90">
        <v>1666.5</v>
      </c>
      <c r="H90">
        <v>2537.4</v>
      </c>
      <c r="I90">
        <v>3079.95</v>
      </c>
      <c r="J90">
        <v>2761.65</v>
      </c>
      <c r="K90">
        <v>2846.75</v>
      </c>
    </row>
    <row r="92" spans="1:11" s="3" customFormat="1" x14ac:dyDescent="0.35">
      <c r="A92" s="3" t="s">
        <v>1</v>
      </c>
    </row>
    <row r="93" spans="1:11" x14ac:dyDescent="0.35">
      <c r="A93" s="1" t="s">
        <v>0</v>
      </c>
      <c r="B93" s="2">
        <v>95.92</v>
      </c>
      <c r="C93" s="2">
        <v>95.92</v>
      </c>
      <c r="D93" s="2">
        <v>95.92</v>
      </c>
      <c r="E93" s="2">
        <v>95.92</v>
      </c>
      <c r="F93" s="2">
        <v>95.92</v>
      </c>
      <c r="G93" s="2">
        <v>95.92</v>
      </c>
      <c r="H93" s="2">
        <v>95.92</v>
      </c>
      <c r="I93" s="2">
        <v>95.92</v>
      </c>
      <c r="J93" s="2">
        <v>95.92</v>
      </c>
      <c r="K93" s="2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7AC43BE3-6206-4CFF-8126-9B193E2C14D1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7FAF-5167-4B6B-940B-A7C33FC5D2A0}">
  <sheetPr>
    <tabColor rgb="FFFF0000"/>
  </sheetPr>
  <dimension ref="B2:L35"/>
  <sheetViews>
    <sheetView workbookViewId="0">
      <selection activeCell="C35" sqref="C35"/>
    </sheetView>
  </sheetViews>
  <sheetFormatPr defaultRowHeight="14.5" x14ac:dyDescent="0.35"/>
  <cols>
    <col min="2" max="2" width="26" bestFit="1" customWidth="1"/>
  </cols>
  <sheetData>
    <row r="2" spans="2:12" x14ac:dyDescent="0.35">
      <c r="C2" s="8">
        <v>42064</v>
      </c>
      <c r="D2" s="8">
        <v>42430</v>
      </c>
      <c r="E2" s="8">
        <v>42795</v>
      </c>
      <c r="F2" s="8">
        <v>43160</v>
      </c>
      <c r="G2" s="8">
        <v>43525</v>
      </c>
      <c r="H2" s="8">
        <v>43891</v>
      </c>
      <c r="I2" s="8">
        <v>44256</v>
      </c>
      <c r="J2" s="8">
        <v>44621</v>
      </c>
      <c r="K2" s="8">
        <v>44986</v>
      </c>
      <c r="L2" s="8">
        <v>45352</v>
      </c>
    </row>
    <row r="3" spans="2:12" x14ac:dyDescent="0.35">
      <c r="B3" t="s">
        <v>90</v>
      </c>
      <c r="C3" s="34">
        <v>35531</v>
      </c>
      <c r="D3" s="34">
        <v>37900</v>
      </c>
      <c r="E3" s="34">
        <v>30199</v>
      </c>
      <c r="F3" s="34">
        <v>23857</v>
      </c>
      <c r="G3" s="34">
        <v>18891</v>
      </c>
      <c r="H3" s="34">
        <v>26633</v>
      </c>
      <c r="I3" s="34">
        <v>29001</v>
      </c>
      <c r="J3" s="34">
        <v>14283</v>
      </c>
      <c r="K3" s="34">
        <v>35388</v>
      </c>
      <c r="L3" s="34">
        <v>67915</v>
      </c>
    </row>
    <row r="4" spans="2:12" x14ac:dyDescent="0.35">
      <c r="B4" t="s">
        <v>91</v>
      </c>
      <c r="C4" s="34">
        <v>43397</v>
      </c>
      <c r="D4" s="34">
        <v>38626</v>
      </c>
      <c r="E4" s="34">
        <v>28840</v>
      </c>
      <c r="F4" s="34">
        <v>33312</v>
      </c>
      <c r="G4" s="34">
        <v>28771</v>
      </c>
      <c r="H4" s="34">
        <v>23352</v>
      </c>
      <c r="I4" s="34">
        <v>31198</v>
      </c>
      <c r="J4" s="34">
        <v>26943</v>
      </c>
      <c r="K4" s="34">
        <v>41694</v>
      </c>
      <c r="L4" s="34">
        <v>65106</v>
      </c>
    </row>
    <row r="5" spans="2:12" x14ac:dyDescent="0.35">
      <c r="B5" t="s">
        <v>14</v>
      </c>
      <c r="C5" s="34">
        <v>-3179</v>
      </c>
      <c r="D5" s="34">
        <v>-2223</v>
      </c>
      <c r="E5" s="34">
        <v>-4152</v>
      </c>
      <c r="F5" s="34">
        <v>-10688</v>
      </c>
      <c r="G5" s="34">
        <v>-9109</v>
      </c>
      <c r="H5" s="34">
        <v>9950</v>
      </c>
      <c r="I5" s="34">
        <v>-5505</v>
      </c>
      <c r="J5">
        <v>185</v>
      </c>
      <c r="K5" s="34">
        <v>-2213</v>
      </c>
      <c r="L5" s="34">
        <v>-1875</v>
      </c>
    </row>
    <row r="6" spans="2:12" x14ac:dyDescent="0.35">
      <c r="B6" t="s">
        <v>13</v>
      </c>
      <c r="C6" s="34">
        <v>-3692</v>
      </c>
      <c r="D6" s="34">
        <v>-5743</v>
      </c>
      <c r="E6" s="34">
        <v>-6621</v>
      </c>
      <c r="F6" s="34">
        <v>-3560</v>
      </c>
      <c r="G6" s="34">
        <v>2069</v>
      </c>
      <c r="H6" s="34">
        <v>2326</v>
      </c>
      <c r="I6" s="34">
        <v>3814</v>
      </c>
      <c r="J6">
        <v>472</v>
      </c>
      <c r="K6" s="34">
        <v>-5665</v>
      </c>
      <c r="L6" s="34">
        <v>-7265</v>
      </c>
    </row>
    <row r="7" spans="2:12" x14ac:dyDescent="0.35">
      <c r="B7" t="s">
        <v>92</v>
      </c>
      <c r="C7" s="34">
        <v>3598</v>
      </c>
      <c r="D7" s="34">
        <v>3947</v>
      </c>
      <c r="E7" s="34">
        <v>9301</v>
      </c>
      <c r="F7" s="34">
        <v>7320</v>
      </c>
      <c r="G7" s="34">
        <v>-4692</v>
      </c>
      <c r="H7" s="34">
        <v>-8085</v>
      </c>
      <c r="I7" s="34">
        <v>5748</v>
      </c>
      <c r="J7" s="34">
        <v>-7012</v>
      </c>
      <c r="K7" s="34">
        <v>6945</v>
      </c>
      <c r="L7" s="34">
        <v>13706</v>
      </c>
    </row>
    <row r="8" spans="2:12" x14ac:dyDescent="0.35">
      <c r="B8" t="s">
        <v>93</v>
      </c>
      <c r="C8">
        <v>0</v>
      </c>
      <c r="D8">
        <v>-520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35">
      <c r="B9" t="s">
        <v>94</v>
      </c>
      <c r="C9">
        <v>-398</v>
      </c>
      <c r="D9" s="34">
        <v>5852</v>
      </c>
      <c r="E9" s="34">
        <v>4727</v>
      </c>
      <c r="F9">
        <v>494</v>
      </c>
      <c r="G9" s="34">
        <v>4512</v>
      </c>
      <c r="H9">
        <v>875</v>
      </c>
      <c r="I9" s="34">
        <v>-4150</v>
      </c>
      <c r="J9" s="34">
        <v>-4396</v>
      </c>
      <c r="K9" s="34">
        <v>-2194</v>
      </c>
      <c r="L9" s="34">
        <v>2760</v>
      </c>
    </row>
    <row r="10" spans="2:12" x14ac:dyDescent="0.35">
      <c r="B10" t="s">
        <v>95</v>
      </c>
      <c r="C10" s="34">
        <v>-3672</v>
      </c>
      <c r="D10" s="34">
        <v>1313</v>
      </c>
      <c r="E10" s="34">
        <v>3254</v>
      </c>
      <c r="F10" s="34">
        <v>-6434</v>
      </c>
      <c r="G10" s="34">
        <v>-7221</v>
      </c>
      <c r="H10" s="34">
        <v>5065</v>
      </c>
      <c r="I10">
        <v>-93</v>
      </c>
      <c r="J10" s="34">
        <v>-10750</v>
      </c>
      <c r="K10" s="34">
        <v>-3127</v>
      </c>
      <c r="L10" s="34">
        <v>7325</v>
      </c>
    </row>
    <row r="11" spans="2:12" x14ac:dyDescent="0.35">
      <c r="B11" t="s">
        <v>96</v>
      </c>
      <c r="C11" s="34">
        <v>-4194</v>
      </c>
      <c r="D11" s="34">
        <v>-2040</v>
      </c>
      <c r="E11" s="34">
        <v>-1895</v>
      </c>
      <c r="F11" s="34">
        <v>-3021</v>
      </c>
      <c r="G11" s="34">
        <v>-2659</v>
      </c>
      <c r="H11" s="34">
        <v>-1785</v>
      </c>
      <c r="I11" s="34">
        <v>-2105</v>
      </c>
      <c r="J11" s="34">
        <v>-1910</v>
      </c>
      <c r="K11" s="34">
        <v>-3179</v>
      </c>
      <c r="L11" s="34">
        <v>-4516</v>
      </c>
    </row>
    <row r="12" spans="2:12" x14ac:dyDescent="0.35">
      <c r="B12" t="s">
        <v>97</v>
      </c>
      <c r="C12" s="34">
        <v>-36232</v>
      </c>
      <c r="D12" s="34">
        <v>-36694</v>
      </c>
      <c r="E12" s="34">
        <v>-39571</v>
      </c>
      <c r="F12" s="34">
        <v>-25139</v>
      </c>
      <c r="G12" s="34">
        <v>-20878</v>
      </c>
      <c r="H12" s="34">
        <v>-33115</v>
      </c>
      <c r="I12" s="34">
        <v>-25672</v>
      </c>
      <c r="J12" s="34">
        <v>-4444</v>
      </c>
      <c r="K12" s="34">
        <v>-15417</v>
      </c>
      <c r="L12" s="34">
        <v>-22782</v>
      </c>
    </row>
    <row r="13" spans="2:12" x14ac:dyDescent="0.35">
      <c r="B13" t="s">
        <v>98</v>
      </c>
      <c r="C13" s="34">
        <v>-31962</v>
      </c>
      <c r="D13" s="34">
        <v>-31503</v>
      </c>
      <c r="E13" s="34">
        <v>-16072</v>
      </c>
      <c r="F13" s="34">
        <v>-35079</v>
      </c>
      <c r="G13" s="34">
        <v>-35304</v>
      </c>
      <c r="H13" s="34">
        <v>-29702</v>
      </c>
      <c r="I13" s="34">
        <v>-20205</v>
      </c>
      <c r="J13" s="34">
        <v>-15168</v>
      </c>
      <c r="K13" s="34">
        <v>-19230</v>
      </c>
      <c r="L13" s="34">
        <v>-31414</v>
      </c>
    </row>
    <row r="14" spans="2:12" x14ac:dyDescent="0.35">
      <c r="B14" t="s">
        <v>99</v>
      </c>
      <c r="C14">
        <v>74</v>
      </c>
      <c r="D14">
        <v>59</v>
      </c>
      <c r="E14">
        <v>53</v>
      </c>
      <c r="F14">
        <v>30</v>
      </c>
      <c r="G14">
        <v>67</v>
      </c>
      <c r="H14">
        <v>171</v>
      </c>
      <c r="I14">
        <v>351</v>
      </c>
      <c r="J14">
        <v>230</v>
      </c>
      <c r="K14">
        <v>285</v>
      </c>
      <c r="L14">
        <v>231</v>
      </c>
    </row>
    <row r="15" spans="2:12" x14ac:dyDescent="0.35">
      <c r="B15" t="s">
        <v>100</v>
      </c>
      <c r="C15" s="34">
        <v>-5461</v>
      </c>
      <c r="D15" s="34">
        <v>-4728</v>
      </c>
      <c r="E15">
        <v>-6</v>
      </c>
      <c r="F15">
        <v>-329</v>
      </c>
      <c r="G15">
        <v>-130</v>
      </c>
      <c r="H15" s="34">
        <v>-1439</v>
      </c>
      <c r="I15" s="34">
        <v>-7530</v>
      </c>
      <c r="J15" s="34">
        <v>-3008</v>
      </c>
      <c r="K15">
        <v>-50</v>
      </c>
      <c r="L15">
        <v>-74</v>
      </c>
    </row>
    <row r="16" spans="2:12" x14ac:dyDescent="0.35">
      <c r="B16" t="s">
        <v>101</v>
      </c>
      <c r="C16">
        <v>42</v>
      </c>
      <c r="D16">
        <v>89</v>
      </c>
      <c r="E16" s="34">
        <v>1965</v>
      </c>
      <c r="F16" s="34">
        <v>2381</v>
      </c>
      <c r="G16" s="34">
        <v>5644</v>
      </c>
      <c r="H16">
        <v>21</v>
      </c>
      <c r="I16">
        <v>226</v>
      </c>
      <c r="J16">
        <v>104</v>
      </c>
      <c r="K16" s="34">
        <v>6895</v>
      </c>
      <c r="L16" s="34">
        <v>10820</v>
      </c>
    </row>
    <row r="17" spans="2:12" x14ac:dyDescent="0.35">
      <c r="B17" t="s">
        <v>102</v>
      </c>
      <c r="C17">
        <v>698</v>
      </c>
      <c r="D17">
        <v>731</v>
      </c>
      <c r="E17">
        <v>638</v>
      </c>
      <c r="F17">
        <v>690</v>
      </c>
      <c r="G17">
        <v>761</v>
      </c>
      <c r="H17" s="34">
        <v>1104</v>
      </c>
      <c r="I17">
        <v>428</v>
      </c>
      <c r="J17">
        <v>653</v>
      </c>
      <c r="K17">
        <v>973</v>
      </c>
      <c r="L17" s="34">
        <v>2493</v>
      </c>
    </row>
    <row r="18" spans="2:12" x14ac:dyDescent="0.35">
      <c r="B18" t="s">
        <v>103</v>
      </c>
      <c r="C18">
        <v>80</v>
      </c>
      <c r="D18">
        <v>58</v>
      </c>
      <c r="E18">
        <v>620</v>
      </c>
      <c r="F18" s="34">
        <v>1797</v>
      </c>
      <c r="G18">
        <v>232</v>
      </c>
      <c r="H18">
        <v>21</v>
      </c>
      <c r="I18">
        <v>18</v>
      </c>
      <c r="J18">
        <v>32</v>
      </c>
      <c r="K18">
        <v>46</v>
      </c>
      <c r="L18">
        <v>47</v>
      </c>
    </row>
    <row r="19" spans="2:12" x14ac:dyDescent="0.35">
      <c r="B19" t="s">
        <v>104</v>
      </c>
      <c r="C19">
        <v>-160</v>
      </c>
      <c r="D19">
        <v>0</v>
      </c>
      <c r="E19">
        <v>-107</v>
      </c>
      <c r="F19">
        <v>-4</v>
      </c>
      <c r="G19">
        <v>-9</v>
      </c>
      <c r="H19">
        <v>-606</v>
      </c>
      <c r="I19">
        <v>-10</v>
      </c>
      <c r="J19">
        <v>0</v>
      </c>
      <c r="K19">
        <v>0</v>
      </c>
      <c r="L19">
        <v>-150</v>
      </c>
    </row>
    <row r="20" spans="2:12" x14ac:dyDescent="0.35">
      <c r="B20" t="s">
        <v>105</v>
      </c>
      <c r="C20">
        <v>0</v>
      </c>
      <c r="D20">
        <v>0</v>
      </c>
      <c r="E20">
        <v>0</v>
      </c>
      <c r="F20">
        <v>14</v>
      </c>
      <c r="G20">
        <v>533</v>
      </c>
      <c r="H20">
        <v>0</v>
      </c>
      <c r="I20">
        <v>0</v>
      </c>
      <c r="J20">
        <v>0</v>
      </c>
      <c r="K20">
        <v>19</v>
      </c>
      <c r="L20">
        <v>108</v>
      </c>
    </row>
    <row r="21" spans="2:12" x14ac:dyDescent="0.35">
      <c r="B21" t="s">
        <v>106</v>
      </c>
      <c r="C21">
        <v>0</v>
      </c>
      <c r="D21">
        <v>-111</v>
      </c>
      <c r="E21">
        <v>0</v>
      </c>
      <c r="F21">
        <v>0</v>
      </c>
      <c r="G21">
        <v>-8</v>
      </c>
      <c r="H21">
        <v>-27</v>
      </c>
      <c r="I21">
        <v>0</v>
      </c>
      <c r="J21">
        <v>-98</v>
      </c>
      <c r="K21">
        <v>0</v>
      </c>
      <c r="L21">
        <v>0</v>
      </c>
    </row>
    <row r="22" spans="2:12" x14ac:dyDescent="0.35"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-24</v>
      </c>
    </row>
    <row r="23" spans="2:12" x14ac:dyDescent="0.35">
      <c r="B23" t="s">
        <v>108</v>
      </c>
      <c r="C23">
        <v>456</v>
      </c>
      <c r="D23" s="34">
        <v>-1289</v>
      </c>
      <c r="E23" s="34">
        <v>-26663</v>
      </c>
      <c r="F23" s="34">
        <v>5360</v>
      </c>
      <c r="G23" s="34">
        <v>7335</v>
      </c>
      <c r="H23" s="34">
        <v>-2659</v>
      </c>
      <c r="I23" s="34">
        <v>1051</v>
      </c>
      <c r="J23" s="34">
        <v>12813</v>
      </c>
      <c r="K23" s="34">
        <v>-4357</v>
      </c>
      <c r="L23" s="34">
        <v>-4817</v>
      </c>
    </row>
    <row r="24" spans="2:12" x14ac:dyDescent="0.35">
      <c r="B24" t="s">
        <v>109</v>
      </c>
      <c r="C24" s="34">
        <v>5201</v>
      </c>
      <c r="D24" s="34">
        <v>-3795</v>
      </c>
      <c r="E24" s="34">
        <v>6205</v>
      </c>
      <c r="F24" s="34">
        <v>2012</v>
      </c>
      <c r="G24" s="34">
        <v>8830</v>
      </c>
      <c r="H24" s="34">
        <v>3390</v>
      </c>
      <c r="I24" s="34">
        <v>9904</v>
      </c>
      <c r="J24" s="34">
        <v>-3380</v>
      </c>
      <c r="K24" s="34">
        <v>-26243</v>
      </c>
      <c r="L24" s="34">
        <v>-37006</v>
      </c>
    </row>
    <row r="25" spans="2:12" x14ac:dyDescent="0.35">
      <c r="B25" t="s">
        <v>110</v>
      </c>
      <c r="C25">
        <v>0</v>
      </c>
      <c r="D25" s="34">
        <v>7433</v>
      </c>
      <c r="E25">
        <v>5</v>
      </c>
      <c r="F25">
        <v>0</v>
      </c>
      <c r="G25">
        <v>0</v>
      </c>
      <c r="H25" s="34">
        <v>3889</v>
      </c>
      <c r="I25" s="34">
        <v>2603</v>
      </c>
      <c r="J25">
        <v>19</v>
      </c>
      <c r="K25">
        <v>20</v>
      </c>
      <c r="L25">
        <v>82</v>
      </c>
    </row>
    <row r="26" spans="2:12" x14ac:dyDescent="0.35">
      <c r="B26" t="s">
        <v>111</v>
      </c>
      <c r="C26">
        <v>-744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35">
      <c r="B27" t="s">
        <v>112</v>
      </c>
      <c r="C27" s="34">
        <v>36363</v>
      </c>
      <c r="D27" s="34">
        <v>19519</v>
      </c>
      <c r="E27" s="34">
        <v>33390</v>
      </c>
      <c r="F27" s="34">
        <v>37482</v>
      </c>
      <c r="G27" s="34">
        <v>51128</v>
      </c>
      <c r="H27" s="34">
        <v>38297</v>
      </c>
      <c r="I27" s="34">
        <v>46641</v>
      </c>
      <c r="J27" s="34">
        <v>46578</v>
      </c>
      <c r="K27" s="34">
        <v>43934</v>
      </c>
      <c r="L27" s="34">
        <v>18747</v>
      </c>
    </row>
    <row r="28" spans="2:12" x14ac:dyDescent="0.35">
      <c r="B28" t="s">
        <v>113</v>
      </c>
      <c r="C28" s="34">
        <v>-23332</v>
      </c>
      <c r="D28" s="34">
        <v>-24924</v>
      </c>
      <c r="E28" s="34">
        <v>-21732</v>
      </c>
      <c r="F28" s="34">
        <v>-29964</v>
      </c>
      <c r="G28" s="34">
        <v>-35198</v>
      </c>
      <c r="H28" s="34">
        <v>-29847</v>
      </c>
      <c r="I28" s="34">
        <v>-29709</v>
      </c>
      <c r="J28" s="34">
        <v>-42816</v>
      </c>
      <c r="K28" s="34">
        <v>-62557</v>
      </c>
      <c r="L28" s="34">
        <v>-47332</v>
      </c>
    </row>
    <row r="29" spans="2:12" x14ac:dyDescent="0.35">
      <c r="B29" t="s">
        <v>114</v>
      </c>
      <c r="C29" s="34">
        <v>-6307</v>
      </c>
      <c r="D29" s="34">
        <v>-5716</v>
      </c>
      <c r="E29" s="34">
        <v>-5336</v>
      </c>
      <c r="F29" s="34">
        <v>-5411</v>
      </c>
      <c r="G29" s="34">
        <v>-7005</v>
      </c>
      <c r="H29" s="34">
        <v>-7518</v>
      </c>
      <c r="I29" s="34">
        <v>-8123</v>
      </c>
      <c r="J29" s="34">
        <v>-9251</v>
      </c>
      <c r="K29" s="34">
        <v>-9336</v>
      </c>
      <c r="L29" s="34">
        <v>-9332</v>
      </c>
    </row>
    <row r="30" spans="2:12" x14ac:dyDescent="0.35">
      <c r="B30" t="s">
        <v>115</v>
      </c>
      <c r="C30">
        <v>-720</v>
      </c>
      <c r="D30">
        <v>-108</v>
      </c>
      <c r="E30">
        <v>-121</v>
      </c>
      <c r="F30">
        <v>-96</v>
      </c>
      <c r="G30">
        <v>-95</v>
      </c>
      <c r="H30">
        <v>-57</v>
      </c>
      <c r="I30">
        <v>-30</v>
      </c>
      <c r="J30">
        <v>-100</v>
      </c>
      <c r="K30">
        <v>-141</v>
      </c>
      <c r="L30" s="34">
        <v>-1059</v>
      </c>
    </row>
    <row r="31" spans="2:12" x14ac:dyDescent="0.35">
      <c r="B31" t="s">
        <v>116</v>
      </c>
      <c r="C31">
        <v>0</v>
      </c>
      <c r="D31">
        <v>0</v>
      </c>
      <c r="E31">
        <v>0</v>
      </c>
      <c r="F31">
        <v>0</v>
      </c>
      <c r="G31">
        <v>0</v>
      </c>
      <c r="H31" s="34">
        <v>-1346</v>
      </c>
      <c r="I31" s="34">
        <v>-1477</v>
      </c>
      <c r="J31" s="34">
        <v>-1559</v>
      </c>
      <c r="K31" s="34">
        <v>-1517</v>
      </c>
      <c r="L31" s="34">
        <v>-1924</v>
      </c>
    </row>
    <row r="32" spans="2:12" x14ac:dyDescent="0.35">
      <c r="B32" t="s">
        <v>117</v>
      </c>
      <c r="C32">
        <v>-57</v>
      </c>
      <c r="D32">
        <v>0</v>
      </c>
      <c r="E32">
        <v>0</v>
      </c>
      <c r="F32">
        <v>0</v>
      </c>
      <c r="G32">
        <v>0</v>
      </c>
      <c r="H32">
        <v>-29</v>
      </c>
      <c r="I32">
        <v>0</v>
      </c>
      <c r="J32" s="34">
        <v>3750</v>
      </c>
      <c r="K32" s="34">
        <v>3355</v>
      </c>
      <c r="L32" s="34">
        <v>3812</v>
      </c>
    </row>
    <row r="33" spans="2:12" x14ac:dyDescent="0.35">
      <c r="B33" t="s">
        <v>3</v>
      </c>
      <c r="C33" s="34">
        <v>4500</v>
      </c>
      <c r="D33" s="34">
        <v>-2589</v>
      </c>
      <c r="E33" s="34">
        <v>-3167</v>
      </c>
      <c r="F33">
        <v>730</v>
      </c>
      <c r="G33" s="34">
        <v>6843</v>
      </c>
      <c r="H33" s="34">
        <v>-3092</v>
      </c>
      <c r="I33" s="34">
        <v>13232</v>
      </c>
      <c r="J33" s="34">
        <v>6459</v>
      </c>
      <c r="K33" s="34">
        <v>-6272</v>
      </c>
      <c r="L33" s="34">
        <v>8128</v>
      </c>
    </row>
    <row r="35" spans="2:12" x14ac:dyDescent="0.35">
      <c r="B35" t="s">
        <v>240</v>
      </c>
      <c r="C35" s="22">
        <f>'Data Sheet'!K27/'Data Sheet'!K59</f>
        <v>8.2917741009869136E-2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DE99-3E21-4CC1-B1AA-BDBC13A6892E}">
  <dimension ref="B2:L7"/>
  <sheetViews>
    <sheetView showGridLines="0" workbookViewId="0">
      <selection activeCell="B3" sqref="B3"/>
    </sheetView>
  </sheetViews>
  <sheetFormatPr defaultRowHeight="14.5" x14ac:dyDescent="0.35"/>
  <cols>
    <col min="2" max="2" width="4.90625" customWidth="1"/>
    <col min="3" max="3" width="13.08984375" bestFit="1" customWidth="1"/>
    <col min="4" max="4" width="10.36328125" customWidth="1"/>
    <col min="5" max="5" width="15.7265625" bestFit="1" customWidth="1"/>
    <col min="6" max="6" width="10.1796875" bestFit="1" customWidth="1"/>
    <col min="7" max="7" width="15" customWidth="1"/>
    <col min="8" max="8" width="11.1796875" customWidth="1"/>
    <col min="9" max="9" width="10.90625" customWidth="1"/>
    <col min="10" max="10" width="12.6328125" bestFit="1" customWidth="1"/>
    <col min="11" max="11" width="13.7265625" bestFit="1" customWidth="1"/>
  </cols>
  <sheetData>
    <row r="2" spans="2:12" x14ac:dyDescent="0.35">
      <c r="B2" s="59" t="s">
        <v>205</v>
      </c>
      <c r="C2" s="57" t="s">
        <v>206</v>
      </c>
      <c r="D2" s="57" t="s">
        <v>213</v>
      </c>
      <c r="E2" s="57" t="s">
        <v>214</v>
      </c>
      <c r="F2" s="57" t="s">
        <v>215</v>
      </c>
      <c r="G2" s="57" t="s">
        <v>216</v>
      </c>
      <c r="H2" s="57" t="s">
        <v>217</v>
      </c>
      <c r="I2" s="57" t="s">
        <v>218</v>
      </c>
      <c r="J2" s="57" t="s">
        <v>219</v>
      </c>
      <c r="K2" s="57" t="s">
        <v>220</v>
      </c>
      <c r="L2" s="57" t="s">
        <v>207</v>
      </c>
    </row>
    <row r="3" spans="2:12" x14ac:dyDescent="0.35">
      <c r="B3" s="60">
        <v>1</v>
      </c>
      <c r="C3" s="58" t="s">
        <v>208</v>
      </c>
      <c r="D3" s="58">
        <v>2992.15</v>
      </c>
      <c r="E3" s="58">
        <v>95.92</v>
      </c>
      <c r="F3" s="58">
        <v>2474.38</v>
      </c>
      <c r="G3" s="58">
        <v>1084.01</v>
      </c>
      <c r="H3" s="58">
        <v>288396.74</v>
      </c>
      <c r="I3" s="58">
        <v>35282.15</v>
      </c>
      <c r="J3" s="58">
        <v>5169.6400000000003</v>
      </c>
      <c r="K3" s="58">
        <v>287006.37</v>
      </c>
      <c r="L3" s="58">
        <v>0.13</v>
      </c>
    </row>
    <row r="4" spans="2:12" x14ac:dyDescent="0.35">
      <c r="B4" s="60">
        <v>2</v>
      </c>
      <c r="C4" s="58" t="s">
        <v>209</v>
      </c>
      <c r="D4" s="58">
        <v>556.35</v>
      </c>
      <c r="E4" s="58">
        <v>116.58</v>
      </c>
      <c r="F4" s="58">
        <v>753.29</v>
      </c>
      <c r="G4" s="58">
        <v>450.65</v>
      </c>
      <c r="H4" s="58">
        <v>65161.7</v>
      </c>
      <c r="I4" s="58">
        <v>11260.42</v>
      </c>
      <c r="J4" s="58">
        <v>1168.94</v>
      </c>
      <c r="K4" s="58">
        <v>64859.06</v>
      </c>
      <c r="L4" s="58">
        <v>0.14000000000000001</v>
      </c>
    </row>
    <row r="5" spans="2:12" x14ac:dyDescent="0.35">
      <c r="B5" s="60">
        <v>3</v>
      </c>
      <c r="C5" s="58" t="s">
        <v>210</v>
      </c>
      <c r="D5" s="58">
        <v>287.05</v>
      </c>
      <c r="E5" s="58">
        <v>80.84</v>
      </c>
      <c r="F5" s="58">
        <v>276.42</v>
      </c>
      <c r="G5" s="58">
        <v>259.95</v>
      </c>
      <c r="H5" s="58">
        <v>23221.5</v>
      </c>
      <c r="I5" s="58">
        <v>7777.7</v>
      </c>
      <c r="J5" s="58">
        <v>666.73</v>
      </c>
      <c r="K5" s="58">
        <v>23205.03</v>
      </c>
      <c r="L5" s="58">
        <v>0.05</v>
      </c>
    </row>
    <row r="6" spans="2:12" x14ac:dyDescent="0.35">
      <c r="B6" s="60">
        <v>4</v>
      </c>
      <c r="C6" s="58" t="s">
        <v>211</v>
      </c>
      <c r="D6" s="58">
        <v>3910.85</v>
      </c>
      <c r="E6" s="58">
        <v>4.55</v>
      </c>
      <c r="F6" s="58">
        <v>60.4</v>
      </c>
      <c r="G6" s="58">
        <v>523.20000000000005</v>
      </c>
      <c r="H6" s="58">
        <v>17347.330000000002</v>
      </c>
      <c r="I6" s="58">
        <v>3998.7</v>
      </c>
      <c r="J6" s="58">
        <v>431.4</v>
      </c>
      <c r="K6" s="58">
        <v>17810.13</v>
      </c>
      <c r="L6" s="58">
        <v>0.05</v>
      </c>
    </row>
    <row r="7" spans="2:12" x14ac:dyDescent="0.35">
      <c r="B7" s="60">
        <v>5</v>
      </c>
      <c r="C7" s="58" t="s">
        <v>212</v>
      </c>
      <c r="D7" s="58">
        <v>1566.9</v>
      </c>
      <c r="E7" s="58">
        <v>4.76</v>
      </c>
      <c r="F7" s="58">
        <v>16.84</v>
      </c>
      <c r="G7" s="58">
        <v>32.67</v>
      </c>
      <c r="H7" s="58">
        <v>7448.05</v>
      </c>
      <c r="I7" s="58">
        <v>1271.8</v>
      </c>
      <c r="J7" s="58">
        <v>143.82</v>
      </c>
      <c r="K7" s="58">
        <v>7463.88</v>
      </c>
      <c r="L7" s="58">
        <v>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577-0BBD-4D0A-84CC-3B4E4D0BFA9C}">
  <dimension ref="B3:T111"/>
  <sheetViews>
    <sheetView showGridLines="0" topLeftCell="A5" workbookViewId="0">
      <selection activeCell="J17" sqref="J17"/>
    </sheetView>
  </sheetViews>
  <sheetFormatPr defaultRowHeight="14.5" x14ac:dyDescent="0.35"/>
  <cols>
    <col min="1" max="1" width="1.81640625" customWidth="1"/>
    <col min="2" max="2" width="10.453125" customWidth="1"/>
    <col min="3" max="3" width="11.1796875" bestFit="1" customWidth="1"/>
    <col min="4" max="4" width="8.54296875" customWidth="1"/>
    <col min="6" max="6" width="11.1796875" bestFit="1" customWidth="1"/>
    <col min="9" max="9" width="17.54296875" bestFit="1" customWidth="1"/>
    <col min="12" max="12" width="17.26953125" bestFit="1" customWidth="1"/>
  </cols>
  <sheetData>
    <row r="3" spans="2:13" x14ac:dyDescent="0.35">
      <c r="B3" s="12" t="s">
        <v>169</v>
      </c>
    </row>
    <row r="5" spans="2:13" x14ac:dyDescent="0.35">
      <c r="B5" s="216" t="s">
        <v>170</v>
      </c>
      <c r="C5" s="221"/>
      <c r="D5" s="221"/>
      <c r="F5" s="216" t="s">
        <v>167</v>
      </c>
      <c r="G5" s="216"/>
      <c r="H5" s="30"/>
      <c r="I5" s="216" t="s">
        <v>168</v>
      </c>
      <c r="J5" s="216"/>
    </row>
    <row r="6" spans="2:13" x14ac:dyDescent="0.35">
      <c r="L6" s="12" t="s">
        <v>204</v>
      </c>
      <c r="M6" s="12">
        <f>M24</f>
        <v>0.74796750504567233</v>
      </c>
    </row>
    <row r="7" spans="2:13" x14ac:dyDescent="0.35">
      <c r="B7" s="74" t="s">
        <v>171</v>
      </c>
      <c r="C7" s="75" t="s">
        <v>173</v>
      </c>
      <c r="D7" s="75" t="s">
        <v>172</v>
      </c>
      <c r="F7" s="75" t="s">
        <v>173</v>
      </c>
      <c r="G7" s="75" t="s">
        <v>172</v>
      </c>
      <c r="I7" t="s">
        <v>175</v>
      </c>
      <c r="J7" s="77">
        <f>M6</f>
        <v>0.74796750504567233</v>
      </c>
      <c r="L7" t="s">
        <v>180</v>
      </c>
    </row>
    <row r="8" spans="2:13" ht="15" thickBot="1" x14ac:dyDescent="0.4">
      <c r="B8" s="72">
        <v>44857</v>
      </c>
      <c r="C8" s="73">
        <v>3053.4</v>
      </c>
      <c r="D8" s="58" t="s">
        <v>174</v>
      </c>
      <c r="F8" s="73">
        <v>17786.8</v>
      </c>
      <c r="G8" s="58" t="s">
        <v>174</v>
      </c>
      <c r="I8" t="s">
        <v>176</v>
      </c>
      <c r="J8" s="80">
        <v>0.75</v>
      </c>
    </row>
    <row r="9" spans="2:13" x14ac:dyDescent="0.35">
      <c r="B9" s="72">
        <v>44864</v>
      </c>
      <c r="C9" s="73">
        <v>3181.35</v>
      </c>
      <c r="D9" s="76">
        <f>(C9/C8)-1</f>
        <v>4.1904106897229232E-2</v>
      </c>
      <c r="F9" s="73">
        <v>18117.150000000001</v>
      </c>
      <c r="G9" s="76">
        <f>(F9/F8)-1</f>
        <v>1.8572761823374861E-2</v>
      </c>
      <c r="J9" s="77"/>
      <c r="L9" s="84" t="s">
        <v>181</v>
      </c>
      <c r="M9" s="84"/>
    </row>
    <row r="10" spans="2:13" x14ac:dyDescent="0.35">
      <c r="B10" s="72">
        <v>44871</v>
      </c>
      <c r="C10" s="73">
        <v>3055.4</v>
      </c>
      <c r="D10" s="76">
        <f t="shared" ref="D10:D73" si="0">(C10/C9)-1</f>
        <v>-3.9590111116349913E-2</v>
      </c>
      <c r="F10" s="73">
        <v>18349.7</v>
      </c>
      <c r="G10" s="76">
        <f t="shared" ref="G10:G73" si="1">(F10/F9)-1</f>
        <v>1.2835904101914375E-2</v>
      </c>
      <c r="I10" t="s">
        <v>177</v>
      </c>
      <c r="J10" s="81">
        <v>1</v>
      </c>
      <c r="L10" t="s">
        <v>182</v>
      </c>
      <c r="M10">
        <v>0.42536628856717573</v>
      </c>
    </row>
    <row r="11" spans="2:13" x14ac:dyDescent="0.35">
      <c r="B11" s="72">
        <v>44878</v>
      </c>
      <c r="C11" s="73">
        <v>3095.5</v>
      </c>
      <c r="D11" s="76">
        <f t="shared" si="0"/>
        <v>1.3124304510047757E-2</v>
      </c>
      <c r="F11" s="73">
        <v>18307.650000000001</v>
      </c>
      <c r="G11" s="76">
        <f t="shared" si="1"/>
        <v>-2.2915905982113793E-3</v>
      </c>
      <c r="I11" t="s">
        <v>178</v>
      </c>
      <c r="J11" s="80">
        <v>0.25</v>
      </c>
      <c r="L11" t="s">
        <v>183</v>
      </c>
      <c r="M11">
        <v>0.18093647944941382</v>
      </c>
    </row>
    <row r="12" spans="2:13" x14ac:dyDescent="0.35">
      <c r="B12" s="72">
        <v>44885</v>
      </c>
      <c r="C12" s="73">
        <v>3108.15</v>
      </c>
      <c r="D12" s="76">
        <f t="shared" si="0"/>
        <v>4.0865772896139241E-3</v>
      </c>
      <c r="F12" s="73">
        <v>18512.75</v>
      </c>
      <c r="G12" s="76">
        <f t="shared" si="1"/>
        <v>1.1202967065680136E-2</v>
      </c>
      <c r="L12" t="s">
        <v>184</v>
      </c>
      <c r="M12">
        <v>0.17282693964198229</v>
      </c>
    </row>
    <row r="13" spans="2:13" x14ac:dyDescent="0.35">
      <c r="B13" s="72">
        <v>44892</v>
      </c>
      <c r="C13" s="73">
        <v>3143.45</v>
      </c>
      <c r="D13" s="76">
        <f t="shared" si="0"/>
        <v>1.1357238228528077E-2</v>
      </c>
      <c r="F13" s="73">
        <v>18696.099999999999</v>
      </c>
      <c r="G13" s="76">
        <f t="shared" si="1"/>
        <v>9.9039850913558158E-3</v>
      </c>
      <c r="I13" s="78" t="s">
        <v>179</v>
      </c>
      <c r="J13" s="79">
        <f>(J7*J8)+(J10*J11)</f>
        <v>0.81097562878425422</v>
      </c>
      <c r="L13" t="s">
        <v>185</v>
      </c>
      <c r="M13">
        <v>2.3377692925931785E-2</v>
      </c>
    </row>
    <row r="14" spans="2:13" ht="15" thickBot="1" x14ac:dyDescent="0.4">
      <c r="B14" s="72">
        <v>44899</v>
      </c>
      <c r="C14" s="73">
        <v>3226.95</v>
      </c>
      <c r="D14" s="76">
        <f t="shared" si="0"/>
        <v>2.6563171038190614E-2</v>
      </c>
      <c r="F14" s="73">
        <v>18496.599999999999</v>
      </c>
      <c r="G14" s="76">
        <f t="shared" si="1"/>
        <v>-1.0670674632677457E-2</v>
      </c>
      <c r="L14" s="82" t="s">
        <v>186</v>
      </c>
      <c r="M14" s="82">
        <v>103</v>
      </c>
    </row>
    <row r="15" spans="2:13" x14ac:dyDescent="0.35">
      <c r="B15" s="72">
        <v>44906</v>
      </c>
      <c r="C15" s="73">
        <v>3055.9</v>
      </c>
      <c r="D15" s="76">
        <f t="shared" si="0"/>
        <v>-5.3006709121616313E-2</v>
      </c>
      <c r="F15" s="73">
        <v>18269</v>
      </c>
      <c r="G15" s="76">
        <f t="shared" si="1"/>
        <v>-1.2304964155574472E-2</v>
      </c>
    </row>
    <row r="16" spans="2:13" ht="15" thickBot="1" x14ac:dyDescent="0.4">
      <c r="B16" s="72">
        <v>44913</v>
      </c>
      <c r="C16" s="73">
        <v>3057.9</v>
      </c>
      <c r="D16" s="76">
        <f t="shared" si="0"/>
        <v>6.544716777381332E-4</v>
      </c>
      <c r="F16" s="73">
        <v>17806.8</v>
      </c>
      <c r="G16" s="76">
        <f t="shared" si="1"/>
        <v>-2.5299687996058973E-2</v>
      </c>
      <c r="L16" t="s">
        <v>187</v>
      </c>
    </row>
    <row r="17" spans="2:20" x14ac:dyDescent="0.35">
      <c r="B17" s="72">
        <v>44920</v>
      </c>
      <c r="C17" s="73">
        <v>3087.9</v>
      </c>
      <c r="D17" s="76">
        <f t="shared" si="0"/>
        <v>9.8106543706464322E-3</v>
      </c>
      <c r="F17" s="73">
        <v>18105.3</v>
      </c>
      <c r="G17" s="76">
        <f t="shared" si="1"/>
        <v>1.6763258979715534E-2</v>
      </c>
      <c r="L17" s="83"/>
      <c r="M17" s="83" t="s">
        <v>191</v>
      </c>
      <c r="N17" s="83" t="s">
        <v>192</v>
      </c>
      <c r="O17" s="83" t="s">
        <v>193</v>
      </c>
      <c r="P17" s="83" t="s">
        <v>194</v>
      </c>
      <c r="Q17" s="83" t="s">
        <v>195</v>
      </c>
    </row>
    <row r="18" spans="2:20" x14ac:dyDescent="0.35">
      <c r="B18" s="72">
        <v>44927</v>
      </c>
      <c r="C18" s="73">
        <v>2978.4</v>
      </c>
      <c r="D18" s="76">
        <f t="shared" si="0"/>
        <v>-3.546099290780147E-2</v>
      </c>
      <c r="F18" s="73">
        <v>17859.45</v>
      </c>
      <c r="G18" s="76">
        <f t="shared" si="1"/>
        <v>-1.3578896787128536E-2</v>
      </c>
      <c r="L18" t="s">
        <v>188</v>
      </c>
      <c r="M18">
        <v>1</v>
      </c>
      <c r="N18">
        <v>1.2193635967148266E-2</v>
      </c>
      <c r="O18">
        <v>1.2193635967148266E-2</v>
      </c>
      <c r="P18">
        <v>22.311559440599137</v>
      </c>
      <c r="Q18">
        <v>7.5008158472183852E-6</v>
      </c>
    </row>
    <row r="19" spans="2:20" x14ac:dyDescent="0.35">
      <c r="B19" s="72">
        <v>44934</v>
      </c>
      <c r="C19" s="73">
        <v>2909.15</v>
      </c>
      <c r="D19" s="76">
        <f t="shared" si="0"/>
        <v>-2.325073865162508E-2</v>
      </c>
      <c r="F19" s="73">
        <v>17956.599999999999</v>
      </c>
      <c r="G19" s="76">
        <f t="shared" si="1"/>
        <v>5.4396971911228054E-3</v>
      </c>
      <c r="L19" t="s">
        <v>189</v>
      </c>
      <c r="M19">
        <v>101</v>
      </c>
      <c r="N19">
        <v>5.519816918045526E-2</v>
      </c>
      <c r="O19">
        <v>5.4651652653916094E-4</v>
      </c>
    </row>
    <row r="20" spans="2:20" ht="15" thickBot="1" x14ac:dyDescent="0.4">
      <c r="B20" s="72">
        <v>44941</v>
      </c>
      <c r="C20" s="73">
        <v>2787.8</v>
      </c>
      <c r="D20" s="76">
        <f t="shared" si="0"/>
        <v>-4.1713215200316234E-2</v>
      </c>
      <c r="F20" s="73">
        <v>18027.650000000001</v>
      </c>
      <c r="G20" s="76">
        <f t="shared" si="1"/>
        <v>3.9567624160476988E-3</v>
      </c>
      <c r="L20" s="82" t="s">
        <v>15</v>
      </c>
      <c r="M20" s="82">
        <v>102</v>
      </c>
      <c r="N20" s="82">
        <v>6.7391805147603526E-2</v>
      </c>
      <c r="O20" s="82"/>
      <c r="P20" s="82"/>
      <c r="Q20" s="82"/>
    </row>
    <row r="21" spans="2:20" ht="15" thickBot="1" x14ac:dyDescent="0.4">
      <c r="B21" s="72">
        <v>44948</v>
      </c>
      <c r="C21" s="73">
        <v>2722.65</v>
      </c>
      <c r="D21" s="76">
        <f t="shared" si="0"/>
        <v>-2.3369682186670571E-2</v>
      </c>
      <c r="F21" s="73">
        <v>17604.349999999999</v>
      </c>
      <c r="G21" s="76">
        <f t="shared" si="1"/>
        <v>-2.3480597859399488E-2</v>
      </c>
    </row>
    <row r="22" spans="2:20" x14ac:dyDescent="0.35">
      <c r="B22" s="72">
        <v>44955</v>
      </c>
      <c r="C22" s="73">
        <v>2760.4</v>
      </c>
      <c r="D22" s="76">
        <f t="shared" si="0"/>
        <v>1.3865168126641292E-2</v>
      </c>
      <c r="F22" s="73">
        <v>17854.05</v>
      </c>
      <c r="G22" s="76">
        <f t="shared" si="1"/>
        <v>1.4183994296864233E-2</v>
      </c>
      <c r="L22" s="83"/>
      <c r="M22" s="83" t="s">
        <v>196</v>
      </c>
      <c r="N22" s="83" t="s">
        <v>185</v>
      </c>
      <c r="O22" s="83" t="s">
        <v>197</v>
      </c>
      <c r="P22" s="83" t="s">
        <v>198</v>
      </c>
      <c r="Q22" s="83" t="s">
        <v>199</v>
      </c>
      <c r="R22" s="83" t="s">
        <v>200</v>
      </c>
      <c r="S22" s="83" t="s">
        <v>201</v>
      </c>
      <c r="T22" s="83" t="s">
        <v>202</v>
      </c>
    </row>
    <row r="23" spans="2:20" x14ac:dyDescent="0.35">
      <c r="B23" s="72">
        <v>44962</v>
      </c>
      <c r="C23" s="73">
        <v>2804.6</v>
      </c>
      <c r="D23" s="76">
        <f t="shared" si="0"/>
        <v>1.6012172148963888E-2</v>
      </c>
      <c r="F23" s="73">
        <v>17856.5</v>
      </c>
      <c r="G23" s="76">
        <f t="shared" si="1"/>
        <v>1.372237671564136E-4</v>
      </c>
      <c r="L23" t="s">
        <v>190</v>
      </c>
      <c r="M23">
        <v>-2.379293037679918E-3</v>
      </c>
      <c r="N23">
        <v>2.364101199376272E-3</v>
      </c>
      <c r="O23">
        <v>-1.0064260524497235</v>
      </c>
      <c r="P23">
        <v>0.31661575875957543</v>
      </c>
      <c r="Q23">
        <v>-7.0690338810071585E-3</v>
      </c>
      <c r="R23">
        <v>2.3104478056473221E-3</v>
      </c>
      <c r="S23">
        <v>-7.0690338810071585E-3</v>
      </c>
      <c r="T23">
        <v>2.3104478056473221E-3</v>
      </c>
    </row>
    <row r="24" spans="2:20" ht="15" thickBot="1" x14ac:dyDescent="0.4">
      <c r="B24" s="72">
        <v>44969</v>
      </c>
      <c r="C24" s="73">
        <v>2833.6</v>
      </c>
      <c r="D24" s="76">
        <f t="shared" si="0"/>
        <v>1.0340155458888889E-2</v>
      </c>
      <c r="F24" s="73">
        <v>17944.2</v>
      </c>
      <c r="G24" s="76">
        <f t="shared" si="1"/>
        <v>4.9113768095652155E-3</v>
      </c>
      <c r="L24" s="82" t="s">
        <v>203</v>
      </c>
      <c r="M24" s="82">
        <v>0.74796750504567233</v>
      </c>
      <c r="N24" s="82">
        <v>0.15834989061653779</v>
      </c>
      <c r="O24" s="82">
        <v>4.7235113465089817</v>
      </c>
      <c r="P24" s="82">
        <v>7.5008158472184971E-6</v>
      </c>
      <c r="Q24" s="82">
        <v>0.43384391771501757</v>
      </c>
      <c r="R24" s="82">
        <v>1.0620910923763272</v>
      </c>
      <c r="S24" s="82">
        <v>0.43384391771501757</v>
      </c>
      <c r="T24" s="82">
        <v>1.0620910923763272</v>
      </c>
    </row>
    <row r="25" spans="2:20" x14ac:dyDescent="0.35">
      <c r="B25" s="72">
        <v>44976</v>
      </c>
      <c r="C25" s="73">
        <v>2738.5</v>
      </c>
      <c r="D25" s="76">
        <f t="shared" si="0"/>
        <v>-3.3561547148503679E-2</v>
      </c>
      <c r="F25" s="73">
        <v>17465.8</v>
      </c>
      <c r="G25" s="76">
        <f t="shared" si="1"/>
        <v>-2.6660425095574092E-2</v>
      </c>
    </row>
    <row r="26" spans="2:20" x14ac:dyDescent="0.35">
      <c r="B26" s="72">
        <v>44983</v>
      </c>
      <c r="C26" s="73">
        <v>2828.85</v>
      </c>
      <c r="D26" s="76">
        <f t="shared" si="0"/>
        <v>3.2992514150082197E-2</v>
      </c>
      <c r="F26" s="73">
        <v>17594.349999999999</v>
      </c>
      <c r="G26" s="76">
        <f t="shared" si="1"/>
        <v>7.360098020130712E-3</v>
      </c>
    </row>
    <row r="27" spans="2:20" x14ac:dyDescent="0.35">
      <c r="B27" s="72">
        <v>44990</v>
      </c>
      <c r="C27" s="73">
        <v>2830.2</v>
      </c>
      <c r="D27" s="76">
        <f t="shared" si="0"/>
        <v>4.772257277692038E-4</v>
      </c>
      <c r="F27" s="73">
        <v>17412.900000000001</v>
      </c>
      <c r="G27" s="76">
        <f t="shared" si="1"/>
        <v>-1.0312969788596749E-2</v>
      </c>
    </row>
    <row r="28" spans="2:20" x14ac:dyDescent="0.35">
      <c r="B28" s="72">
        <v>44997</v>
      </c>
      <c r="C28" s="73">
        <v>2862.65</v>
      </c>
      <c r="D28" s="76">
        <f t="shared" si="0"/>
        <v>1.1465620804183452E-2</v>
      </c>
      <c r="F28" s="73">
        <v>17100.05</v>
      </c>
      <c r="G28" s="76">
        <f t="shared" si="1"/>
        <v>-1.796656501788918E-2</v>
      </c>
    </row>
    <row r="29" spans="2:20" x14ac:dyDescent="0.35">
      <c r="B29" s="72">
        <v>45004</v>
      </c>
      <c r="C29" s="73">
        <v>2798.5</v>
      </c>
      <c r="D29" s="76">
        <f t="shared" si="0"/>
        <v>-2.2409306062564416E-2</v>
      </c>
      <c r="F29" s="73">
        <v>16945.05</v>
      </c>
      <c r="G29" s="76">
        <f t="shared" si="1"/>
        <v>-9.0643009815760678E-3</v>
      </c>
    </row>
    <row r="30" spans="2:20" x14ac:dyDescent="0.35">
      <c r="B30" s="72">
        <v>45011</v>
      </c>
      <c r="C30" s="73">
        <v>2761.65</v>
      </c>
      <c r="D30" s="76">
        <f t="shared" si="0"/>
        <v>-1.3167768447382544E-2</v>
      </c>
      <c r="F30" s="73">
        <v>17359.75</v>
      </c>
      <c r="G30" s="76">
        <f t="shared" si="1"/>
        <v>2.4473223743807226E-2</v>
      </c>
    </row>
    <row r="31" spans="2:20" x14ac:dyDescent="0.35">
      <c r="B31" s="72">
        <v>45018</v>
      </c>
      <c r="C31" s="73">
        <v>2809.85</v>
      </c>
      <c r="D31" s="76">
        <f t="shared" si="0"/>
        <v>1.7453334057538017E-2</v>
      </c>
      <c r="F31" s="73">
        <v>17599.150000000001</v>
      </c>
      <c r="G31" s="76">
        <f t="shared" si="1"/>
        <v>1.3790521176860304E-2</v>
      </c>
    </row>
    <row r="32" spans="2:20" x14ac:dyDescent="0.35">
      <c r="B32" s="72">
        <v>45025</v>
      </c>
      <c r="C32" s="73">
        <v>2809.75</v>
      </c>
      <c r="D32" s="76">
        <f t="shared" si="0"/>
        <v>-3.5589088385523659E-5</v>
      </c>
      <c r="F32" s="73">
        <v>17828</v>
      </c>
      <c r="G32" s="76">
        <f t="shared" si="1"/>
        <v>1.3003468917532901E-2</v>
      </c>
    </row>
    <row r="33" spans="2:7" x14ac:dyDescent="0.35">
      <c r="B33" s="72">
        <v>45032</v>
      </c>
      <c r="C33" s="73">
        <v>2882.1</v>
      </c>
      <c r="D33" s="76">
        <f t="shared" si="0"/>
        <v>2.5749621852477977E-2</v>
      </c>
      <c r="F33" s="73">
        <v>17624.05</v>
      </c>
      <c r="G33" s="76">
        <f t="shared" si="1"/>
        <v>-1.143986986762402E-2</v>
      </c>
    </row>
    <row r="34" spans="2:7" x14ac:dyDescent="0.35">
      <c r="B34" s="72">
        <v>45039</v>
      </c>
      <c r="C34" s="73">
        <v>2902.35</v>
      </c>
      <c r="D34" s="76">
        <f t="shared" si="0"/>
        <v>7.0261267825544316E-3</v>
      </c>
      <c r="F34" s="73">
        <v>18065</v>
      </c>
      <c r="G34" s="76">
        <f t="shared" si="1"/>
        <v>2.5019788300645995E-2</v>
      </c>
    </row>
    <row r="35" spans="2:7" x14ac:dyDescent="0.35">
      <c r="B35" s="72">
        <v>45046</v>
      </c>
      <c r="C35" s="73">
        <v>3012.95</v>
      </c>
      <c r="D35" s="76">
        <f t="shared" si="0"/>
        <v>3.8107051182662222E-2</v>
      </c>
      <c r="F35" s="73">
        <v>18069</v>
      </c>
      <c r="G35" s="76">
        <f t="shared" si="1"/>
        <v>2.2142264046509652E-4</v>
      </c>
    </row>
    <row r="36" spans="2:7" x14ac:dyDescent="0.35">
      <c r="B36" s="72">
        <v>45053</v>
      </c>
      <c r="C36" s="73">
        <v>3131.1</v>
      </c>
      <c r="D36" s="76">
        <f t="shared" si="0"/>
        <v>3.921405931064248E-2</v>
      </c>
      <c r="F36" s="73">
        <v>18314.8</v>
      </c>
      <c r="G36" s="76">
        <f t="shared" si="1"/>
        <v>1.3603409153799317E-2</v>
      </c>
    </row>
    <row r="37" spans="2:7" x14ac:dyDescent="0.35">
      <c r="B37" s="72">
        <v>45060</v>
      </c>
      <c r="C37" s="73">
        <v>3084.45</v>
      </c>
      <c r="D37" s="76">
        <f t="shared" si="0"/>
        <v>-1.4898917313404314E-2</v>
      </c>
      <c r="F37" s="73">
        <v>18203.400000000001</v>
      </c>
      <c r="G37" s="76">
        <f t="shared" si="1"/>
        <v>-6.0825125035489647E-3</v>
      </c>
    </row>
    <row r="38" spans="2:7" x14ac:dyDescent="0.35">
      <c r="B38" s="72">
        <v>45067</v>
      </c>
      <c r="C38" s="73">
        <v>3128.4</v>
      </c>
      <c r="D38" s="76">
        <f t="shared" si="0"/>
        <v>1.4248893643923566E-2</v>
      </c>
      <c r="F38" s="73">
        <v>18499.349999999999</v>
      </c>
      <c r="G38" s="76">
        <f t="shared" si="1"/>
        <v>1.6257951811200044E-2</v>
      </c>
    </row>
    <row r="39" spans="2:7" x14ac:dyDescent="0.35">
      <c r="B39" s="72">
        <v>45074</v>
      </c>
      <c r="C39" s="73">
        <v>3237.25</v>
      </c>
      <c r="D39" s="76">
        <f t="shared" si="0"/>
        <v>3.4794143971359048E-2</v>
      </c>
      <c r="F39" s="73">
        <v>18534.099999999999</v>
      </c>
      <c r="G39" s="76">
        <f t="shared" si="1"/>
        <v>1.8784443777755122E-3</v>
      </c>
    </row>
    <row r="40" spans="2:7" x14ac:dyDescent="0.35">
      <c r="B40" s="72">
        <v>45081</v>
      </c>
      <c r="C40" s="73">
        <v>3180.55</v>
      </c>
      <c r="D40" s="76">
        <f t="shared" si="0"/>
        <v>-1.7514866012819486E-2</v>
      </c>
      <c r="F40" s="73">
        <v>18563.400000000001</v>
      </c>
      <c r="G40" s="76">
        <f t="shared" si="1"/>
        <v>1.5808698561032841E-3</v>
      </c>
    </row>
    <row r="41" spans="2:7" x14ac:dyDescent="0.35">
      <c r="B41" s="72">
        <v>45088</v>
      </c>
      <c r="C41" s="73">
        <v>3316.85</v>
      </c>
      <c r="D41" s="76">
        <f t="shared" si="0"/>
        <v>4.2854223326154184E-2</v>
      </c>
      <c r="F41" s="73">
        <v>18826</v>
      </c>
      <c r="G41" s="76">
        <f t="shared" si="1"/>
        <v>1.4146115474535925E-2</v>
      </c>
    </row>
    <row r="42" spans="2:7" x14ac:dyDescent="0.35">
      <c r="B42" s="72">
        <v>45095</v>
      </c>
      <c r="C42" s="73">
        <v>3297.7</v>
      </c>
      <c r="D42" s="76">
        <f t="shared" si="0"/>
        <v>-5.7735502057675303E-3</v>
      </c>
      <c r="F42" s="73">
        <v>18665.5</v>
      </c>
      <c r="G42" s="76">
        <f t="shared" si="1"/>
        <v>-8.5254435355359703E-3</v>
      </c>
    </row>
    <row r="43" spans="2:7" x14ac:dyDescent="0.35">
      <c r="B43" s="72">
        <v>45102</v>
      </c>
      <c r="C43" s="73">
        <v>3362.05</v>
      </c>
      <c r="D43" s="76">
        <f t="shared" si="0"/>
        <v>1.9513600388149532E-2</v>
      </c>
      <c r="F43" s="73">
        <v>19189.05</v>
      </c>
      <c r="G43" s="76">
        <f t="shared" si="1"/>
        <v>2.8049074495727355E-2</v>
      </c>
    </row>
    <row r="44" spans="2:7" x14ac:dyDescent="0.35">
      <c r="B44" s="72">
        <v>45109</v>
      </c>
      <c r="C44" s="73">
        <v>3343.7</v>
      </c>
      <c r="D44" s="76">
        <f t="shared" si="0"/>
        <v>-5.4579795065511361E-3</v>
      </c>
      <c r="F44" s="73">
        <v>19331.8</v>
      </c>
      <c r="G44" s="76">
        <f t="shared" si="1"/>
        <v>7.4391384669902916E-3</v>
      </c>
    </row>
    <row r="45" spans="2:7" x14ac:dyDescent="0.35">
      <c r="B45" s="72">
        <v>45116</v>
      </c>
      <c r="C45" s="73">
        <v>3429.75</v>
      </c>
      <c r="D45" s="76">
        <f t="shared" si="0"/>
        <v>2.5734964261147963E-2</v>
      </c>
      <c r="F45" s="73">
        <v>19564.5</v>
      </c>
      <c r="G45" s="76">
        <f t="shared" si="1"/>
        <v>1.2037161567986399E-2</v>
      </c>
    </row>
    <row r="46" spans="2:7" x14ac:dyDescent="0.35">
      <c r="B46" s="72">
        <v>45123</v>
      </c>
      <c r="C46" s="73">
        <v>3517.7</v>
      </c>
      <c r="D46" s="76">
        <f t="shared" si="0"/>
        <v>2.564326845980025E-2</v>
      </c>
      <c r="F46" s="73">
        <v>19745</v>
      </c>
      <c r="G46" s="76">
        <f t="shared" si="1"/>
        <v>9.225893838329613E-3</v>
      </c>
    </row>
    <row r="47" spans="2:7" x14ac:dyDescent="0.35">
      <c r="B47" s="72">
        <v>45130</v>
      </c>
      <c r="C47" s="73">
        <v>3390.7</v>
      </c>
      <c r="D47" s="76">
        <f t="shared" si="0"/>
        <v>-3.6103135571538214E-2</v>
      </c>
      <c r="F47" s="73">
        <v>19646.05</v>
      </c>
      <c r="G47" s="76">
        <f t="shared" si="1"/>
        <v>-5.0113952899468739E-3</v>
      </c>
    </row>
    <row r="48" spans="2:7" x14ac:dyDescent="0.35">
      <c r="B48" s="72">
        <v>45137</v>
      </c>
      <c r="C48" s="73">
        <v>3339.65</v>
      </c>
      <c r="D48" s="76">
        <f t="shared" si="0"/>
        <v>-1.5055888164685727E-2</v>
      </c>
      <c r="F48" s="73">
        <v>19517</v>
      </c>
      <c r="G48" s="76">
        <f t="shared" si="1"/>
        <v>-6.568750461288575E-3</v>
      </c>
    </row>
    <row r="49" spans="2:7" x14ac:dyDescent="0.35">
      <c r="B49" s="72">
        <v>45144</v>
      </c>
      <c r="C49" s="73">
        <v>3185.35</v>
      </c>
      <c r="D49" s="76">
        <f t="shared" si="0"/>
        <v>-4.620244636414006E-2</v>
      </c>
      <c r="F49" s="73">
        <v>19428.3</v>
      </c>
      <c r="G49" s="76">
        <f t="shared" si="1"/>
        <v>-4.5447558538710409E-3</v>
      </c>
    </row>
    <row r="50" spans="2:7" x14ac:dyDescent="0.35">
      <c r="B50" s="72">
        <v>45151</v>
      </c>
      <c r="C50" s="73">
        <v>3163.55</v>
      </c>
      <c r="D50" s="76">
        <f t="shared" si="0"/>
        <v>-6.8438319179995322E-3</v>
      </c>
      <c r="F50" s="73">
        <v>19310.150000000001</v>
      </c>
      <c r="G50" s="76">
        <f t="shared" si="1"/>
        <v>-6.0813349598265454E-3</v>
      </c>
    </row>
    <row r="51" spans="2:7" x14ac:dyDescent="0.35">
      <c r="B51" s="72">
        <v>45158</v>
      </c>
      <c r="C51" s="73">
        <v>3259.3</v>
      </c>
      <c r="D51" s="76">
        <f t="shared" si="0"/>
        <v>3.0266630841933928E-2</v>
      </c>
      <c r="F51" s="73">
        <v>19265.8</v>
      </c>
      <c r="G51" s="76">
        <f t="shared" si="1"/>
        <v>-2.2967196008317758E-3</v>
      </c>
    </row>
    <row r="52" spans="2:7" x14ac:dyDescent="0.35">
      <c r="B52" s="72">
        <v>45165</v>
      </c>
      <c r="C52" s="73">
        <v>3259.55</v>
      </c>
      <c r="D52" s="76">
        <f t="shared" si="0"/>
        <v>7.6703586659787604E-5</v>
      </c>
      <c r="F52" s="73">
        <v>19435.3</v>
      </c>
      <c r="G52" s="76">
        <f t="shared" si="1"/>
        <v>8.7979736112697715E-3</v>
      </c>
    </row>
    <row r="53" spans="2:7" x14ac:dyDescent="0.35">
      <c r="B53" s="72">
        <v>45172</v>
      </c>
      <c r="C53" s="73">
        <v>3238.05</v>
      </c>
      <c r="D53" s="76">
        <f t="shared" si="0"/>
        <v>-6.5960025156847069E-3</v>
      </c>
      <c r="F53" s="73">
        <v>19819.95</v>
      </c>
      <c r="G53" s="76">
        <f t="shared" si="1"/>
        <v>1.9791307569216876E-2</v>
      </c>
    </row>
    <row r="54" spans="2:7" x14ac:dyDescent="0.35">
      <c r="B54" s="72">
        <v>45179</v>
      </c>
      <c r="C54" s="73">
        <v>3196.65</v>
      </c>
      <c r="D54" s="76">
        <f t="shared" si="0"/>
        <v>-1.2785472738222059E-2</v>
      </c>
      <c r="F54" s="73">
        <v>20192.349999999999</v>
      </c>
      <c r="G54" s="76">
        <f t="shared" si="1"/>
        <v>1.8789149316723597E-2</v>
      </c>
    </row>
    <row r="55" spans="2:7" x14ac:dyDescent="0.35">
      <c r="B55" s="72">
        <v>45186</v>
      </c>
      <c r="C55" s="73">
        <v>3274.85</v>
      </c>
      <c r="D55" s="76">
        <f t="shared" si="0"/>
        <v>2.4463109818090745E-2</v>
      </c>
      <c r="F55" s="73">
        <v>19674.25</v>
      </c>
      <c r="G55" s="76">
        <f t="shared" si="1"/>
        <v>-2.5658231954180599E-2</v>
      </c>
    </row>
    <row r="56" spans="2:7" x14ac:dyDescent="0.35">
      <c r="B56" s="72">
        <v>45193</v>
      </c>
      <c r="C56" s="73">
        <v>3161.05</v>
      </c>
      <c r="D56" s="76">
        <f t="shared" si="0"/>
        <v>-3.4749683191596437E-2</v>
      </c>
      <c r="F56" s="73">
        <v>19638.3</v>
      </c>
      <c r="G56" s="76">
        <f t="shared" si="1"/>
        <v>-1.8272615220402688E-3</v>
      </c>
    </row>
    <row r="57" spans="2:7" x14ac:dyDescent="0.35">
      <c r="B57" s="72">
        <v>45200</v>
      </c>
      <c r="C57" s="73">
        <v>3195.75</v>
      </c>
      <c r="D57" s="76">
        <f t="shared" si="0"/>
        <v>1.0977365116021431E-2</v>
      </c>
      <c r="F57" s="73">
        <v>19653.5</v>
      </c>
      <c r="G57" s="76">
        <f t="shared" si="1"/>
        <v>7.7399774929598486E-4</v>
      </c>
    </row>
    <row r="58" spans="2:7" x14ac:dyDescent="0.35">
      <c r="B58" s="72">
        <v>45207</v>
      </c>
      <c r="C58" s="73">
        <v>3148.8</v>
      </c>
      <c r="D58" s="76">
        <f t="shared" si="0"/>
        <v>-1.4691386998357148E-2</v>
      </c>
      <c r="F58" s="73">
        <v>19751.05</v>
      </c>
      <c r="G58" s="76">
        <f t="shared" si="1"/>
        <v>4.9634925076957881E-3</v>
      </c>
    </row>
    <row r="59" spans="2:7" x14ac:dyDescent="0.35">
      <c r="B59" s="72">
        <v>45214</v>
      </c>
      <c r="C59" s="73">
        <v>3105.85</v>
      </c>
      <c r="D59" s="76">
        <f t="shared" si="0"/>
        <v>-1.3640116869918839E-2</v>
      </c>
      <c r="F59" s="73">
        <v>19542.650000000001</v>
      </c>
      <c r="G59" s="76">
        <f t="shared" si="1"/>
        <v>-1.0551337776978809E-2</v>
      </c>
    </row>
    <row r="60" spans="2:7" x14ac:dyDescent="0.35">
      <c r="B60" s="72">
        <v>45221</v>
      </c>
      <c r="C60" s="73">
        <v>2955.15</v>
      </c>
      <c r="D60" s="76">
        <f t="shared" si="0"/>
        <v>-4.8521338763945376E-2</v>
      </c>
      <c r="F60" s="73">
        <v>19047.25</v>
      </c>
      <c r="G60" s="76">
        <f t="shared" si="1"/>
        <v>-2.5349683896503383E-2</v>
      </c>
    </row>
    <row r="61" spans="2:7" x14ac:dyDescent="0.35">
      <c r="B61" s="72">
        <v>45228</v>
      </c>
      <c r="C61" s="73">
        <v>2977.85</v>
      </c>
      <c r="D61" s="76">
        <f t="shared" si="0"/>
        <v>7.681505168942282E-3</v>
      </c>
      <c r="F61" s="73">
        <v>19230.599999999999</v>
      </c>
      <c r="G61" s="76">
        <f t="shared" si="1"/>
        <v>9.6260615049414966E-3</v>
      </c>
    </row>
    <row r="62" spans="2:7" x14ac:dyDescent="0.35">
      <c r="B62" s="72">
        <v>45235</v>
      </c>
      <c r="C62" s="73">
        <v>3076.45</v>
      </c>
      <c r="D62" s="76">
        <f t="shared" si="0"/>
        <v>3.3111137229880683E-2</v>
      </c>
      <c r="F62" s="73">
        <v>19425.349999999999</v>
      </c>
      <c r="G62" s="76">
        <f t="shared" si="1"/>
        <v>1.0127089118384225E-2</v>
      </c>
    </row>
    <row r="63" spans="2:7" x14ac:dyDescent="0.35">
      <c r="B63" s="72">
        <v>45242</v>
      </c>
      <c r="C63" s="73">
        <v>3168.9</v>
      </c>
      <c r="D63" s="76">
        <f t="shared" si="0"/>
        <v>3.005087032131204E-2</v>
      </c>
      <c r="F63" s="73">
        <v>19731.8</v>
      </c>
      <c r="G63" s="76">
        <f t="shared" si="1"/>
        <v>1.5775777527818002E-2</v>
      </c>
    </row>
    <row r="64" spans="2:7" x14ac:dyDescent="0.35">
      <c r="B64" s="72">
        <v>45249</v>
      </c>
      <c r="C64" s="73">
        <v>3136.15</v>
      </c>
      <c r="D64" s="76">
        <f t="shared" si="0"/>
        <v>-1.0334816497838406E-2</v>
      </c>
      <c r="F64" s="73">
        <v>19794.7</v>
      </c>
      <c r="G64" s="76">
        <f t="shared" si="1"/>
        <v>3.1877476966115648E-3</v>
      </c>
    </row>
    <row r="65" spans="2:7" x14ac:dyDescent="0.35">
      <c r="B65" s="72">
        <v>45256</v>
      </c>
      <c r="C65" s="73">
        <v>3173.4</v>
      </c>
      <c r="D65" s="76">
        <f t="shared" si="0"/>
        <v>1.187762064952258E-2</v>
      </c>
      <c r="F65" s="73">
        <v>20267.900000000001</v>
      </c>
      <c r="G65" s="76">
        <f t="shared" si="1"/>
        <v>2.3905388816198414E-2</v>
      </c>
    </row>
    <row r="66" spans="2:7" x14ac:dyDescent="0.35">
      <c r="B66" s="72">
        <v>45263</v>
      </c>
      <c r="C66" s="73">
        <v>3232</v>
      </c>
      <c r="D66" s="76">
        <f t="shared" si="0"/>
        <v>1.8465998613474532E-2</v>
      </c>
      <c r="F66" s="73">
        <v>20969.400000000001</v>
      </c>
      <c r="G66" s="76">
        <f t="shared" si="1"/>
        <v>3.4611380557433069E-2</v>
      </c>
    </row>
    <row r="67" spans="2:7" x14ac:dyDescent="0.35">
      <c r="B67" s="72">
        <v>45270</v>
      </c>
      <c r="C67" s="73">
        <v>3313.9</v>
      </c>
      <c r="D67" s="76">
        <f t="shared" si="0"/>
        <v>2.5340346534653557E-2</v>
      </c>
      <c r="F67" s="73">
        <v>21456.65</v>
      </c>
      <c r="G67" s="76">
        <f t="shared" si="1"/>
        <v>2.3236239472755438E-2</v>
      </c>
    </row>
    <row r="68" spans="2:7" x14ac:dyDescent="0.35">
      <c r="B68" s="72">
        <v>45277</v>
      </c>
      <c r="C68" s="73">
        <v>3341.3</v>
      </c>
      <c r="D68" s="76">
        <f t="shared" si="0"/>
        <v>8.2682036271461978E-3</v>
      </c>
      <c r="F68" s="73">
        <v>21349.4</v>
      </c>
      <c r="G68" s="76">
        <f t="shared" si="1"/>
        <v>-4.9984503638732525E-3</v>
      </c>
    </row>
    <row r="69" spans="2:7" x14ac:dyDescent="0.35">
      <c r="B69" s="72">
        <v>45284</v>
      </c>
      <c r="C69" s="73">
        <v>3402.4</v>
      </c>
      <c r="D69" s="76">
        <f t="shared" si="0"/>
        <v>1.8286295753149995E-2</v>
      </c>
      <c r="F69" s="73">
        <v>21731.4</v>
      </c>
      <c r="G69" s="76">
        <f t="shared" si="1"/>
        <v>1.7892774504201459E-2</v>
      </c>
    </row>
    <row r="70" spans="2:7" x14ac:dyDescent="0.35">
      <c r="B70" s="72">
        <v>45291</v>
      </c>
      <c r="C70" s="73">
        <v>3355.55</v>
      </c>
      <c r="D70" s="76">
        <f t="shared" si="0"/>
        <v>-1.3769691982130183E-2</v>
      </c>
      <c r="F70" s="73">
        <v>21710.799999999999</v>
      </c>
      <c r="G70" s="76">
        <f t="shared" si="1"/>
        <v>-9.479370864280412E-4</v>
      </c>
    </row>
    <row r="71" spans="2:7" x14ac:dyDescent="0.35">
      <c r="B71" s="72">
        <v>45298</v>
      </c>
      <c r="C71" s="73">
        <v>3277.8</v>
      </c>
      <c r="D71" s="76">
        <f t="shared" si="0"/>
        <v>-2.3170568163192296E-2</v>
      </c>
      <c r="F71" s="73">
        <v>21894.55</v>
      </c>
      <c r="G71" s="76">
        <f t="shared" si="1"/>
        <v>8.4635296718684749E-3</v>
      </c>
    </row>
    <row r="72" spans="2:7" x14ac:dyDescent="0.35">
      <c r="B72" s="72">
        <v>45305</v>
      </c>
      <c r="C72" s="73">
        <v>3165.85</v>
      </c>
      <c r="D72" s="76">
        <f t="shared" si="0"/>
        <v>-3.4154005735554382E-2</v>
      </c>
      <c r="F72" s="73">
        <v>21622.400000000001</v>
      </c>
      <c r="G72" s="76">
        <f t="shared" si="1"/>
        <v>-1.2430033958222397E-2</v>
      </c>
    </row>
    <row r="73" spans="2:7" x14ac:dyDescent="0.35">
      <c r="B73" s="72">
        <v>45312</v>
      </c>
      <c r="C73" s="73">
        <v>2949.2</v>
      </c>
      <c r="D73" s="76">
        <f t="shared" si="0"/>
        <v>-6.8433438097193489E-2</v>
      </c>
      <c r="F73" s="73">
        <v>21352.6</v>
      </c>
      <c r="G73" s="76">
        <f t="shared" si="1"/>
        <v>-1.2477800799171379E-2</v>
      </c>
    </row>
    <row r="74" spans="2:7" x14ac:dyDescent="0.35">
      <c r="B74" s="72">
        <v>45319</v>
      </c>
      <c r="C74" s="73">
        <v>2936.3</v>
      </c>
      <c r="D74" s="76">
        <f t="shared" ref="D74:D111" si="2">(C74/C73)-1</f>
        <v>-4.3740675437405896E-3</v>
      </c>
      <c r="F74" s="73">
        <v>21853.8</v>
      </c>
      <c r="G74" s="76">
        <f t="shared" ref="G74:G111" si="3">(F74/F73)-1</f>
        <v>2.3472551352060167E-2</v>
      </c>
    </row>
    <row r="75" spans="2:7" x14ac:dyDescent="0.35">
      <c r="B75" s="72">
        <v>45326</v>
      </c>
      <c r="C75" s="73">
        <v>2951.65</v>
      </c>
      <c r="D75" s="76">
        <f t="shared" si="2"/>
        <v>5.2276674726696726E-3</v>
      </c>
      <c r="F75" s="73">
        <v>21782.5</v>
      </c>
      <c r="G75" s="76">
        <f t="shared" si="3"/>
        <v>-3.2625904876955047E-3</v>
      </c>
    </row>
    <row r="76" spans="2:7" x14ac:dyDescent="0.35">
      <c r="B76" s="72">
        <v>45333</v>
      </c>
      <c r="C76" s="73">
        <v>3007.9</v>
      </c>
      <c r="D76" s="76">
        <f t="shared" si="2"/>
        <v>1.9057137533244006E-2</v>
      </c>
      <c r="F76" s="73">
        <v>22040.7</v>
      </c>
      <c r="G76" s="76">
        <f t="shared" si="3"/>
        <v>1.1853552163433978E-2</v>
      </c>
    </row>
    <row r="77" spans="2:7" x14ac:dyDescent="0.35">
      <c r="B77" s="72">
        <v>45340</v>
      </c>
      <c r="C77" s="73">
        <v>2985.95</v>
      </c>
      <c r="D77" s="76">
        <f t="shared" si="2"/>
        <v>-7.2974500482064775E-3</v>
      </c>
      <c r="F77" s="73">
        <v>22212.7</v>
      </c>
      <c r="G77" s="76">
        <f t="shared" si="3"/>
        <v>7.8037448901351336E-3</v>
      </c>
    </row>
    <row r="78" spans="2:7" x14ac:dyDescent="0.35">
      <c r="B78" s="72">
        <v>45347</v>
      </c>
      <c r="C78" s="73">
        <v>2831.75</v>
      </c>
      <c r="D78" s="76">
        <f t="shared" si="2"/>
        <v>-5.1641856025720356E-2</v>
      </c>
      <c r="F78" s="73">
        <v>22338.75</v>
      </c>
      <c r="G78" s="76">
        <f t="shared" si="3"/>
        <v>5.6746816010659895E-3</v>
      </c>
    </row>
    <row r="79" spans="2:7" x14ac:dyDescent="0.35">
      <c r="B79" s="72">
        <v>45354</v>
      </c>
      <c r="C79" s="73">
        <v>2870.55</v>
      </c>
      <c r="D79" s="76">
        <f t="shared" si="2"/>
        <v>1.3701774521055921E-2</v>
      </c>
      <c r="F79" s="73">
        <v>22493.55</v>
      </c>
      <c r="G79" s="76">
        <f t="shared" si="3"/>
        <v>6.929662581836471E-3</v>
      </c>
    </row>
    <row r="80" spans="2:7" x14ac:dyDescent="0.35">
      <c r="B80" s="72">
        <v>45361</v>
      </c>
      <c r="C80" s="73">
        <v>2867.55</v>
      </c>
      <c r="D80" s="76">
        <f t="shared" si="2"/>
        <v>-1.0450958875476424E-3</v>
      </c>
      <c r="F80" s="73">
        <v>22023.35</v>
      </c>
      <c r="G80" s="76">
        <f t="shared" si="3"/>
        <v>-2.0903770191899484E-2</v>
      </c>
    </row>
    <row r="81" spans="2:7" x14ac:dyDescent="0.35">
      <c r="B81" s="72">
        <v>45368</v>
      </c>
      <c r="C81" s="73">
        <v>2841.5</v>
      </c>
      <c r="D81" s="76">
        <f t="shared" si="2"/>
        <v>-9.0844100364423364E-3</v>
      </c>
      <c r="F81" s="73">
        <v>22096.75</v>
      </c>
      <c r="G81" s="76">
        <f t="shared" si="3"/>
        <v>3.3328262957270649E-3</v>
      </c>
    </row>
    <row r="82" spans="2:7" x14ac:dyDescent="0.35">
      <c r="B82" s="72">
        <v>45375</v>
      </c>
      <c r="C82" s="73">
        <v>2846.75</v>
      </c>
      <c r="D82" s="76">
        <f t="shared" si="2"/>
        <v>1.8476156959352785E-3</v>
      </c>
      <c r="F82" s="73">
        <v>22326.9</v>
      </c>
      <c r="G82" s="76">
        <f t="shared" si="3"/>
        <v>1.0415558849152129E-2</v>
      </c>
    </row>
    <row r="83" spans="2:7" x14ac:dyDescent="0.35">
      <c r="B83" s="72">
        <v>45382</v>
      </c>
      <c r="C83" s="73">
        <v>2883.45</v>
      </c>
      <c r="D83" s="76">
        <f t="shared" si="2"/>
        <v>1.2891894265390391E-2</v>
      </c>
      <c r="F83" s="73">
        <v>22513.7</v>
      </c>
      <c r="G83" s="76">
        <f t="shared" si="3"/>
        <v>8.3665891816597782E-3</v>
      </c>
    </row>
    <row r="84" spans="2:7" x14ac:dyDescent="0.35">
      <c r="B84" s="72">
        <v>45389</v>
      </c>
      <c r="C84" s="73">
        <v>2854.5</v>
      </c>
      <c r="D84" s="76">
        <f t="shared" si="2"/>
        <v>-1.0040056182697765E-2</v>
      </c>
      <c r="F84" s="73">
        <v>22519.4</v>
      </c>
      <c r="G84" s="76">
        <f t="shared" si="3"/>
        <v>2.5317917534661838E-4</v>
      </c>
    </row>
    <row r="85" spans="2:7" x14ac:dyDescent="0.35">
      <c r="B85" s="72">
        <v>45396</v>
      </c>
      <c r="C85" s="73">
        <v>2808.55</v>
      </c>
      <c r="D85" s="76">
        <f t="shared" si="2"/>
        <v>-1.6097390085829333E-2</v>
      </c>
      <c r="F85" s="73">
        <v>22147</v>
      </c>
      <c r="G85" s="76">
        <f t="shared" si="3"/>
        <v>-1.6536852669254087E-2</v>
      </c>
    </row>
    <row r="86" spans="2:7" x14ac:dyDescent="0.35">
      <c r="B86" s="72">
        <v>45403</v>
      </c>
      <c r="C86" s="73">
        <v>2844.15</v>
      </c>
      <c r="D86" s="76">
        <f t="shared" si="2"/>
        <v>1.2675579925584435E-2</v>
      </c>
      <c r="F86" s="73">
        <v>22419.95</v>
      </c>
      <c r="G86" s="76">
        <f t="shared" si="3"/>
        <v>1.2324468325281002E-2</v>
      </c>
    </row>
    <row r="87" spans="2:7" x14ac:dyDescent="0.35">
      <c r="B87" s="72">
        <v>45410</v>
      </c>
      <c r="C87" s="73">
        <v>2929.75</v>
      </c>
      <c r="D87" s="76">
        <f t="shared" si="2"/>
        <v>3.0096865495842229E-2</v>
      </c>
      <c r="F87" s="73">
        <v>22475.85</v>
      </c>
      <c r="G87" s="76">
        <f t="shared" si="3"/>
        <v>2.4933151055197555E-3</v>
      </c>
    </row>
    <row r="88" spans="2:7" x14ac:dyDescent="0.35">
      <c r="B88" s="72">
        <v>45417</v>
      </c>
      <c r="C88" s="73">
        <v>2771.25</v>
      </c>
      <c r="D88" s="76">
        <f t="shared" si="2"/>
        <v>-5.4100179196177156E-2</v>
      </c>
      <c r="F88" s="73">
        <v>22055.200000000001</v>
      </c>
      <c r="G88" s="76">
        <f t="shared" si="3"/>
        <v>-1.8715643679771743E-2</v>
      </c>
    </row>
    <row r="89" spans="2:7" x14ac:dyDescent="0.35">
      <c r="B89" s="72">
        <v>45424</v>
      </c>
      <c r="C89" s="73">
        <v>2809.9</v>
      </c>
      <c r="D89" s="76">
        <f t="shared" si="2"/>
        <v>1.3946774921064442E-2</v>
      </c>
      <c r="F89" s="73">
        <v>22466.1</v>
      </c>
      <c r="G89" s="76">
        <f t="shared" si="3"/>
        <v>1.8630527041241907E-2</v>
      </c>
    </row>
    <row r="90" spans="2:7" x14ac:dyDescent="0.35">
      <c r="B90" s="72">
        <v>45431</v>
      </c>
      <c r="C90" s="73">
        <v>2874.75</v>
      </c>
      <c r="D90" s="76">
        <f t="shared" si="2"/>
        <v>2.3079113135698659E-2</v>
      </c>
      <c r="F90" s="73">
        <v>22957.1</v>
      </c>
      <c r="G90" s="76">
        <f t="shared" si="3"/>
        <v>2.1855150649200406E-2</v>
      </c>
    </row>
    <row r="91" spans="2:7" x14ac:dyDescent="0.35">
      <c r="B91" s="72">
        <v>45438</v>
      </c>
      <c r="C91" s="73">
        <v>2881.2</v>
      </c>
      <c r="D91" s="76">
        <f t="shared" si="2"/>
        <v>2.2436733629009886E-3</v>
      </c>
      <c r="F91" s="73">
        <v>22530.7</v>
      </c>
      <c r="G91" s="76">
        <f t="shared" si="3"/>
        <v>-1.8573774562117951E-2</v>
      </c>
    </row>
    <row r="92" spans="2:7" x14ac:dyDescent="0.35">
      <c r="B92" s="72">
        <v>45445</v>
      </c>
      <c r="C92" s="73">
        <v>2927.7</v>
      </c>
      <c r="D92" s="76">
        <f t="shared" si="2"/>
        <v>1.6139108704706473E-2</v>
      </c>
      <c r="F92" s="73">
        <v>23290.15</v>
      </c>
      <c r="G92" s="76">
        <f t="shared" si="3"/>
        <v>3.3707341538434354E-2</v>
      </c>
    </row>
    <row r="93" spans="2:7" x14ac:dyDescent="0.35">
      <c r="B93" s="72">
        <v>45452</v>
      </c>
      <c r="C93" s="73">
        <v>2921.6</v>
      </c>
      <c r="D93" s="76">
        <f t="shared" si="2"/>
        <v>-2.0835468114902556E-3</v>
      </c>
      <c r="F93" s="73">
        <v>23465.599999999999</v>
      </c>
      <c r="G93" s="76">
        <f t="shared" si="3"/>
        <v>7.5332275661599279E-3</v>
      </c>
    </row>
    <row r="94" spans="2:7" x14ac:dyDescent="0.35">
      <c r="B94" s="72">
        <v>45459</v>
      </c>
      <c r="C94" s="73">
        <v>2890.85</v>
      </c>
      <c r="D94" s="76">
        <f t="shared" si="2"/>
        <v>-1.0525054764512598E-2</v>
      </c>
      <c r="F94" s="73">
        <v>23501.1</v>
      </c>
      <c r="G94" s="76">
        <f t="shared" si="3"/>
        <v>1.5128528569481325E-3</v>
      </c>
    </row>
    <row r="95" spans="2:7" x14ac:dyDescent="0.35">
      <c r="B95" s="72">
        <v>45466</v>
      </c>
      <c r="C95" s="73">
        <v>2917.05</v>
      </c>
      <c r="D95" s="76">
        <f t="shared" si="2"/>
        <v>9.0630783333622844E-3</v>
      </c>
      <c r="F95" s="73">
        <v>24010.6</v>
      </c>
      <c r="G95" s="76">
        <f t="shared" si="3"/>
        <v>2.1679836262983532E-2</v>
      </c>
    </row>
    <row r="96" spans="2:7" x14ac:dyDescent="0.35">
      <c r="B96" s="72">
        <v>45473</v>
      </c>
      <c r="C96" s="73">
        <v>2935.9</v>
      </c>
      <c r="D96" s="76">
        <f t="shared" si="2"/>
        <v>6.4620078503967449E-3</v>
      </c>
      <c r="F96" s="73">
        <v>24323.85</v>
      </c>
      <c r="G96" s="76">
        <f t="shared" si="3"/>
        <v>1.3046321208133094E-2</v>
      </c>
    </row>
    <row r="97" spans="2:7" x14ac:dyDescent="0.35">
      <c r="B97" s="72">
        <v>45480</v>
      </c>
      <c r="C97" s="73">
        <v>2999.15</v>
      </c>
      <c r="D97" s="76">
        <f t="shared" si="2"/>
        <v>2.1543649306856594E-2</v>
      </c>
      <c r="F97" s="73">
        <v>24502.15</v>
      </c>
      <c r="G97" s="76">
        <f t="shared" si="3"/>
        <v>7.3302540510651326E-3</v>
      </c>
    </row>
    <row r="98" spans="2:7" x14ac:dyDescent="0.35">
      <c r="B98" s="72">
        <v>45487</v>
      </c>
      <c r="C98" s="73">
        <v>2946.05</v>
      </c>
      <c r="D98" s="76">
        <f t="shared" si="2"/>
        <v>-1.7705016421319386E-2</v>
      </c>
      <c r="F98" s="73">
        <v>24530.9</v>
      </c>
      <c r="G98" s="76">
        <f t="shared" si="3"/>
        <v>1.1733664188653403E-3</v>
      </c>
    </row>
    <row r="99" spans="2:7" x14ac:dyDescent="0.35">
      <c r="B99" s="72">
        <v>45494</v>
      </c>
      <c r="C99" s="73">
        <v>2950.15</v>
      </c>
      <c r="D99" s="76">
        <f t="shared" si="2"/>
        <v>1.3916939631031244E-3</v>
      </c>
      <c r="F99" s="73">
        <v>24834.85</v>
      </c>
      <c r="G99" s="76">
        <f t="shared" si="3"/>
        <v>1.2390495252925682E-2</v>
      </c>
    </row>
    <row r="100" spans="2:7" x14ac:dyDescent="0.35">
      <c r="B100" s="72">
        <v>45501</v>
      </c>
      <c r="C100" s="73">
        <v>3106.7</v>
      </c>
      <c r="D100" s="76">
        <f t="shared" si="2"/>
        <v>5.3065098384827758E-2</v>
      </c>
      <c r="F100" s="73">
        <v>24717.7</v>
      </c>
      <c r="G100" s="76">
        <f t="shared" si="3"/>
        <v>-4.7171615693268887E-3</v>
      </c>
    </row>
    <row r="101" spans="2:7" x14ac:dyDescent="0.35">
      <c r="B101" s="72">
        <v>45508</v>
      </c>
      <c r="C101" s="73">
        <v>3040.6</v>
      </c>
      <c r="D101" s="76">
        <f t="shared" si="2"/>
        <v>-2.1276595744680771E-2</v>
      </c>
      <c r="F101" s="73">
        <v>24367.5</v>
      </c>
      <c r="G101" s="76">
        <f t="shared" si="3"/>
        <v>-1.4167984885325113E-2</v>
      </c>
    </row>
    <row r="102" spans="2:7" x14ac:dyDescent="0.35">
      <c r="B102" s="72">
        <v>45515</v>
      </c>
      <c r="C102" s="73">
        <v>3048.15</v>
      </c>
      <c r="D102" s="76">
        <f t="shared" si="2"/>
        <v>2.4830625534435491E-3</v>
      </c>
      <c r="F102" s="73">
        <v>24541.15</v>
      </c>
      <c r="G102" s="76">
        <f t="shared" si="3"/>
        <v>7.1262952703396998E-3</v>
      </c>
    </row>
    <row r="103" spans="2:7" x14ac:dyDescent="0.35">
      <c r="B103" s="72">
        <v>45522</v>
      </c>
      <c r="C103" s="73">
        <v>3154.65</v>
      </c>
      <c r="D103" s="76">
        <f t="shared" si="2"/>
        <v>3.4939225431819265E-2</v>
      </c>
      <c r="F103" s="73">
        <v>24823.15</v>
      </c>
      <c r="G103" s="76">
        <f t="shared" si="3"/>
        <v>1.1490904052988471E-2</v>
      </c>
    </row>
    <row r="104" spans="2:7" x14ac:dyDescent="0.35">
      <c r="B104" s="72">
        <v>45529</v>
      </c>
      <c r="C104" s="73">
        <v>3126.8</v>
      </c>
      <c r="D104" s="76">
        <f t="shared" si="2"/>
        <v>-8.8282376808836993E-3</v>
      </c>
      <c r="F104" s="73">
        <v>25235.9</v>
      </c>
      <c r="G104" s="76">
        <f t="shared" si="3"/>
        <v>1.6627623810837822E-2</v>
      </c>
    </row>
    <row r="105" spans="2:7" x14ac:dyDescent="0.35">
      <c r="B105" s="72">
        <v>45536</v>
      </c>
      <c r="C105" s="73">
        <v>3273.7</v>
      </c>
      <c r="D105" s="76">
        <f t="shared" si="2"/>
        <v>4.698093897914779E-2</v>
      </c>
      <c r="F105" s="73">
        <v>24852.15</v>
      </c>
      <c r="G105" s="76">
        <f t="shared" si="3"/>
        <v>-1.5206511358818231E-2</v>
      </c>
    </row>
    <row r="106" spans="2:7" x14ac:dyDescent="0.35">
      <c r="B106" s="72">
        <v>45543</v>
      </c>
      <c r="C106" s="73">
        <v>3358.05</v>
      </c>
      <c r="D106" s="76">
        <f t="shared" si="2"/>
        <v>2.57659528973333E-2</v>
      </c>
      <c r="F106" s="73">
        <v>25356.5</v>
      </c>
      <c r="G106" s="76">
        <f t="shared" si="3"/>
        <v>2.0294018827344829E-2</v>
      </c>
    </row>
    <row r="107" spans="2:7" x14ac:dyDescent="0.35">
      <c r="B107" s="72">
        <v>45550</v>
      </c>
      <c r="C107" s="73">
        <v>3306.95</v>
      </c>
      <c r="D107" s="76">
        <f t="shared" si="2"/>
        <v>-1.5217164723574816E-2</v>
      </c>
      <c r="F107" s="73">
        <v>25790.95</v>
      </c>
      <c r="G107" s="76">
        <f t="shared" si="3"/>
        <v>1.7133673811448702E-2</v>
      </c>
    </row>
    <row r="108" spans="2:7" x14ac:dyDescent="0.35">
      <c r="B108" s="72">
        <v>45557</v>
      </c>
      <c r="C108" s="73">
        <v>3310.75</v>
      </c>
      <c r="D108" s="76">
        <f t="shared" si="2"/>
        <v>1.1490950876185124E-3</v>
      </c>
      <c r="F108" s="73">
        <v>26178.95</v>
      </c>
      <c r="G108" s="76">
        <f t="shared" si="3"/>
        <v>1.5044036764834123E-2</v>
      </c>
    </row>
    <row r="109" spans="2:7" x14ac:dyDescent="0.35">
      <c r="B109" s="72">
        <v>45564</v>
      </c>
      <c r="C109" s="73">
        <v>3072.5</v>
      </c>
      <c r="D109" s="76">
        <f t="shared" si="2"/>
        <v>-7.1962546250849524E-2</v>
      </c>
      <c r="F109" s="73">
        <v>25014.6</v>
      </c>
      <c r="G109" s="76">
        <f t="shared" si="3"/>
        <v>-4.4476573735768743E-2</v>
      </c>
    </row>
    <row r="110" spans="2:7" x14ac:dyDescent="0.35">
      <c r="B110" s="72">
        <v>45571</v>
      </c>
      <c r="C110" s="73">
        <v>3037.2</v>
      </c>
      <c r="D110" s="76">
        <f t="shared" si="2"/>
        <v>-1.1489015459723362E-2</v>
      </c>
      <c r="F110" s="73">
        <v>24964.25</v>
      </c>
      <c r="G110" s="76">
        <f t="shared" si="3"/>
        <v>-2.0128245104857889E-3</v>
      </c>
    </row>
    <row r="111" spans="2:7" x14ac:dyDescent="0.35">
      <c r="B111" s="72">
        <v>45578</v>
      </c>
      <c r="C111" s="73">
        <v>2992.15</v>
      </c>
      <c r="D111" s="76">
        <f t="shared" si="2"/>
        <v>-1.4832740682207191E-2</v>
      </c>
      <c r="F111" s="73">
        <v>24854.05</v>
      </c>
      <c r="G111" s="76">
        <f t="shared" si="3"/>
        <v>-4.4143124668275524E-3</v>
      </c>
    </row>
  </sheetData>
  <mergeCells count="3">
    <mergeCell ref="B5:D5"/>
    <mergeCell ref="F5:G5"/>
    <mergeCell ref="I5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CF3A-7AEC-48B2-8625-377D07391E79}">
  <dimension ref="B2:F28"/>
  <sheetViews>
    <sheetView showGridLines="0" topLeftCell="A2" workbookViewId="0">
      <selection activeCell="H5" sqref="H5"/>
    </sheetView>
  </sheetViews>
  <sheetFormatPr defaultRowHeight="14.5" x14ac:dyDescent="0.35"/>
  <cols>
    <col min="1" max="1" width="1.81640625" customWidth="1"/>
    <col min="3" max="3" width="9.453125" bestFit="1" customWidth="1"/>
    <col min="5" max="5" width="13" bestFit="1" customWidth="1"/>
  </cols>
  <sheetData>
    <row r="2" spans="2:6" x14ac:dyDescent="0.35">
      <c r="B2" s="216" t="s">
        <v>266</v>
      </c>
      <c r="C2" s="216"/>
      <c r="D2" s="216"/>
      <c r="E2" s="216"/>
      <c r="F2" s="216"/>
    </row>
    <row r="3" spans="2:6" x14ac:dyDescent="0.35">
      <c r="B3" s="125" t="s">
        <v>265</v>
      </c>
      <c r="C3" s="126" t="s">
        <v>264</v>
      </c>
      <c r="E3" t="s">
        <v>267</v>
      </c>
      <c r="F3" s="22">
        <f>AVERAGE(C4:C27)</f>
        <v>0.15609166666666666</v>
      </c>
    </row>
    <row r="4" spans="2:6" x14ac:dyDescent="0.35">
      <c r="B4" s="60">
        <v>2000</v>
      </c>
      <c r="C4" s="76">
        <f>(-14.65)/100</f>
        <v>-0.14649999999999999</v>
      </c>
      <c r="E4" t="s">
        <v>268</v>
      </c>
      <c r="F4" s="106">
        <v>1.1599999999999999E-2</v>
      </c>
    </row>
    <row r="5" spans="2:6" x14ac:dyDescent="0.35">
      <c r="B5" s="60">
        <v>2001</v>
      </c>
      <c r="C5" s="76">
        <v>-0.1618</v>
      </c>
      <c r="E5" s="127" t="s">
        <v>269</v>
      </c>
      <c r="F5" s="128">
        <f>SUM(F3:F4)</f>
        <v>0.16769166666666666</v>
      </c>
    </row>
    <row r="6" spans="2:6" x14ac:dyDescent="0.35">
      <c r="B6" s="60">
        <v>2002</v>
      </c>
      <c r="C6" s="76">
        <v>3.2500000000000001E-2</v>
      </c>
    </row>
    <row r="7" spans="2:6" x14ac:dyDescent="0.35">
      <c r="B7" s="60">
        <v>2003</v>
      </c>
      <c r="C7" s="76">
        <v>0.71900000000000008</v>
      </c>
    </row>
    <row r="8" spans="2:6" x14ac:dyDescent="0.35">
      <c r="B8" s="60">
        <v>2004</v>
      </c>
      <c r="C8" s="76">
        <v>0.10679999999999999</v>
      </c>
    </row>
    <row r="9" spans="2:6" x14ac:dyDescent="0.35">
      <c r="B9" s="60">
        <v>2005</v>
      </c>
      <c r="C9" s="76">
        <v>0.36340000000000006</v>
      </c>
    </row>
    <row r="10" spans="2:6" x14ac:dyDescent="0.35">
      <c r="B10" s="60">
        <v>2006</v>
      </c>
      <c r="C10" s="76">
        <v>0.39829999999999999</v>
      </c>
    </row>
    <row r="11" spans="2:6" x14ac:dyDescent="0.35">
      <c r="B11" s="60">
        <v>2007</v>
      </c>
      <c r="C11" s="76">
        <v>0.54770000000000008</v>
      </c>
    </row>
    <row r="12" spans="2:6" x14ac:dyDescent="0.35">
      <c r="B12" s="60">
        <v>2008</v>
      </c>
      <c r="C12" s="76">
        <v>-0.51790000000000003</v>
      </c>
    </row>
    <row r="13" spans="2:6" x14ac:dyDescent="0.35">
      <c r="B13" s="60">
        <v>2009</v>
      </c>
      <c r="C13" s="76">
        <v>0.75760000000000005</v>
      </c>
    </row>
    <row r="14" spans="2:6" x14ac:dyDescent="0.35">
      <c r="B14" s="60">
        <v>2010</v>
      </c>
      <c r="C14" s="76">
        <v>0.17949999999999999</v>
      </c>
    </row>
    <row r="15" spans="2:6" x14ac:dyDescent="0.35">
      <c r="B15" s="60">
        <v>2011</v>
      </c>
      <c r="C15" s="76">
        <v>-0.2462</v>
      </c>
    </row>
    <row r="16" spans="2:6" x14ac:dyDescent="0.35">
      <c r="B16" s="60">
        <v>2012</v>
      </c>
      <c r="C16" s="76">
        <v>0.27699999999999997</v>
      </c>
    </row>
    <row r="17" spans="2:3" x14ac:dyDescent="0.35">
      <c r="B17" s="60">
        <v>2013</v>
      </c>
      <c r="C17" s="76">
        <v>6.7599999999999993E-2</v>
      </c>
    </row>
    <row r="18" spans="2:3" x14ac:dyDescent="0.35">
      <c r="B18" s="60">
        <v>2014</v>
      </c>
      <c r="C18" s="76">
        <v>0.31390000000000001</v>
      </c>
    </row>
    <row r="19" spans="2:3" x14ac:dyDescent="0.35">
      <c r="B19" s="60">
        <v>2015</v>
      </c>
      <c r="C19" s="76">
        <v>-4.0599999999999997E-2</v>
      </c>
    </row>
    <row r="20" spans="2:3" x14ac:dyDescent="0.35">
      <c r="B20" s="60">
        <v>2016</v>
      </c>
      <c r="C20" s="76">
        <v>3.0099999999999998E-2</v>
      </c>
    </row>
    <row r="21" spans="2:3" x14ac:dyDescent="0.35">
      <c r="B21" s="60">
        <v>2017</v>
      </c>
      <c r="C21" s="76">
        <v>0.28649999999999998</v>
      </c>
    </row>
    <row r="22" spans="2:3" x14ac:dyDescent="0.35">
      <c r="B22" s="60">
        <v>2018</v>
      </c>
      <c r="C22" s="76">
        <v>3.15E-2</v>
      </c>
    </row>
    <row r="23" spans="2:3" x14ac:dyDescent="0.35">
      <c r="B23" s="60">
        <v>2019</v>
      </c>
      <c r="C23" s="76">
        <v>0.1202</v>
      </c>
    </row>
    <row r="24" spans="2:3" x14ac:dyDescent="0.35">
      <c r="B24" s="60">
        <v>2020</v>
      </c>
      <c r="C24" s="76">
        <v>0.14899999999999999</v>
      </c>
    </row>
    <row r="25" spans="2:3" x14ac:dyDescent="0.35">
      <c r="B25" s="60">
        <v>2021</v>
      </c>
      <c r="C25" s="76">
        <v>0.2412</v>
      </c>
    </row>
    <row r="26" spans="2:3" x14ac:dyDescent="0.35">
      <c r="B26" s="60">
        <v>2022</v>
      </c>
      <c r="C26" s="76">
        <v>4.3200000000000002E-2</v>
      </c>
    </row>
    <row r="27" spans="2:3" x14ac:dyDescent="0.35">
      <c r="B27" s="60">
        <v>2023</v>
      </c>
      <c r="C27" s="76">
        <v>0.19420000000000001</v>
      </c>
    </row>
    <row r="28" spans="2:3" x14ac:dyDescent="0.35">
      <c r="B28" s="60">
        <v>2024</v>
      </c>
    </row>
  </sheetData>
  <mergeCells count="1">
    <mergeCell ref="B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D175-42E6-4A12-B383-6FD5600814A7}">
  <dimension ref="A2:N75"/>
  <sheetViews>
    <sheetView showGridLines="0" topLeftCell="B1" zoomScale="74" workbookViewId="0">
      <selection activeCell="R6" sqref="R6"/>
    </sheetView>
  </sheetViews>
  <sheetFormatPr defaultRowHeight="14.5" x14ac:dyDescent="0.35"/>
  <cols>
    <col min="1" max="1" width="1.81640625" customWidth="1"/>
    <col min="2" max="2" width="27.1796875" bestFit="1" customWidth="1"/>
    <col min="5" max="5" width="9" bestFit="1" customWidth="1"/>
    <col min="6" max="7" width="10.08984375" bestFit="1" customWidth="1"/>
    <col min="8" max="14" width="10.26953125" bestFit="1" customWidth="1"/>
  </cols>
  <sheetData>
    <row r="2" spans="2:14" x14ac:dyDescent="0.35">
      <c r="B2" s="133" t="s">
        <v>165</v>
      </c>
      <c r="C2" s="134">
        <v>41334</v>
      </c>
      <c r="D2" s="134">
        <v>41699</v>
      </c>
      <c r="E2" s="134">
        <v>42064</v>
      </c>
      <c r="F2" s="134">
        <v>42430</v>
      </c>
      <c r="G2" s="134">
        <v>42795</v>
      </c>
      <c r="H2" s="134">
        <v>43160</v>
      </c>
      <c r="I2" s="134">
        <v>43525</v>
      </c>
      <c r="J2" s="134">
        <v>43891</v>
      </c>
      <c r="K2" s="134">
        <v>44256</v>
      </c>
      <c r="L2" s="134">
        <v>44621</v>
      </c>
      <c r="M2" s="134">
        <v>44986</v>
      </c>
      <c r="N2" s="134">
        <v>45352</v>
      </c>
    </row>
    <row r="3" spans="2:14" x14ac:dyDescent="0.35">
      <c r="B3" s="135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2:14" x14ac:dyDescent="0.35">
      <c r="B4" s="12" t="s">
        <v>270</v>
      </c>
      <c r="C4" s="136">
        <v>96</v>
      </c>
      <c r="D4" s="136">
        <v>96</v>
      </c>
      <c r="E4" s="136">
        <v>96</v>
      </c>
      <c r="F4" s="136">
        <v>96</v>
      </c>
      <c r="G4" s="136">
        <v>96</v>
      </c>
      <c r="H4" s="136">
        <v>96</v>
      </c>
      <c r="I4" s="136">
        <v>96</v>
      </c>
      <c r="J4" s="136">
        <v>96</v>
      </c>
      <c r="K4" s="136">
        <v>96</v>
      </c>
      <c r="L4" s="136">
        <v>96</v>
      </c>
      <c r="M4" s="136">
        <v>96</v>
      </c>
      <c r="N4" s="136">
        <v>96</v>
      </c>
    </row>
    <row r="5" spans="2:14" x14ac:dyDescent="0.35">
      <c r="B5" s="12" t="s">
        <v>22</v>
      </c>
      <c r="C5" s="136">
        <v>3288</v>
      </c>
      <c r="D5" s="136">
        <v>3943</v>
      </c>
      <c r="E5" s="136">
        <v>4646</v>
      </c>
      <c r="F5" s="136">
        <v>6429</v>
      </c>
      <c r="G5" s="136">
        <v>7508</v>
      </c>
      <c r="H5" s="136">
        <v>8314</v>
      </c>
      <c r="I5" s="136">
        <v>9375</v>
      </c>
      <c r="J5" s="136">
        <v>10034</v>
      </c>
      <c r="K5" s="136">
        <v>12710</v>
      </c>
      <c r="L5" s="136">
        <v>13716</v>
      </c>
      <c r="M5" s="136">
        <v>15896</v>
      </c>
      <c r="N5" s="136">
        <v>18632</v>
      </c>
    </row>
    <row r="6" spans="2:14" x14ac:dyDescent="0.35">
      <c r="B6" s="12" t="s">
        <v>271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</row>
    <row r="7" spans="2:14" x14ac:dyDescent="0.35">
      <c r="B7" t="s">
        <v>272</v>
      </c>
      <c r="C7" s="136">
        <v>47</v>
      </c>
      <c r="D7" s="136">
        <v>41</v>
      </c>
      <c r="E7" s="136">
        <v>78</v>
      </c>
      <c r="F7" s="136">
        <v>73</v>
      </c>
      <c r="G7" s="136">
        <v>41</v>
      </c>
      <c r="H7" s="136">
        <v>28</v>
      </c>
      <c r="I7" s="136">
        <v>19</v>
      </c>
      <c r="J7" s="136">
        <v>19</v>
      </c>
      <c r="K7" s="136">
        <v>15</v>
      </c>
      <c r="L7" s="136">
        <v>45</v>
      </c>
      <c r="M7" s="136">
        <v>76</v>
      </c>
      <c r="N7" s="136">
        <v>54</v>
      </c>
    </row>
    <row r="8" spans="2:14" x14ac:dyDescent="0.35">
      <c r="B8" t="s">
        <v>273</v>
      </c>
      <c r="C8" s="136">
        <v>190</v>
      </c>
      <c r="D8" s="136">
        <v>199</v>
      </c>
      <c r="E8" s="136">
        <v>332</v>
      </c>
      <c r="F8" s="136">
        <v>231</v>
      </c>
      <c r="G8" s="136">
        <v>504</v>
      </c>
      <c r="H8" s="136">
        <v>492</v>
      </c>
      <c r="I8" s="136">
        <v>597</v>
      </c>
      <c r="J8" s="136">
        <v>321</v>
      </c>
      <c r="K8" s="136">
        <v>334</v>
      </c>
      <c r="L8" s="136">
        <v>731</v>
      </c>
      <c r="M8" s="136">
        <v>896</v>
      </c>
      <c r="N8" s="136">
        <v>1053</v>
      </c>
    </row>
    <row r="9" spans="2:14" x14ac:dyDescent="0.35">
      <c r="B9" t="s">
        <v>274</v>
      </c>
      <c r="C9" s="136">
        <v>0</v>
      </c>
      <c r="D9" s="136">
        <v>0</v>
      </c>
      <c r="E9" s="136">
        <v>0</v>
      </c>
      <c r="F9" s="136">
        <v>0</v>
      </c>
      <c r="G9" s="136">
        <v>0</v>
      </c>
      <c r="H9" s="136">
        <v>0</v>
      </c>
      <c r="I9" s="136">
        <v>693</v>
      </c>
      <c r="J9" s="136">
        <v>764</v>
      </c>
      <c r="K9" s="136">
        <v>745</v>
      </c>
      <c r="L9" s="136">
        <v>811</v>
      </c>
      <c r="M9" s="136">
        <v>960</v>
      </c>
      <c r="N9" s="136">
        <v>1367</v>
      </c>
    </row>
    <row r="10" spans="2:14" x14ac:dyDescent="0.35">
      <c r="B10" t="s">
        <v>275</v>
      </c>
      <c r="C10" s="136">
        <v>14</v>
      </c>
      <c r="D10" s="136">
        <v>9</v>
      </c>
      <c r="E10" s="136">
        <v>8</v>
      </c>
      <c r="F10" s="136">
        <v>20</v>
      </c>
      <c r="G10" s="136">
        <v>15</v>
      </c>
      <c r="H10" s="136">
        <v>13</v>
      </c>
      <c r="I10" s="136">
        <v>11</v>
      </c>
      <c r="J10" s="136">
        <v>15</v>
      </c>
      <c r="K10" s="136">
        <v>0</v>
      </c>
      <c r="L10" s="136">
        <v>0</v>
      </c>
      <c r="M10" s="136">
        <v>0</v>
      </c>
      <c r="N10" s="136">
        <v>0</v>
      </c>
    </row>
    <row r="11" spans="2:14" x14ac:dyDescent="0.35">
      <c r="B11" s="12" t="s">
        <v>276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</row>
    <row r="12" spans="2:14" x14ac:dyDescent="0.35">
      <c r="B12" t="s">
        <v>277</v>
      </c>
      <c r="C12" s="136">
        <v>161</v>
      </c>
      <c r="D12" s="136">
        <v>246</v>
      </c>
      <c r="E12" s="136">
        <v>264</v>
      </c>
      <c r="F12" s="136">
        <v>384</v>
      </c>
      <c r="G12" s="136">
        <v>375</v>
      </c>
      <c r="H12" s="136">
        <v>328</v>
      </c>
      <c r="I12" s="136">
        <v>361</v>
      </c>
      <c r="J12" s="136">
        <v>404</v>
      </c>
      <c r="K12" s="136">
        <v>423</v>
      </c>
      <c r="L12" s="136">
        <v>388</v>
      </c>
      <c r="M12" s="136">
        <v>454</v>
      </c>
      <c r="N12" s="136">
        <v>695</v>
      </c>
    </row>
    <row r="13" spans="2:14" x14ac:dyDescent="0.35">
      <c r="B13" t="s">
        <v>278</v>
      </c>
      <c r="C13" s="136">
        <v>1442</v>
      </c>
      <c r="D13" s="136">
        <v>1746</v>
      </c>
      <c r="E13" s="136">
        <v>1549</v>
      </c>
      <c r="F13" s="136">
        <v>1565</v>
      </c>
      <c r="G13" s="136">
        <v>1923</v>
      </c>
      <c r="H13" s="136">
        <v>2160</v>
      </c>
      <c r="I13" s="136">
        <v>2394</v>
      </c>
      <c r="J13" s="136">
        <v>2137</v>
      </c>
      <c r="K13" s="136">
        <v>3379</v>
      </c>
      <c r="L13" s="136">
        <v>4164</v>
      </c>
      <c r="M13" s="136">
        <v>3635</v>
      </c>
      <c r="N13" s="136">
        <v>3831</v>
      </c>
    </row>
    <row r="14" spans="2:14" x14ac:dyDescent="0.35">
      <c r="B14" t="s">
        <v>279</v>
      </c>
      <c r="C14" s="136">
        <v>0</v>
      </c>
      <c r="D14" s="136">
        <v>0</v>
      </c>
      <c r="E14" s="136">
        <v>5</v>
      </c>
      <c r="F14" s="136">
        <v>12</v>
      </c>
      <c r="G14" s="136">
        <v>17</v>
      </c>
      <c r="H14" s="136">
        <v>16</v>
      </c>
      <c r="I14" s="136">
        <v>13</v>
      </c>
      <c r="J14" s="136">
        <v>29</v>
      </c>
      <c r="K14" s="136">
        <v>41</v>
      </c>
      <c r="L14" s="136">
        <v>76</v>
      </c>
      <c r="M14" s="136">
        <v>108</v>
      </c>
      <c r="N14" s="136">
        <v>154</v>
      </c>
    </row>
    <row r="15" spans="2:14" x14ac:dyDescent="0.35">
      <c r="B15" t="s">
        <v>280</v>
      </c>
      <c r="C15" s="31">
        <v>1547</v>
      </c>
      <c r="D15" s="31">
        <v>1795</v>
      </c>
      <c r="E15" s="31">
        <v>1937</v>
      </c>
      <c r="F15" s="31">
        <v>1750</v>
      </c>
      <c r="G15" s="31">
        <v>1925</v>
      </c>
      <c r="H15" s="31">
        <v>2316</v>
      </c>
      <c r="I15" s="31">
        <v>2690</v>
      </c>
      <c r="J15" s="31">
        <v>2320</v>
      </c>
      <c r="K15" s="31">
        <v>2613</v>
      </c>
      <c r="L15" s="31">
        <v>2932</v>
      </c>
      <c r="M15" s="31">
        <v>3657</v>
      </c>
      <c r="N15" s="31">
        <v>4017</v>
      </c>
    </row>
    <row r="16" spans="2:14" x14ac:dyDescent="0.35">
      <c r="B16" s="137" t="s">
        <v>166</v>
      </c>
      <c r="C16" s="138">
        <v>6784</v>
      </c>
      <c r="D16" s="138">
        <v>8075</v>
      </c>
      <c r="E16" s="138">
        <v>8914</v>
      </c>
      <c r="F16" s="138">
        <v>10559</v>
      </c>
      <c r="G16" s="138">
        <v>12405</v>
      </c>
      <c r="H16" s="138">
        <v>13763</v>
      </c>
      <c r="I16" s="138">
        <v>16249</v>
      </c>
      <c r="J16" s="138">
        <v>16138</v>
      </c>
      <c r="K16" s="138">
        <v>20355</v>
      </c>
      <c r="L16" s="138">
        <v>22958</v>
      </c>
      <c r="M16" s="138">
        <v>25779</v>
      </c>
      <c r="N16" s="138">
        <v>29901</v>
      </c>
    </row>
    <row r="17" spans="2:14" x14ac:dyDescent="0.35"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2:14" x14ac:dyDescent="0.35">
      <c r="B18" s="12" t="s">
        <v>281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2:14" x14ac:dyDescent="0.35">
      <c r="B19" t="s">
        <v>282</v>
      </c>
      <c r="C19" s="136">
        <v>238</v>
      </c>
      <c r="D19" s="136">
        <v>247</v>
      </c>
      <c r="E19" s="136">
        <v>251</v>
      </c>
      <c r="F19" s="136">
        <v>429</v>
      </c>
      <c r="G19" s="136">
        <v>408</v>
      </c>
      <c r="H19" s="136">
        <v>586</v>
      </c>
      <c r="I19" s="136">
        <v>605</v>
      </c>
      <c r="J19" s="136">
        <v>640</v>
      </c>
      <c r="K19" s="136">
        <v>644</v>
      </c>
      <c r="L19" s="136">
        <v>644</v>
      </c>
      <c r="M19" s="136">
        <v>804</v>
      </c>
      <c r="N19" s="136">
        <v>1126</v>
      </c>
    </row>
    <row r="20" spans="2:14" x14ac:dyDescent="0.35">
      <c r="B20" t="s">
        <v>283</v>
      </c>
      <c r="C20" s="136">
        <v>874</v>
      </c>
      <c r="D20" s="136">
        <v>931</v>
      </c>
      <c r="E20" s="136">
        <v>962</v>
      </c>
      <c r="F20" s="136">
        <v>923</v>
      </c>
      <c r="G20" s="136">
        <v>931</v>
      </c>
      <c r="H20" s="136">
        <v>957</v>
      </c>
      <c r="I20" s="136">
        <v>2402</v>
      </c>
      <c r="J20" s="136">
        <v>2257</v>
      </c>
      <c r="K20" s="136">
        <v>2249</v>
      </c>
      <c r="L20" s="136">
        <v>2325</v>
      </c>
      <c r="M20" s="136">
        <v>2883</v>
      </c>
      <c r="N20" s="136">
        <v>3390</v>
      </c>
    </row>
    <row r="21" spans="2:14" x14ac:dyDescent="0.35">
      <c r="B21" t="s">
        <v>284</v>
      </c>
      <c r="C21" s="136">
        <v>1956</v>
      </c>
      <c r="D21" s="136">
        <v>2054</v>
      </c>
      <c r="E21" s="136">
        <v>2132</v>
      </c>
      <c r="F21" s="136">
        <v>1793</v>
      </c>
      <c r="G21" s="136">
        <v>1980</v>
      </c>
      <c r="H21" s="136">
        <v>2157</v>
      </c>
      <c r="I21" s="136">
        <v>4006</v>
      </c>
      <c r="J21" s="136">
        <v>4208</v>
      </c>
      <c r="K21" s="136">
        <v>4340</v>
      </c>
      <c r="L21" s="136">
        <v>4531</v>
      </c>
      <c r="M21" s="136">
        <v>4825</v>
      </c>
      <c r="N21" s="136">
        <v>5422</v>
      </c>
    </row>
    <row r="22" spans="2:14" x14ac:dyDescent="0.35">
      <c r="B22" t="s">
        <v>285</v>
      </c>
      <c r="C22" s="136">
        <v>137</v>
      </c>
      <c r="D22" s="136">
        <v>155</v>
      </c>
      <c r="E22" s="136">
        <v>171</v>
      </c>
      <c r="F22" s="136">
        <v>97</v>
      </c>
      <c r="G22" s="136">
        <v>119</v>
      </c>
      <c r="H22" s="136">
        <v>200</v>
      </c>
      <c r="I22" s="136">
        <v>221</v>
      </c>
      <c r="J22" s="136">
        <v>241</v>
      </c>
      <c r="K22" s="136">
        <v>243</v>
      </c>
      <c r="L22" s="136">
        <v>253</v>
      </c>
      <c r="M22" s="136">
        <v>270</v>
      </c>
      <c r="N22" s="136">
        <v>298</v>
      </c>
    </row>
    <row r="23" spans="2:14" x14ac:dyDescent="0.35">
      <c r="B23" t="s">
        <v>286</v>
      </c>
      <c r="C23" s="136">
        <v>57</v>
      </c>
      <c r="D23" s="136">
        <v>71</v>
      </c>
      <c r="E23" s="136">
        <v>83</v>
      </c>
      <c r="F23" s="136">
        <v>49</v>
      </c>
      <c r="G23" s="136">
        <v>59</v>
      </c>
      <c r="H23" s="136">
        <v>72</v>
      </c>
      <c r="I23" s="136">
        <v>88</v>
      </c>
      <c r="J23" s="136">
        <v>94</v>
      </c>
      <c r="K23" s="136">
        <v>99</v>
      </c>
      <c r="L23" s="136">
        <v>113</v>
      </c>
      <c r="M23" s="136">
        <v>146</v>
      </c>
      <c r="N23" s="136">
        <v>175</v>
      </c>
    </row>
    <row r="24" spans="2:14" x14ac:dyDescent="0.35">
      <c r="B24" t="s">
        <v>287</v>
      </c>
      <c r="C24" s="136">
        <v>11</v>
      </c>
      <c r="D24" s="136">
        <v>14</v>
      </c>
      <c r="E24" s="136">
        <v>18</v>
      </c>
      <c r="F24" s="136">
        <v>11</v>
      </c>
      <c r="G24" s="136">
        <v>14</v>
      </c>
      <c r="H24" s="136">
        <v>27</v>
      </c>
      <c r="I24" s="136">
        <v>47</v>
      </c>
      <c r="J24" s="136">
        <v>43</v>
      </c>
      <c r="K24" s="136">
        <v>38</v>
      </c>
      <c r="L24" s="136">
        <v>32</v>
      </c>
      <c r="M24" s="136">
        <v>36</v>
      </c>
      <c r="N24" s="136">
        <v>40</v>
      </c>
    </row>
    <row r="25" spans="2:14" x14ac:dyDescent="0.35">
      <c r="B25" t="s">
        <v>288</v>
      </c>
      <c r="C25" s="136">
        <v>57</v>
      </c>
      <c r="D25" s="136">
        <v>203</v>
      </c>
      <c r="E25" s="136">
        <v>351</v>
      </c>
      <c r="F25" s="136">
        <v>339</v>
      </c>
      <c r="G25" s="136">
        <v>276</v>
      </c>
      <c r="H25" s="136">
        <v>468</v>
      </c>
      <c r="I25" s="136">
        <v>512</v>
      </c>
      <c r="J25" s="136">
        <v>505</v>
      </c>
      <c r="K25" s="136">
        <v>476</v>
      </c>
      <c r="L25" s="136">
        <v>345</v>
      </c>
      <c r="M25" s="136">
        <v>422</v>
      </c>
      <c r="N25" s="136">
        <v>850</v>
      </c>
    </row>
    <row r="26" spans="2:14" x14ac:dyDescent="0.35">
      <c r="B26" t="s">
        <v>289</v>
      </c>
      <c r="C26" s="136">
        <v>99</v>
      </c>
      <c r="D26" s="136">
        <v>128</v>
      </c>
      <c r="E26" s="136">
        <v>145</v>
      </c>
      <c r="F26" s="136">
        <v>103</v>
      </c>
      <c r="G26" s="136">
        <v>128</v>
      </c>
      <c r="H26" s="136">
        <v>238</v>
      </c>
      <c r="I26" s="136">
        <v>261</v>
      </c>
      <c r="J26" s="136">
        <v>293</v>
      </c>
      <c r="K26" s="136">
        <v>302</v>
      </c>
      <c r="L26" s="136">
        <v>294</v>
      </c>
      <c r="M26" s="136">
        <v>289</v>
      </c>
      <c r="N26" s="136">
        <v>321</v>
      </c>
    </row>
    <row r="27" spans="2:14" x14ac:dyDescent="0.35">
      <c r="B27" s="12" t="s">
        <v>290</v>
      </c>
      <c r="C27" s="139">
        <v>3429</v>
      </c>
      <c r="D27" s="139">
        <v>3804</v>
      </c>
      <c r="E27" s="139">
        <v>4112</v>
      </c>
      <c r="F27" s="139">
        <v>3744</v>
      </c>
      <c r="G27" s="139">
        <v>3914</v>
      </c>
      <c r="H27" s="139">
        <v>4705</v>
      </c>
      <c r="I27" s="139">
        <v>8141</v>
      </c>
      <c r="J27" s="139">
        <v>8282</v>
      </c>
      <c r="K27" s="139">
        <v>8392</v>
      </c>
      <c r="L27" s="139">
        <v>8538</v>
      </c>
      <c r="M27" s="139">
        <v>9676</v>
      </c>
      <c r="N27" s="139">
        <v>11622</v>
      </c>
    </row>
    <row r="28" spans="2:14" x14ac:dyDescent="0.35">
      <c r="B28" s="12" t="s">
        <v>291</v>
      </c>
      <c r="C28" s="140">
        <v>979</v>
      </c>
      <c r="D28" s="140">
        <v>1223</v>
      </c>
      <c r="E28" s="140">
        <v>1438</v>
      </c>
      <c r="F28" s="140">
        <v>275</v>
      </c>
      <c r="G28" s="140">
        <v>610</v>
      </c>
      <c r="H28" s="140">
        <v>973</v>
      </c>
      <c r="I28" s="140">
        <v>1592</v>
      </c>
      <c r="J28" s="140">
        <v>2010</v>
      </c>
      <c r="K28" s="140">
        <v>2533</v>
      </c>
      <c r="L28" s="140">
        <v>3019</v>
      </c>
      <c r="M28" s="140">
        <v>3814</v>
      </c>
      <c r="N28" s="140">
        <v>4381</v>
      </c>
    </row>
    <row r="29" spans="2:14" x14ac:dyDescent="0.35">
      <c r="B29" s="12" t="s">
        <v>19</v>
      </c>
      <c r="C29" s="141">
        <f>C27-C28</f>
        <v>2450</v>
      </c>
      <c r="D29" s="141">
        <f t="shared" ref="D29:N29" si="0">D27-D28</f>
        <v>2581</v>
      </c>
      <c r="E29" s="141">
        <f t="shared" si="0"/>
        <v>2674</v>
      </c>
      <c r="F29" s="141">
        <f t="shared" si="0"/>
        <v>3469</v>
      </c>
      <c r="G29" s="141">
        <f t="shared" si="0"/>
        <v>3304</v>
      </c>
      <c r="H29" s="141">
        <f t="shared" si="0"/>
        <v>3732</v>
      </c>
      <c r="I29" s="141">
        <f t="shared" si="0"/>
        <v>6549</v>
      </c>
      <c r="J29" s="141">
        <f t="shared" si="0"/>
        <v>6272</v>
      </c>
      <c r="K29" s="141">
        <f t="shared" si="0"/>
        <v>5859</v>
      </c>
      <c r="L29" s="141">
        <f t="shared" si="0"/>
        <v>5519</v>
      </c>
      <c r="M29" s="141">
        <f t="shared" si="0"/>
        <v>5862</v>
      </c>
      <c r="N29" s="141">
        <f t="shared" si="0"/>
        <v>7241</v>
      </c>
    </row>
    <row r="30" spans="2:14" x14ac:dyDescent="0.35">
      <c r="B30" s="1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2:14" x14ac:dyDescent="0.35">
      <c r="B31" s="12" t="s">
        <v>292</v>
      </c>
      <c r="C31" s="136">
        <v>59</v>
      </c>
      <c r="D31" s="136">
        <v>72</v>
      </c>
      <c r="E31" s="136">
        <v>196</v>
      </c>
      <c r="F31" s="136">
        <v>107</v>
      </c>
      <c r="G31" s="136">
        <v>258</v>
      </c>
      <c r="H31" s="136">
        <v>1405</v>
      </c>
      <c r="I31" s="136">
        <v>210</v>
      </c>
      <c r="J31" s="136">
        <v>140</v>
      </c>
      <c r="K31" s="136">
        <v>183</v>
      </c>
      <c r="L31" s="136">
        <v>426</v>
      </c>
      <c r="M31" s="136">
        <v>1020</v>
      </c>
      <c r="N31" s="136">
        <v>2698</v>
      </c>
    </row>
    <row r="32" spans="2:14" x14ac:dyDescent="0.35">
      <c r="B32" s="12" t="s">
        <v>17</v>
      </c>
      <c r="C32" s="136">
        <v>296</v>
      </c>
      <c r="D32" s="136">
        <v>1424</v>
      </c>
      <c r="E32" s="136">
        <v>1588</v>
      </c>
      <c r="F32" s="136">
        <v>2712</v>
      </c>
      <c r="G32" s="136">
        <v>2652</v>
      </c>
      <c r="H32" s="136">
        <v>2141</v>
      </c>
      <c r="I32" s="136">
        <v>2569</v>
      </c>
      <c r="J32" s="136">
        <v>2019</v>
      </c>
      <c r="K32" s="136">
        <v>4737</v>
      </c>
      <c r="L32" s="136">
        <v>3248</v>
      </c>
      <c r="M32" s="136">
        <v>4262</v>
      </c>
      <c r="N32" s="136">
        <v>4588</v>
      </c>
    </row>
    <row r="33" spans="1:14" x14ac:dyDescent="0.35">
      <c r="B33" s="1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x14ac:dyDescent="0.35">
      <c r="B34" s="12" t="s">
        <v>293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35">
      <c r="B35" t="s">
        <v>294</v>
      </c>
      <c r="C35" s="136">
        <v>1830</v>
      </c>
      <c r="D35" s="136">
        <v>2070</v>
      </c>
      <c r="E35" s="136">
        <v>2259</v>
      </c>
      <c r="F35" s="136">
        <v>1998</v>
      </c>
      <c r="G35" s="136">
        <v>2627</v>
      </c>
      <c r="H35" s="136">
        <v>2658</v>
      </c>
      <c r="I35" s="136">
        <v>3150</v>
      </c>
      <c r="J35" s="136">
        <v>3390</v>
      </c>
      <c r="K35" s="136">
        <v>3799</v>
      </c>
      <c r="L35" s="136">
        <v>6153</v>
      </c>
      <c r="M35" s="136">
        <v>6211</v>
      </c>
      <c r="N35" s="136">
        <v>5923</v>
      </c>
    </row>
    <row r="36" spans="1:14" x14ac:dyDescent="0.35">
      <c r="B36" t="s">
        <v>295</v>
      </c>
      <c r="C36" s="136">
        <v>981</v>
      </c>
      <c r="D36" s="136">
        <v>1110</v>
      </c>
      <c r="E36" s="136">
        <v>1182</v>
      </c>
      <c r="F36" s="136">
        <v>1187</v>
      </c>
      <c r="G36" s="136">
        <v>1447</v>
      </c>
      <c r="H36" s="136">
        <v>1731</v>
      </c>
      <c r="I36" s="136">
        <v>1907</v>
      </c>
      <c r="J36" s="136">
        <v>1795</v>
      </c>
      <c r="K36" s="136">
        <v>2602</v>
      </c>
      <c r="L36" s="136">
        <v>3871</v>
      </c>
      <c r="M36" s="136">
        <v>4637</v>
      </c>
      <c r="N36" s="136">
        <v>4889</v>
      </c>
    </row>
    <row r="37" spans="1:14" x14ac:dyDescent="0.35">
      <c r="B37" t="s">
        <v>296</v>
      </c>
      <c r="C37" s="136">
        <v>737</v>
      </c>
      <c r="D37" s="136">
        <v>229</v>
      </c>
      <c r="E37" s="136">
        <v>204</v>
      </c>
      <c r="F37" s="136">
        <v>424</v>
      </c>
      <c r="G37" s="136">
        <v>801</v>
      </c>
      <c r="H37" s="136">
        <v>405</v>
      </c>
      <c r="I37" s="136">
        <v>445</v>
      </c>
      <c r="J37" s="136">
        <v>783</v>
      </c>
      <c r="K37" s="136">
        <v>611</v>
      </c>
      <c r="L37" s="136">
        <v>864</v>
      </c>
      <c r="M37" s="136">
        <v>844</v>
      </c>
      <c r="N37" s="136">
        <v>1084</v>
      </c>
    </row>
    <row r="38" spans="1:14" x14ac:dyDescent="0.35">
      <c r="B38" t="s">
        <v>297</v>
      </c>
      <c r="C38" s="136">
        <v>4</v>
      </c>
      <c r="D38" s="136">
        <v>7</v>
      </c>
      <c r="E38" s="136">
        <v>9</v>
      </c>
      <c r="F38" s="136">
        <v>9</v>
      </c>
      <c r="G38" s="136">
        <v>14</v>
      </c>
      <c r="H38" s="136">
        <v>13</v>
      </c>
      <c r="I38" s="136">
        <v>16</v>
      </c>
      <c r="J38" s="136">
        <v>12</v>
      </c>
      <c r="K38" s="136">
        <v>11</v>
      </c>
      <c r="L38" s="136">
        <v>8</v>
      </c>
      <c r="M38" s="136">
        <v>12</v>
      </c>
      <c r="N38" s="136">
        <v>17</v>
      </c>
    </row>
    <row r="39" spans="1:14" x14ac:dyDescent="0.35">
      <c r="B39" t="s">
        <v>298</v>
      </c>
      <c r="C39" s="142">
        <v>436</v>
      </c>
      <c r="D39" s="142">
        <v>603</v>
      </c>
      <c r="E39" s="142">
        <v>817</v>
      </c>
      <c r="F39" s="142">
        <v>705</v>
      </c>
      <c r="G39" s="142">
        <v>1303</v>
      </c>
      <c r="H39" s="142">
        <v>1678</v>
      </c>
      <c r="I39" s="142">
        <v>1456</v>
      </c>
      <c r="J39" s="142">
        <v>1727</v>
      </c>
      <c r="K39" s="142">
        <v>2555</v>
      </c>
      <c r="L39" s="142">
        <v>2869</v>
      </c>
      <c r="M39" s="142">
        <v>3024</v>
      </c>
      <c r="N39" s="142">
        <v>3555</v>
      </c>
    </row>
    <row r="40" spans="1:14" x14ac:dyDescent="0.35">
      <c r="B40" s="138" t="s">
        <v>84</v>
      </c>
      <c r="C40" s="138">
        <v>6784</v>
      </c>
      <c r="D40" s="138">
        <v>8075</v>
      </c>
      <c r="E40" s="138">
        <v>8914</v>
      </c>
      <c r="F40" s="138">
        <v>10559</v>
      </c>
      <c r="G40" s="138">
        <v>12405</v>
      </c>
      <c r="H40" s="138">
        <v>13763</v>
      </c>
      <c r="I40" s="138">
        <v>16249</v>
      </c>
      <c r="J40" s="138">
        <v>16138</v>
      </c>
      <c r="K40" s="138">
        <v>20355</v>
      </c>
      <c r="L40" s="138">
        <v>22958</v>
      </c>
      <c r="M40" s="138">
        <v>25779</v>
      </c>
      <c r="N40" s="138">
        <v>29901</v>
      </c>
    </row>
    <row r="43" spans="1:14" x14ac:dyDescent="0.35">
      <c r="B43" s="133" t="s">
        <v>299</v>
      </c>
      <c r="C43" s="134">
        <v>41334</v>
      </c>
      <c r="D43" s="134">
        <v>41699</v>
      </c>
      <c r="E43" s="134">
        <v>42064</v>
      </c>
      <c r="F43" s="134">
        <v>42430</v>
      </c>
      <c r="G43" s="134">
        <v>42795</v>
      </c>
      <c r="H43" s="134">
        <v>43160</v>
      </c>
      <c r="I43" s="134">
        <v>43525</v>
      </c>
      <c r="J43" s="134">
        <v>43891</v>
      </c>
      <c r="K43" s="134">
        <v>44256</v>
      </c>
      <c r="L43" s="134">
        <v>44621</v>
      </c>
      <c r="M43" s="134">
        <v>44986</v>
      </c>
      <c r="N43" s="134">
        <v>45352</v>
      </c>
    </row>
    <row r="44" spans="1:14" ht="15" thickBot="1" x14ac:dyDescent="0.4">
      <c r="A44" s="29"/>
      <c r="B44" s="135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ht="15" thickBot="1" x14ac:dyDescent="0.4">
      <c r="B45" s="12" t="s">
        <v>90</v>
      </c>
      <c r="C45" s="143">
        <v>1187</v>
      </c>
      <c r="D45" s="143">
        <v>1402</v>
      </c>
      <c r="E45" s="143">
        <v>1188</v>
      </c>
      <c r="F45" s="143">
        <v>2243</v>
      </c>
      <c r="G45" s="143">
        <v>1527</v>
      </c>
      <c r="H45" s="143">
        <v>2113</v>
      </c>
      <c r="I45" s="143">
        <v>2470</v>
      </c>
      <c r="J45" s="143">
        <v>3038</v>
      </c>
      <c r="K45" s="143">
        <v>3683</v>
      </c>
      <c r="L45" s="143">
        <v>986</v>
      </c>
      <c r="M45" s="143">
        <v>4193</v>
      </c>
      <c r="N45" s="143">
        <v>6104</v>
      </c>
    </row>
    <row r="46" spans="1:14" x14ac:dyDescent="0.35">
      <c r="B46" t="s">
        <v>91</v>
      </c>
      <c r="C46" s="140">
        <v>1784</v>
      </c>
      <c r="D46" s="140">
        <v>2051</v>
      </c>
      <c r="E46" s="140">
        <v>2271</v>
      </c>
      <c r="F46" s="140">
        <v>2848</v>
      </c>
      <c r="G46" s="140">
        <v>3056</v>
      </c>
      <c r="H46" s="140">
        <v>3274</v>
      </c>
      <c r="I46" s="140">
        <v>3861</v>
      </c>
      <c r="J46" s="140">
        <v>4380</v>
      </c>
      <c r="K46" s="140">
        <v>4970</v>
      </c>
      <c r="L46" s="140">
        <v>4957</v>
      </c>
      <c r="M46" s="140">
        <v>6460</v>
      </c>
      <c r="N46" s="140">
        <v>7929</v>
      </c>
    </row>
    <row r="47" spans="1:14" x14ac:dyDescent="0.35">
      <c r="B47" t="s">
        <v>14</v>
      </c>
      <c r="C47" s="136">
        <v>-299</v>
      </c>
      <c r="D47" s="136">
        <v>-254</v>
      </c>
      <c r="E47" s="136">
        <v>-155</v>
      </c>
      <c r="F47" s="136">
        <v>-146</v>
      </c>
      <c r="G47" s="136">
        <v>-475</v>
      </c>
      <c r="H47" s="136">
        <v>-483</v>
      </c>
      <c r="I47" s="136">
        <v>-205</v>
      </c>
      <c r="J47" s="136">
        <v>160</v>
      </c>
      <c r="K47" s="136">
        <v>-849</v>
      </c>
      <c r="L47" s="136">
        <v>-1326</v>
      </c>
      <c r="M47" s="136">
        <v>-834</v>
      </c>
      <c r="N47" s="136">
        <v>-362</v>
      </c>
    </row>
    <row r="48" spans="1:14" x14ac:dyDescent="0.35">
      <c r="B48" t="s">
        <v>13</v>
      </c>
      <c r="C48" s="136">
        <v>-247</v>
      </c>
      <c r="D48" s="136">
        <v>-231</v>
      </c>
      <c r="E48" s="136">
        <v>-144</v>
      </c>
      <c r="F48" s="136">
        <v>202</v>
      </c>
      <c r="G48" s="136">
        <v>-629</v>
      </c>
      <c r="H48" s="136">
        <v>-39</v>
      </c>
      <c r="I48" s="136">
        <v>-492</v>
      </c>
      <c r="J48" s="136">
        <v>-251</v>
      </c>
      <c r="K48" s="136">
        <v>-409</v>
      </c>
      <c r="L48" s="136">
        <v>-2354</v>
      </c>
      <c r="M48" s="136">
        <v>-56</v>
      </c>
      <c r="N48" s="136">
        <v>315</v>
      </c>
    </row>
    <row r="49" spans="2:14" x14ac:dyDescent="0.35">
      <c r="B49" t="s">
        <v>92</v>
      </c>
      <c r="C49" s="136">
        <v>388</v>
      </c>
      <c r="D49" s="136">
        <v>317</v>
      </c>
      <c r="E49" s="136">
        <v>-151</v>
      </c>
      <c r="F49" s="136">
        <v>142</v>
      </c>
      <c r="G49" s="136">
        <v>501</v>
      </c>
      <c r="H49" s="136">
        <v>442</v>
      </c>
      <c r="I49" s="136">
        <v>287</v>
      </c>
      <c r="J49" s="136">
        <v>-241</v>
      </c>
      <c r="K49" s="136">
        <v>1143</v>
      </c>
      <c r="L49" s="136">
        <v>644</v>
      </c>
      <c r="M49" s="136">
        <v>-539</v>
      </c>
      <c r="N49" s="136">
        <v>269</v>
      </c>
    </row>
    <row r="50" spans="2:14" x14ac:dyDescent="0.35">
      <c r="B50" t="s">
        <v>94</v>
      </c>
      <c r="C50" s="136">
        <v>0</v>
      </c>
      <c r="D50" s="136">
        <v>0</v>
      </c>
      <c r="E50" s="136">
        <v>0</v>
      </c>
      <c r="F50" s="136">
        <v>0</v>
      </c>
      <c r="G50" s="136">
        <v>0</v>
      </c>
      <c r="H50" s="136">
        <v>0</v>
      </c>
      <c r="I50" s="136">
        <v>0</v>
      </c>
      <c r="J50" s="136">
        <v>0</v>
      </c>
      <c r="K50" s="136">
        <v>-92</v>
      </c>
      <c r="L50" s="136">
        <v>242</v>
      </c>
      <c r="M50" s="136">
        <v>657</v>
      </c>
      <c r="N50" s="136">
        <v>-212</v>
      </c>
    </row>
    <row r="51" spans="2:14" x14ac:dyDescent="0.35">
      <c r="B51" t="s">
        <v>95</v>
      </c>
      <c r="C51" s="136">
        <v>-159</v>
      </c>
      <c r="D51" s="136">
        <v>-168</v>
      </c>
      <c r="E51" s="136">
        <v>-450</v>
      </c>
      <c r="F51" s="136">
        <v>198</v>
      </c>
      <c r="G51" s="136">
        <v>-603</v>
      </c>
      <c r="H51" s="136">
        <v>-80</v>
      </c>
      <c r="I51" s="136">
        <v>-410</v>
      </c>
      <c r="J51" s="136">
        <v>-331</v>
      </c>
      <c r="K51" s="136">
        <v>-206</v>
      </c>
      <c r="L51" s="136">
        <v>-2795</v>
      </c>
      <c r="M51" s="136">
        <v>-772</v>
      </c>
      <c r="N51" s="136">
        <v>10</v>
      </c>
    </row>
    <row r="52" spans="2:14" x14ac:dyDescent="0.35">
      <c r="B52" t="s">
        <v>96</v>
      </c>
      <c r="C52" s="142">
        <v>-438</v>
      </c>
      <c r="D52" s="142">
        <v>-480</v>
      </c>
      <c r="E52" s="142">
        <v>-633</v>
      </c>
      <c r="F52" s="142">
        <v>-802</v>
      </c>
      <c r="G52" s="142">
        <v>-925</v>
      </c>
      <c r="H52" s="142">
        <v>-1081</v>
      </c>
      <c r="I52" s="142">
        <v>-982</v>
      </c>
      <c r="J52" s="142">
        <v>-1011</v>
      </c>
      <c r="K52" s="142">
        <v>-1080</v>
      </c>
      <c r="L52" s="142">
        <v>-1176</v>
      </c>
      <c r="M52" s="142">
        <v>-1494</v>
      </c>
      <c r="N52" s="142">
        <v>-1835</v>
      </c>
    </row>
    <row r="53" spans="2:14" ht="15" thickBot="1" x14ac:dyDescent="0.4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2:14" ht="15" thickBot="1" x14ac:dyDescent="0.4">
      <c r="B54" s="12" t="s">
        <v>97</v>
      </c>
      <c r="C54" s="143">
        <v>-463</v>
      </c>
      <c r="D54" s="143">
        <v>-586</v>
      </c>
      <c r="E54" s="143">
        <v>-465</v>
      </c>
      <c r="F54" s="143">
        <v>-866</v>
      </c>
      <c r="G54" s="143">
        <v>-681</v>
      </c>
      <c r="H54" s="143">
        <v>-1556</v>
      </c>
      <c r="I54" s="143">
        <v>-918</v>
      </c>
      <c r="J54" s="143">
        <v>-518</v>
      </c>
      <c r="K54" s="143">
        <v>-541</v>
      </c>
      <c r="L54" s="143">
        <v>-317</v>
      </c>
      <c r="M54" s="143">
        <v>-1282</v>
      </c>
      <c r="N54" s="143">
        <v>-2548</v>
      </c>
    </row>
    <row r="55" spans="2:14" x14ac:dyDescent="0.35">
      <c r="B55" t="s">
        <v>98</v>
      </c>
      <c r="C55" s="140">
        <v>-644</v>
      </c>
      <c r="D55" s="140">
        <v>-251</v>
      </c>
      <c r="E55" s="140">
        <v>-454</v>
      </c>
      <c r="F55" s="140">
        <v>-817</v>
      </c>
      <c r="G55" s="140">
        <v>-684</v>
      </c>
      <c r="H55" s="140">
        <v>-1426</v>
      </c>
      <c r="I55" s="140">
        <v>-1151</v>
      </c>
      <c r="J55" s="140">
        <v>-404</v>
      </c>
      <c r="K55" s="140">
        <v>-282</v>
      </c>
      <c r="L55" s="140">
        <v>-551</v>
      </c>
      <c r="M55" s="140">
        <v>-1446</v>
      </c>
      <c r="N55" s="140">
        <v>-2496</v>
      </c>
    </row>
    <row r="56" spans="2:14" x14ac:dyDescent="0.35">
      <c r="B56" t="s">
        <v>99</v>
      </c>
      <c r="C56" s="136">
        <v>7</v>
      </c>
      <c r="D56" s="136">
        <v>16</v>
      </c>
      <c r="E56" s="136">
        <v>16</v>
      </c>
      <c r="F56" s="136">
        <v>15</v>
      </c>
      <c r="G56" s="136">
        <v>17</v>
      </c>
      <c r="H56" s="136">
        <v>17</v>
      </c>
      <c r="I56" s="136">
        <v>17</v>
      </c>
      <c r="J56" s="136">
        <v>37</v>
      </c>
      <c r="K56" s="136">
        <v>28</v>
      </c>
      <c r="L56" s="136">
        <v>40</v>
      </c>
      <c r="M56" s="136">
        <v>26</v>
      </c>
      <c r="N56" s="136">
        <v>5</v>
      </c>
    </row>
    <row r="57" spans="2:14" x14ac:dyDescent="0.35">
      <c r="B57" t="s">
        <v>100</v>
      </c>
      <c r="C57" s="136">
        <v>-247</v>
      </c>
      <c r="D57" s="136">
        <v>-872</v>
      </c>
      <c r="E57" s="136">
        <v>-243</v>
      </c>
      <c r="F57" s="136">
        <v>-282</v>
      </c>
      <c r="G57" s="136">
        <v>-153</v>
      </c>
      <c r="H57" s="136">
        <v>-320</v>
      </c>
      <c r="I57" s="136">
        <v>-573</v>
      </c>
      <c r="J57" s="136">
        <v>-25</v>
      </c>
      <c r="K57" s="136">
        <v>-140</v>
      </c>
      <c r="L57" s="136">
        <v>0</v>
      </c>
      <c r="M57" s="136">
        <v>-146</v>
      </c>
      <c r="N57" s="136">
        <v>-212</v>
      </c>
    </row>
    <row r="58" spans="2:14" x14ac:dyDescent="0.35">
      <c r="B58" t="s">
        <v>101</v>
      </c>
      <c r="C58" s="136">
        <v>330</v>
      </c>
      <c r="D58" s="136">
        <v>463</v>
      </c>
      <c r="E58" s="136">
        <v>278</v>
      </c>
      <c r="F58" s="136">
        <v>205</v>
      </c>
      <c r="G58" s="136">
        <v>357</v>
      </c>
      <c r="H58" s="136">
        <v>362</v>
      </c>
      <c r="I58" s="136">
        <v>733</v>
      </c>
      <c r="J58" s="136">
        <v>134</v>
      </c>
      <c r="K58" s="136">
        <v>272</v>
      </c>
      <c r="L58" s="136">
        <v>207</v>
      </c>
      <c r="M58" s="136">
        <v>446</v>
      </c>
      <c r="N58" s="136">
        <v>240</v>
      </c>
    </row>
    <row r="59" spans="2:14" x14ac:dyDescent="0.35">
      <c r="B59" t="s">
        <v>102</v>
      </c>
      <c r="C59" s="136">
        <v>11</v>
      </c>
      <c r="D59" s="136">
        <v>14</v>
      </c>
      <c r="E59" s="136">
        <v>11</v>
      </c>
      <c r="F59" s="136">
        <v>15</v>
      </c>
      <c r="G59" s="136">
        <v>32</v>
      </c>
      <c r="H59" s="136">
        <v>39</v>
      </c>
      <c r="I59" s="136">
        <v>40</v>
      </c>
      <c r="J59" s="136">
        <v>65</v>
      </c>
      <c r="K59" s="136">
        <v>73</v>
      </c>
      <c r="L59" s="136">
        <v>77</v>
      </c>
      <c r="M59" s="136">
        <v>87</v>
      </c>
      <c r="N59" s="136">
        <v>135</v>
      </c>
    </row>
    <row r="60" spans="2:14" x14ac:dyDescent="0.35">
      <c r="B60" t="s">
        <v>103</v>
      </c>
      <c r="C60" s="136">
        <v>33</v>
      </c>
      <c r="D60" s="136">
        <v>65</v>
      </c>
      <c r="E60" s="136">
        <v>71</v>
      </c>
      <c r="F60" s="136">
        <v>69</v>
      </c>
      <c r="G60" s="136">
        <v>74</v>
      </c>
      <c r="H60" s="136">
        <v>38</v>
      </c>
      <c r="I60" s="136">
        <v>40</v>
      </c>
      <c r="J60" s="136">
        <v>27</v>
      </c>
      <c r="K60" s="136">
        <v>8</v>
      </c>
      <c r="L60" s="136">
        <v>15</v>
      </c>
      <c r="M60" s="136">
        <v>56</v>
      </c>
      <c r="N60" s="136">
        <v>129</v>
      </c>
    </row>
    <row r="61" spans="2:14" x14ac:dyDescent="0.35">
      <c r="B61" t="s">
        <v>104</v>
      </c>
      <c r="C61" s="136">
        <v>0</v>
      </c>
      <c r="D61" s="136">
        <v>0</v>
      </c>
      <c r="E61" s="136">
        <v>0</v>
      </c>
      <c r="F61" s="136">
        <v>0</v>
      </c>
      <c r="G61" s="136">
        <v>0</v>
      </c>
      <c r="H61" s="136">
        <v>0</v>
      </c>
      <c r="I61" s="136">
        <v>0</v>
      </c>
      <c r="J61" s="136">
        <v>0</v>
      </c>
      <c r="K61" s="136">
        <v>0</v>
      </c>
      <c r="L61" s="136">
        <v>0</v>
      </c>
      <c r="M61" s="136">
        <v>-180</v>
      </c>
      <c r="N61" s="136">
        <v>0</v>
      </c>
    </row>
    <row r="62" spans="2:14" x14ac:dyDescent="0.35">
      <c r="B62" t="s">
        <v>105</v>
      </c>
      <c r="C62" s="136">
        <v>0</v>
      </c>
      <c r="D62" s="136">
        <v>0</v>
      </c>
      <c r="E62" s="136">
        <v>0</v>
      </c>
      <c r="F62" s="136">
        <v>0</v>
      </c>
      <c r="G62" s="136">
        <v>0</v>
      </c>
      <c r="H62" s="136">
        <v>141</v>
      </c>
      <c r="I62" s="136">
        <v>0</v>
      </c>
      <c r="J62" s="136">
        <v>0</v>
      </c>
      <c r="K62" s="136">
        <v>0</v>
      </c>
      <c r="L62" s="136">
        <v>0</v>
      </c>
      <c r="M62" s="136">
        <v>0</v>
      </c>
      <c r="N62" s="136">
        <v>0</v>
      </c>
    </row>
    <row r="63" spans="2:14" x14ac:dyDescent="0.35">
      <c r="B63" t="s">
        <v>106</v>
      </c>
      <c r="C63" s="136">
        <v>0</v>
      </c>
      <c r="D63" s="136">
        <v>0</v>
      </c>
      <c r="E63" s="136">
        <v>0</v>
      </c>
      <c r="F63" s="136">
        <v>0</v>
      </c>
      <c r="G63" s="136">
        <v>0</v>
      </c>
      <c r="H63" s="136">
        <v>-525</v>
      </c>
      <c r="I63" s="136">
        <v>0</v>
      </c>
      <c r="J63" s="136">
        <v>0</v>
      </c>
      <c r="K63" s="136">
        <v>0</v>
      </c>
      <c r="L63" s="136">
        <v>0</v>
      </c>
      <c r="M63" s="136">
        <v>0</v>
      </c>
      <c r="N63" s="136">
        <v>0</v>
      </c>
    </row>
    <row r="64" spans="2:14" x14ac:dyDescent="0.35">
      <c r="B64" t="s">
        <v>108</v>
      </c>
      <c r="C64" s="142">
        <v>46</v>
      </c>
      <c r="D64" s="142">
        <v>-21</v>
      </c>
      <c r="E64" s="142">
        <v>-144</v>
      </c>
      <c r="F64" s="142">
        <v>-70</v>
      </c>
      <c r="G64" s="142">
        <v>-324</v>
      </c>
      <c r="H64" s="142">
        <v>118</v>
      </c>
      <c r="I64" s="142">
        <v>-24</v>
      </c>
      <c r="J64" s="142">
        <v>-353</v>
      </c>
      <c r="K64" s="142">
        <v>-500</v>
      </c>
      <c r="L64" s="142">
        <v>-105</v>
      </c>
      <c r="M64" s="142">
        <v>-126</v>
      </c>
      <c r="N64" s="142">
        <v>-350</v>
      </c>
    </row>
    <row r="65" spans="2:14" ht="15" thickBot="1" x14ac:dyDescent="0.4"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 spans="2:14" ht="15" thickBot="1" x14ac:dyDescent="0.4">
      <c r="B66" s="12" t="s">
        <v>109</v>
      </c>
      <c r="C66" s="143">
        <v>-601</v>
      </c>
      <c r="D66" s="143">
        <v>-626</v>
      </c>
      <c r="E66" s="143">
        <v>-576</v>
      </c>
      <c r="F66" s="143">
        <v>-849</v>
      </c>
      <c r="G66" s="143">
        <v>-756</v>
      </c>
      <c r="H66" s="143">
        <v>-1379</v>
      </c>
      <c r="I66" s="143">
        <v>-1117</v>
      </c>
      <c r="J66" s="143">
        <v>-2871</v>
      </c>
      <c r="K66" s="143">
        <v>-650</v>
      </c>
      <c r="L66" s="143">
        <v>-1808</v>
      </c>
      <c r="M66" s="143">
        <v>-2140</v>
      </c>
      <c r="N66" s="143">
        <v>-2982</v>
      </c>
    </row>
    <row r="67" spans="2:14" x14ac:dyDescent="0.35">
      <c r="B67" t="s">
        <v>110</v>
      </c>
      <c r="C67" s="140">
        <v>0</v>
      </c>
      <c r="D67" s="140">
        <v>0</v>
      </c>
      <c r="E67" s="140">
        <v>0</v>
      </c>
      <c r="F67" s="140">
        <v>0</v>
      </c>
      <c r="G67" s="140">
        <v>0</v>
      </c>
      <c r="H67" s="140">
        <v>0</v>
      </c>
      <c r="I67" s="140">
        <v>0</v>
      </c>
      <c r="J67" s="140">
        <v>0</v>
      </c>
      <c r="K67" s="140">
        <v>0</v>
      </c>
      <c r="L67" s="140">
        <v>0</v>
      </c>
      <c r="M67" s="140">
        <v>0</v>
      </c>
      <c r="N67" s="140">
        <v>1</v>
      </c>
    </row>
    <row r="68" spans="2:14" x14ac:dyDescent="0.35">
      <c r="B68" t="s">
        <v>112</v>
      </c>
      <c r="C68" s="136">
        <v>33</v>
      </c>
      <c r="D68" s="136">
        <v>44</v>
      </c>
      <c r="E68" s="136">
        <v>239</v>
      </c>
      <c r="F68" s="136">
        <v>8</v>
      </c>
      <c r="G68" s="136">
        <v>271</v>
      </c>
      <c r="H68" s="136">
        <v>10</v>
      </c>
      <c r="I68" s="136">
        <v>243</v>
      </c>
      <c r="J68" s="136">
        <v>18</v>
      </c>
      <c r="K68" s="136">
        <v>155</v>
      </c>
      <c r="L68" s="136">
        <v>418</v>
      </c>
      <c r="M68" s="136">
        <v>254</v>
      </c>
      <c r="N68" s="136">
        <v>101</v>
      </c>
    </row>
    <row r="69" spans="2:14" x14ac:dyDescent="0.35">
      <c r="B69" t="s">
        <v>113</v>
      </c>
      <c r="C69" s="136">
        <v>-135</v>
      </c>
      <c r="D69" s="136">
        <v>-81</v>
      </c>
      <c r="E69" s="136">
        <v>-86</v>
      </c>
      <c r="F69" s="136">
        <v>-119</v>
      </c>
      <c r="G69" s="136">
        <v>-58</v>
      </c>
      <c r="H69" s="136">
        <v>-54</v>
      </c>
      <c r="I69" s="136">
        <v>-26</v>
      </c>
      <c r="J69" s="136">
        <v>-279</v>
      </c>
      <c r="K69" s="136">
        <v>-14</v>
      </c>
      <c r="L69" s="136">
        <v>-8</v>
      </c>
      <c r="M69" s="136">
        <v>-25</v>
      </c>
      <c r="N69" s="136">
        <v>-98</v>
      </c>
    </row>
    <row r="70" spans="2:14" x14ac:dyDescent="0.35">
      <c r="B70" t="s">
        <v>114</v>
      </c>
      <c r="C70" s="136">
        <v>-37</v>
      </c>
      <c r="D70" s="136">
        <v>-42</v>
      </c>
      <c r="E70" s="136">
        <v>-35</v>
      </c>
      <c r="F70" s="136">
        <v>-40</v>
      </c>
      <c r="G70" s="136">
        <v>-36</v>
      </c>
      <c r="H70" s="136">
        <v>-35</v>
      </c>
      <c r="I70" s="136">
        <v>-106</v>
      </c>
      <c r="J70" s="136">
        <v>-101</v>
      </c>
      <c r="K70" s="136">
        <v>-89</v>
      </c>
      <c r="L70" s="136">
        <v>-94</v>
      </c>
      <c r="M70" s="136">
        <v>-142</v>
      </c>
      <c r="N70" s="136">
        <v>-191</v>
      </c>
    </row>
    <row r="71" spans="2:14" x14ac:dyDescent="0.35">
      <c r="B71" t="s">
        <v>115</v>
      </c>
      <c r="C71" s="136">
        <v>-462</v>
      </c>
      <c r="D71" s="136">
        <v>-547</v>
      </c>
      <c r="E71" s="136">
        <v>-695</v>
      </c>
      <c r="F71" s="136">
        <v>-764</v>
      </c>
      <c r="G71" s="136">
        <v>-947</v>
      </c>
      <c r="H71" s="136">
        <v>-1218</v>
      </c>
      <c r="I71" s="136">
        <v>-1049</v>
      </c>
      <c r="J71" s="136">
        <v>-2121</v>
      </c>
      <c r="K71" s="136">
        <v>-499</v>
      </c>
      <c r="L71" s="136">
        <v>-1763</v>
      </c>
      <c r="M71" s="136">
        <v>-1936</v>
      </c>
      <c r="N71" s="136">
        <v>-2551</v>
      </c>
    </row>
    <row r="72" spans="2:14" x14ac:dyDescent="0.35">
      <c r="B72" t="s">
        <v>116</v>
      </c>
      <c r="C72" s="136">
        <v>0</v>
      </c>
      <c r="D72" s="136">
        <v>0</v>
      </c>
      <c r="E72" s="136">
        <v>0</v>
      </c>
      <c r="F72" s="136">
        <v>0</v>
      </c>
      <c r="G72" s="136">
        <v>0</v>
      </c>
      <c r="H72" s="136">
        <v>0</v>
      </c>
      <c r="I72" s="136">
        <v>-180</v>
      </c>
      <c r="J72" s="136">
        <v>-179</v>
      </c>
      <c r="K72" s="136">
        <v>-203</v>
      </c>
      <c r="L72" s="136">
        <v>-221</v>
      </c>
      <c r="M72" s="136">
        <v>-256</v>
      </c>
      <c r="N72" s="136">
        <v>-286</v>
      </c>
    </row>
    <row r="73" spans="2:14" x14ac:dyDescent="0.35">
      <c r="B73" t="s">
        <v>117</v>
      </c>
      <c r="C73" s="142">
        <v>0</v>
      </c>
      <c r="D73" s="142">
        <v>0</v>
      </c>
      <c r="E73" s="142">
        <v>0</v>
      </c>
      <c r="F73" s="142">
        <v>66</v>
      </c>
      <c r="G73" s="142">
        <v>13</v>
      </c>
      <c r="H73" s="142">
        <v>-82</v>
      </c>
      <c r="I73" s="142">
        <v>0</v>
      </c>
      <c r="J73" s="142">
        <v>-209</v>
      </c>
      <c r="K73" s="142">
        <v>0</v>
      </c>
      <c r="L73" s="142">
        <v>-140</v>
      </c>
      <c r="M73" s="142">
        <v>-36</v>
      </c>
      <c r="N73" s="142">
        <v>41</v>
      </c>
    </row>
    <row r="74" spans="2:14" ht="15" thickBot="1" x14ac:dyDescent="0.4"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 spans="2:14" ht="15" thickBot="1" x14ac:dyDescent="0.4">
      <c r="B75" s="12" t="s">
        <v>3</v>
      </c>
      <c r="C75" s="143">
        <v>123</v>
      </c>
      <c r="D75" s="143">
        <v>190</v>
      </c>
      <c r="E75" s="143">
        <v>147</v>
      </c>
      <c r="F75" s="143">
        <v>528</v>
      </c>
      <c r="G75" s="143">
        <v>90</v>
      </c>
      <c r="H75" s="143">
        <v>-822</v>
      </c>
      <c r="I75" s="143">
        <v>434</v>
      </c>
      <c r="J75" s="143">
        <v>-351</v>
      </c>
      <c r="K75" s="143">
        <v>2492</v>
      </c>
      <c r="L75" s="143">
        <v>-1138</v>
      </c>
      <c r="M75" s="143">
        <v>771</v>
      </c>
      <c r="N75" s="143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A149-FFF6-47B3-BF9B-B08773ED7FF9}">
  <dimension ref="A2:M12"/>
  <sheetViews>
    <sheetView workbookViewId="0">
      <selection activeCell="B3" sqref="B3"/>
    </sheetView>
  </sheetViews>
  <sheetFormatPr defaultRowHeight="14.5" x14ac:dyDescent="0.35"/>
  <cols>
    <col min="1" max="1" width="8.7265625" style="60"/>
    <col min="2" max="2" width="13.6328125" bestFit="1" customWidth="1"/>
    <col min="4" max="4" width="15.7265625" bestFit="1" customWidth="1"/>
    <col min="5" max="5" width="15.7265625" customWidth="1"/>
    <col min="6" max="6" width="10.08984375" bestFit="1" customWidth="1"/>
    <col min="7" max="7" width="13.81640625" bestFit="1" customWidth="1"/>
    <col min="8" max="8" width="13.81640625" customWidth="1"/>
    <col min="9" max="9" width="11.54296875" customWidth="1"/>
    <col min="10" max="10" width="10.26953125" bestFit="1" customWidth="1"/>
    <col min="11" max="11" width="10.26953125" customWidth="1"/>
    <col min="12" max="12" width="12.54296875" bestFit="1" customWidth="1"/>
    <col min="13" max="13" width="8.6328125" bestFit="1" customWidth="1"/>
  </cols>
  <sheetData>
    <row r="2" spans="1:13" x14ac:dyDescent="0.35">
      <c r="A2" s="205" t="s">
        <v>205</v>
      </c>
      <c r="B2" s="12" t="s">
        <v>206</v>
      </c>
      <c r="C2" s="206" t="s">
        <v>213</v>
      </c>
      <c r="D2" s="206" t="s">
        <v>214</v>
      </c>
      <c r="E2" s="206" t="s">
        <v>252</v>
      </c>
      <c r="F2" s="206" t="s">
        <v>215</v>
      </c>
      <c r="G2" s="206" t="s">
        <v>216</v>
      </c>
      <c r="H2" s="206" t="s">
        <v>353</v>
      </c>
      <c r="I2" s="206" t="s">
        <v>217</v>
      </c>
      <c r="J2" s="206" t="s">
        <v>218</v>
      </c>
      <c r="K2" s="206" t="s">
        <v>64</v>
      </c>
      <c r="L2" s="206" t="s">
        <v>219</v>
      </c>
      <c r="M2" s="58"/>
    </row>
    <row r="3" spans="1:13" x14ac:dyDescent="0.35">
      <c r="A3" s="60">
        <v>1</v>
      </c>
      <c r="B3" t="s">
        <v>208</v>
      </c>
      <c r="C3" s="58">
        <v>3001.85</v>
      </c>
      <c r="D3" s="58">
        <v>95.92</v>
      </c>
      <c r="E3" s="58">
        <f>D3*C3</f>
        <v>287937.45199999999</v>
      </c>
      <c r="F3" s="58">
        <v>2474.38</v>
      </c>
      <c r="G3" s="58">
        <v>1084.01</v>
      </c>
      <c r="H3" s="58">
        <f>F3-G3</f>
        <v>1390.3700000000001</v>
      </c>
      <c r="I3" s="58">
        <f>E3+F3-G3</f>
        <v>289327.82199999999</v>
      </c>
      <c r="J3" s="58">
        <v>35282.15</v>
      </c>
      <c r="K3" s="58">
        <v>8405.94</v>
      </c>
      <c r="L3" s="58">
        <v>5169.6400000000003</v>
      </c>
      <c r="M3" s="58"/>
    </row>
    <row r="4" spans="1:13" x14ac:dyDescent="0.35">
      <c r="A4" s="60">
        <v>2</v>
      </c>
      <c r="B4" t="s">
        <v>209</v>
      </c>
      <c r="C4" s="58">
        <v>539.20000000000005</v>
      </c>
      <c r="D4" s="58">
        <v>116.58</v>
      </c>
      <c r="E4" s="58">
        <f t="shared" ref="E4:E9" si="0">D4*C4</f>
        <v>62859.936000000002</v>
      </c>
      <c r="F4" s="58">
        <v>753.29</v>
      </c>
      <c r="G4" s="58">
        <v>450.65</v>
      </c>
      <c r="H4" s="58">
        <f t="shared" ref="H4:H9" si="1">F4-G4</f>
        <v>302.64</v>
      </c>
      <c r="I4" s="58">
        <f t="shared" ref="I4:I9" si="2">E4+F4-G4</f>
        <v>63162.576000000001</v>
      </c>
      <c r="J4" s="58">
        <v>11260.42</v>
      </c>
      <c r="K4" s="58">
        <v>1966.02</v>
      </c>
      <c r="L4" s="58">
        <v>1168.94</v>
      </c>
      <c r="M4" s="58"/>
    </row>
    <row r="5" spans="1:13" x14ac:dyDescent="0.35">
      <c r="A5" s="60">
        <v>3</v>
      </c>
      <c r="B5" t="s">
        <v>210</v>
      </c>
      <c r="C5" s="58">
        <v>283.39999999999998</v>
      </c>
      <c r="D5" s="58">
        <v>80.84</v>
      </c>
      <c r="E5" s="58">
        <f t="shared" si="0"/>
        <v>22910.056</v>
      </c>
      <c r="F5" s="58">
        <v>276.42</v>
      </c>
      <c r="G5" s="58">
        <v>259.95</v>
      </c>
      <c r="H5" s="58">
        <f t="shared" si="1"/>
        <v>16.470000000000027</v>
      </c>
      <c r="I5" s="58">
        <f t="shared" si="2"/>
        <v>22926.525999999998</v>
      </c>
      <c r="J5" s="58">
        <v>7777.7</v>
      </c>
      <c r="K5" s="58">
        <v>1780.88</v>
      </c>
      <c r="L5" s="58">
        <v>666.73</v>
      </c>
      <c r="M5" s="58"/>
    </row>
    <row r="6" spans="1:13" x14ac:dyDescent="0.35">
      <c r="A6" s="60">
        <v>4</v>
      </c>
      <c r="B6" t="s">
        <v>211</v>
      </c>
      <c r="C6" s="58">
        <v>3735.85</v>
      </c>
      <c r="D6" s="58">
        <v>4.55</v>
      </c>
      <c r="E6" s="58">
        <f t="shared" si="0"/>
        <v>16998.1175</v>
      </c>
      <c r="F6" s="58">
        <v>60.4</v>
      </c>
      <c r="G6" s="58">
        <v>523.20000000000005</v>
      </c>
      <c r="H6" s="58">
        <f t="shared" si="1"/>
        <v>-462.80000000000007</v>
      </c>
      <c r="I6" s="58">
        <f t="shared" si="2"/>
        <v>16535.317500000001</v>
      </c>
      <c r="J6" s="58">
        <v>3998.7</v>
      </c>
      <c r="K6" s="58">
        <v>667.8</v>
      </c>
      <c r="L6" s="58">
        <v>431.4</v>
      </c>
      <c r="M6" s="58"/>
    </row>
    <row r="7" spans="1:13" x14ac:dyDescent="0.35">
      <c r="A7" s="60">
        <v>5</v>
      </c>
      <c r="B7" t="s">
        <v>212</v>
      </c>
      <c r="C7" s="58">
        <v>1642.95</v>
      </c>
      <c r="D7" s="58">
        <v>4.76</v>
      </c>
      <c r="E7" s="58">
        <f t="shared" si="0"/>
        <v>7820.442</v>
      </c>
      <c r="F7" s="58">
        <v>16.84</v>
      </c>
      <c r="G7" s="58">
        <v>32.67</v>
      </c>
      <c r="H7" s="58">
        <f t="shared" si="1"/>
        <v>-15.830000000000002</v>
      </c>
      <c r="I7" s="58">
        <f t="shared" si="2"/>
        <v>7804.6120000000001</v>
      </c>
      <c r="J7" s="58">
        <v>1271.8</v>
      </c>
      <c r="K7" s="58">
        <v>252.29</v>
      </c>
      <c r="L7" s="58">
        <v>143.82</v>
      </c>
      <c r="M7" s="58"/>
    </row>
    <row r="8" spans="1:13" x14ac:dyDescent="0.35">
      <c r="A8" s="60">
        <v>6</v>
      </c>
      <c r="B8" t="s">
        <v>367</v>
      </c>
      <c r="C8" s="58">
        <v>106.36</v>
      </c>
      <c r="D8" s="58">
        <v>8.3699999999999992</v>
      </c>
      <c r="E8" s="58">
        <f t="shared" si="0"/>
        <v>890.2331999999999</v>
      </c>
      <c r="F8" s="58">
        <v>105.88</v>
      </c>
      <c r="G8" s="58">
        <v>56.18</v>
      </c>
      <c r="H8" s="58">
        <f t="shared" si="1"/>
        <v>49.699999999999996</v>
      </c>
      <c r="I8" s="58">
        <f t="shared" si="2"/>
        <v>939.93319999999994</v>
      </c>
      <c r="J8" s="58">
        <v>537.61</v>
      </c>
      <c r="K8" s="58">
        <v>-46.05</v>
      </c>
      <c r="L8" s="58">
        <v>-90.62</v>
      </c>
      <c r="M8" s="58"/>
    </row>
    <row r="9" spans="1:13" x14ac:dyDescent="0.35">
      <c r="A9" s="60">
        <v>7</v>
      </c>
      <c r="B9" t="s">
        <v>368</v>
      </c>
      <c r="C9" s="58">
        <v>72.45</v>
      </c>
      <c r="D9" s="58">
        <v>1.39</v>
      </c>
      <c r="E9" s="58">
        <f t="shared" si="0"/>
        <v>100.7055</v>
      </c>
      <c r="F9" s="58">
        <v>6.89</v>
      </c>
      <c r="G9" s="58">
        <v>0.36</v>
      </c>
      <c r="H9" s="58">
        <f t="shared" si="1"/>
        <v>6.5299999999999994</v>
      </c>
      <c r="I9" s="58">
        <f t="shared" si="2"/>
        <v>107.2355</v>
      </c>
      <c r="J9" s="58">
        <v>11.66</v>
      </c>
      <c r="K9" s="58">
        <v>2.11</v>
      </c>
      <c r="L9" s="58">
        <v>0.74</v>
      </c>
      <c r="M9" s="58"/>
    </row>
    <row r="12" spans="1:13" x14ac:dyDescent="0.35">
      <c r="A12" t="s">
        <v>205</v>
      </c>
      <c r="B12" t="s">
        <v>206</v>
      </c>
      <c r="C12" s="77" t="s">
        <v>213</v>
      </c>
      <c r="D12" s="77" t="s">
        <v>214</v>
      </c>
      <c r="E12" s="77" t="s">
        <v>252</v>
      </c>
      <c r="F12" s="77" t="s">
        <v>215</v>
      </c>
      <c r="G12" s="77" t="s">
        <v>216</v>
      </c>
      <c r="H12" t="s">
        <v>353</v>
      </c>
      <c r="I12" s="77" t="s">
        <v>369</v>
      </c>
      <c r="J12" s="77" t="s">
        <v>218</v>
      </c>
      <c r="K12" s="77" t="s">
        <v>64</v>
      </c>
      <c r="L12" t="s">
        <v>219</v>
      </c>
      <c r="M12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Guide</vt:lpstr>
      <vt:lpstr>Financials&gt;</vt:lpstr>
      <vt:lpstr>HistoricalFS</vt:lpstr>
      <vt:lpstr>Ratio Analysis</vt:lpstr>
      <vt:lpstr>Common Size Statement</vt:lpstr>
      <vt:lpstr>Forecasting</vt:lpstr>
      <vt:lpstr>WACC</vt:lpstr>
      <vt:lpstr>Intrinsic Growth</vt:lpstr>
      <vt:lpstr>DCF</vt:lpstr>
      <vt:lpstr>Comps_Val (RV)</vt:lpstr>
      <vt:lpstr>Football Field</vt:lpstr>
      <vt:lpstr>Data&gt;</vt:lpstr>
      <vt:lpstr>Data Sheet</vt:lpstr>
      <vt:lpstr>Cash Flow Data</vt:lpstr>
      <vt:lpstr>Beta Comps</vt:lpstr>
      <vt:lpstr>Beta - Regression</vt:lpstr>
      <vt:lpstr>RM</vt:lpstr>
      <vt:lpstr>Raw FS</vt:lpstr>
      <vt:lpstr>RV Data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 Shah</dc:creator>
  <cp:lastModifiedBy>Shah K (FCI)</cp:lastModifiedBy>
  <cp:lastPrinted>2024-11-25T18:55:07Z</cp:lastPrinted>
  <dcterms:created xsi:type="dcterms:W3CDTF">2015-06-05T18:17:20Z</dcterms:created>
  <dcterms:modified xsi:type="dcterms:W3CDTF">2024-11-25T19:22:18Z</dcterms:modified>
</cp:coreProperties>
</file>