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van\Desktop\"/>
    </mc:Choice>
  </mc:AlternateContent>
  <xr:revisionPtr revIDLastSave="0" documentId="13_ncr:1_{80FAEB9C-0291-4F6E-A479-C93B9A639F77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Guide" sheetId="8" r:id="rId1"/>
    <sheet name="Financials&gt;" sheetId="1" r:id="rId2"/>
    <sheet name="HistoricalFS" sheetId="3" r:id="rId3"/>
    <sheet name="Ratio Analysis" sheetId="6" r:id="rId4"/>
    <sheet name="Forecasting" sheetId="7" r:id="rId5"/>
    <sheet name="Data&gt;" sheetId="4" r:id="rId6"/>
    <sheet name="Data Sheet" sheetId="2" r:id="rId7"/>
    <sheet name="Cash Flow Data" sheetId="5" r:id="rId8"/>
  </sheets>
  <definedNames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7" l="1"/>
  <c r="N15" i="7"/>
  <c r="N16" i="7"/>
  <c r="N17" i="7"/>
  <c r="N18" i="7"/>
  <c r="N14" i="7"/>
  <c r="O6" i="7"/>
  <c r="O5" i="7"/>
  <c r="N4" i="7" a="1"/>
  <c r="N4" i="7" s="1"/>
  <c r="N6" i="7"/>
  <c r="N7" i="7"/>
  <c r="N10" i="7"/>
  <c r="N11" i="7"/>
  <c r="O11" i="7" s="1"/>
  <c r="L2" i="7"/>
  <c r="L5" i="7"/>
  <c r="L6" i="7" s="1"/>
  <c r="L7" i="7" s="1"/>
  <c r="L8" i="7" s="1"/>
  <c r="L9" i="7" s="1"/>
  <c r="L10" i="7" s="1"/>
  <c r="L11" i="7" s="1"/>
  <c r="L12" i="7" s="1"/>
  <c r="L13" i="7" s="1"/>
  <c r="L14" i="7" s="1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J14" i="7"/>
  <c r="I15" i="7"/>
  <c r="I16" i="7"/>
  <c r="I17" i="7"/>
  <c r="I18" i="7"/>
  <c r="I14" i="7"/>
  <c r="I4" i="7" a="1"/>
  <c r="I4" i="7" s="1"/>
  <c r="I6" i="7"/>
  <c r="I7" i="7"/>
  <c r="I10" i="7"/>
  <c r="I11" i="7"/>
  <c r="G2" i="7"/>
  <c r="G6" i="7"/>
  <c r="G7" i="7" s="1"/>
  <c r="G8" i="7" s="1"/>
  <c r="G9" i="7" s="1"/>
  <c r="G10" i="7" s="1"/>
  <c r="G11" i="7" s="1"/>
  <c r="G12" i="7" s="1"/>
  <c r="G13" i="7" s="1"/>
  <c r="G14" i="7" s="1"/>
  <c r="G5" i="7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5" i="7"/>
  <c r="C4" i="7"/>
  <c r="B2" i="7"/>
  <c r="D14" i="7"/>
  <c r="D18" i="7"/>
  <c r="D17" i="7"/>
  <c r="D16" i="7"/>
  <c r="D15" i="7"/>
  <c r="D4" i="7" a="1"/>
  <c r="D4" i="7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B16" i="7"/>
  <c r="B17" i="7" s="1"/>
  <c r="B18" i="7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O13" i="6"/>
  <c r="O14" i="6"/>
  <c r="O15" i="6"/>
  <c r="O16" i="6"/>
  <c r="O18" i="6"/>
  <c r="O19" i="6"/>
  <c r="O20" i="6"/>
  <c r="O22" i="6"/>
  <c r="O23" i="6"/>
  <c r="O24" i="6"/>
  <c r="O25" i="6"/>
  <c r="O26" i="6"/>
  <c r="O28" i="6"/>
  <c r="O29" i="6"/>
  <c r="O30" i="6"/>
  <c r="O31" i="6"/>
  <c r="O32" i="6"/>
  <c r="O34" i="6"/>
  <c r="O35" i="6"/>
  <c r="O36" i="6"/>
  <c r="O37" i="6"/>
  <c r="O39" i="6"/>
  <c r="O40" i="6"/>
  <c r="O41" i="6"/>
  <c r="O12" i="6"/>
  <c r="N13" i="6"/>
  <c r="N14" i="6"/>
  <c r="N15" i="6"/>
  <c r="N16" i="6"/>
  <c r="N18" i="6"/>
  <c r="N19" i="6"/>
  <c r="N20" i="6"/>
  <c r="N22" i="6"/>
  <c r="N23" i="6"/>
  <c r="N24" i="6"/>
  <c r="N25" i="6"/>
  <c r="N26" i="6"/>
  <c r="N28" i="6"/>
  <c r="N29" i="6"/>
  <c r="N30" i="6"/>
  <c r="N31" i="6"/>
  <c r="N32" i="6"/>
  <c r="N34" i="6"/>
  <c r="N35" i="6"/>
  <c r="N36" i="6"/>
  <c r="N37" i="6"/>
  <c r="N39" i="6"/>
  <c r="N40" i="6"/>
  <c r="N41" i="6"/>
  <c r="N12" i="6"/>
  <c r="O10" i="6"/>
  <c r="O9" i="6"/>
  <c r="O8" i="6"/>
  <c r="O7" i="6"/>
  <c r="O6" i="6"/>
  <c r="N10" i="6"/>
  <c r="N9" i="6"/>
  <c r="N8" i="6"/>
  <c r="N7" i="6"/>
  <c r="N6" i="6"/>
  <c r="L41" i="6"/>
  <c r="K41" i="6"/>
  <c r="J41" i="6"/>
  <c r="I41" i="6"/>
  <c r="H41" i="6"/>
  <c r="G41" i="6"/>
  <c r="F41" i="6"/>
  <c r="E41" i="6"/>
  <c r="D41" i="6"/>
  <c r="L40" i="6"/>
  <c r="K40" i="6"/>
  <c r="J40" i="6"/>
  <c r="I40" i="6"/>
  <c r="H40" i="6"/>
  <c r="G40" i="6"/>
  <c r="F40" i="6"/>
  <c r="E40" i="6"/>
  <c r="D40" i="6"/>
  <c r="L39" i="6"/>
  <c r="K39" i="6"/>
  <c r="J39" i="6"/>
  <c r="I39" i="6"/>
  <c r="H39" i="6"/>
  <c r="G39" i="6"/>
  <c r="F39" i="6"/>
  <c r="E39" i="6"/>
  <c r="D39" i="6"/>
  <c r="C41" i="6"/>
  <c r="C40" i="6"/>
  <c r="C39" i="6"/>
  <c r="I37" i="6"/>
  <c r="H37" i="6"/>
  <c r="D37" i="6"/>
  <c r="L36" i="6"/>
  <c r="K36" i="6"/>
  <c r="J36" i="6"/>
  <c r="I36" i="6"/>
  <c r="H36" i="6"/>
  <c r="G36" i="6"/>
  <c r="F36" i="6"/>
  <c r="E36" i="6"/>
  <c r="E37" i="6" s="1"/>
  <c r="D36" i="6"/>
  <c r="L35" i="6"/>
  <c r="L37" i="6" s="1"/>
  <c r="K35" i="6"/>
  <c r="K37" i="6" s="1"/>
  <c r="J35" i="6"/>
  <c r="J37" i="6" s="1"/>
  <c r="I35" i="6"/>
  <c r="H35" i="6"/>
  <c r="G35" i="6"/>
  <c r="G37" i="6" s="1"/>
  <c r="F35" i="6"/>
  <c r="F37" i="6" s="1"/>
  <c r="E35" i="6"/>
  <c r="D35" i="6"/>
  <c r="L34" i="6"/>
  <c r="K34" i="6"/>
  <c r="J34" i="6"/>
  <c r="I34" i="6"/>
  <c r="H34" i="6"/>
  <c r="G34" i="6"/>
  <c r="F34" i="6"/>
  <c r="E34" i="6"/>
  <c r="D34" i="6"/>
  <c r="C37" i="6"/>
  <c r="C36" i="6"/>
  <c r="C35" i="6"/>
  <c r="C34" i="6"/>
  <c r="L32" i="6"/>
  <c r="K32" i="6"/>
  <c r="J32" i="6"/>
  <c r="I32" i="6"/>
  <c r="H32" i="6"/>
  <c r="G32" i="6"/>
  <c r="F32" i="6"/>
  <c r="E32" i="6"/>
  <c r="D32" i="6"/>
  <c r="L31" i="6"/>
  <c r="K31" i="6"/>
  <c r="J31" i="6"/>
  <c r="I31" i="6"/>
  <c r="H31" i="6"/>
  <c r="G31" i="6"/>
  <c r="F31" i="6"/>
  <c r="E31" i="6"/>
  <c r="D31" i="6"/>
  <c r="L30" i="6"/>
  <c r="K30" i="6"/>
  <c r="J30" i="6"/>
  <c r="I30" i="6"/>
  <c r="H30" i="6"/>
  <c r="G30" i="6"/>
  <c r="F30" i="6"/>
  <c r="E30" i="6"/>
  <c r="D30" i="6"/>
  <c r="L29" i="6"/>
  <c r="K29" i="6"/>
  <c r="J29" i="6"/>
  <c r="I29" i="6"/>
  <c r="H29" i="6"/>
  <c r="G29" i="6"/>
  <c r="F29" i="6"/>
  <c r="E29" i="6"/>
  <c r="D29" i="6"/>
  <c r="L28" i="6"/>
  <c r="K28" i="6"/>
  <c r="J28" i="6"/>
  <c r="I28" i="6"/>
  <c r="H28" i="6"/>
  <c r="G28" i="6"/>
  <c r="F28" i="6"/>
  <c r="E28" i="6"/>
  <c r="D28" i="6"/>
  <c r="C32" i="6"/>
  <c r="C31" i="6"/>
  <c r="C30" i="6"/>
  <c r="C29" i="6"/>
  <c r="C28" i="6"/>
  <c r="L26" i="6"/>
  <c r="K26" i="6"/>
  <c r="J26" i="6"/>
  <c r="I26" i="6"/>
  <c r="H26" i="6"/>
  <c r="G26" i="6"/>
  <c r="F26" i="6"/>
  <c r="E26" i="6"/>
  <c r="D26" i="6"/>
  <c r="K25" i="6"/>
  <c r="J25" i="6"/>
  <c r="F25" i="6"/>
  <c r="L24" i="6"/>
  <c r="K24" i="6"/>
  <c r="J24" i="6"/>
  <c r="I24" i="6"/>
  <c r="H24" i="6"/>
  <c r="G24" i="6"/>
  <c r="G25" i="6" s="1"/>
  <c r="F24" i="6"/>
  <c r="E24" i="6"/>
  <c r="D24" i="6"/>
  <c r="L23" i="6"/>
  <c r="L25" i="6" s="1"/>
  <c r="K23" i="6"/>
  <c r="J23" i="6"/>
  <c r="I23" i="6"/>
  <c r="I25" i="6" s="1"/>
  <c r="H23" i="6"/>
  <c r="H25" i="6" s="1"/>
  <c r="G23" i="6"/>
  <c r="F23" i="6"/>
  <c r="E23" i="6"/>
  <c r="E25" i="6" s="1"/>
  <c r="D23" i="6"/>
  <c r="D25" i="6" s="1"/>
  <c r="L22" i="6"/>
  <c r="K22" i="6"/>
  <c r="J22" i="6"/>
  <c r="I22" i="6"/>
  <c r="H22" i="6"/>
  <c r="G22" i="6"/>
  <c r="F22" i="6"/>
  <c r="E22" i="6"/>
  <c r="D22" i="6"/>
  <c r="C26" i="6"/>
  <c r="C25" i="6"/>
  <c r="C24" i="6"/>
  <c r="C23" i="6"/>
  <c r="C22" i="6"/>
  <c r="L20" i="6"/>
  <c r="K20" i="6"/>
  <c r="J20" i="6"/>
  <c r="I20" i="6"/>
  <c r="H20" i="6"/>
  <c r="G20" i="6"/>
  <c r="F20" i="6"/>
  <c r="E20" i="6"/>
  <c r="D20" i="6"/>
  <c r="L19" i="6"/>
  <c r="K19" i="6"/>
  <c r="J19" i="6"/>
  <c r="I19" i="6"/>
  <c r="H19" i="6"/>
  <c r="G19" i="6"/>
  <c r="F19" i="6"/>
  <c r="E19" i="6"/>
  <c r="D19" i="6"/>
  <c r="L18" i="6"/>
  <c r="K18" i="6"/>
  <c r="J18" i="6"/>
  <c r="I18" i="6"/>
  <c r="H18" i="6"/>
  <c r="G18" i="6"/>
  <c r="F18" i="6"/>
  <c r="E18" i="6"/>
  <c r="D18" i="6"/>
  <c r="C20" i="6"/>
  <c r="C19" i="6"/>
  <c r="C18" i="6"/>
  <c r="C13" i="6"/>
  <c r="L16" i="6"/>
  <c r="K16" i="6"/>
  <c r="J16" i="6"/>
  <c r="I16" i="6"/>
  <c r="H16" i="6"/>
  <c r="G16" i="6"/>
  <c r="F16" i="6"/>
  <c r="E16" i="6"/>
  <c r="D16" i="6"/>
  <c r="L15" i="6"/>
  <c r="K15" i="6"/>
  <c r="J15" i="6"/>
  <c r="I15" i="6"/>
  <c r="H15" i="6"/>
  <c r="G15" i="6"/>
  <c r="F15" i="6"/>
  <c r="E15" i="6"/>
  <c r="D15" i="6"/>
  <c r="L14" i="6"/>
  <c r="K14" i="6"/>
  <c r="J14" i="6"/>
  <c r="I14" i="6"/>
  <c r="H14" i="6"/>
  <c r="G14" i="6"/>
  <c r="F14" i="6"/>
  <c r="E14" i="6"/>
  <c r="D14" i="6"/>
  <c r="L13" i="6"/>
  <c r="K13" i="6"/>
  <c r="J13" i="6"/>
  <c r="I13" i="6"/>
  <c r="H13" i="6"/>
  <c r="G13" i="6"/>
  <c r="F13" i="6"/>
  <c r="E13" i="6"/>
  <c r="D13" i="6"/>
  <c r="L12" i="6"/>
  <c r="K12" i="6"/>
  <c r="J12" i="6"/>
  <c r="I12" i="6"/>
  <c r="H12" i="6"/>
  <c r="G12" i="6"/>
  <c r="F12" i="6"/>
  <c r="E12" i="6"/>
  <c r="D12" i="6"/>
  <c r="C14" i="6"/>
  <c r="C16" i="6"/>
  <c r="C15" i="6"/>
  <c r="C12" i="6"/>
  <c r="D7" i="6"/>
  <c r="L6" i="6"/>
  <c r="K6" i="6"/>
  <c r="J6" i="6"/>
  <c r="I6" i="6"/>
  <c r="H6" i="6"/>
  <c r="G6" i="6"/>
  <c r="F6" i="6"/>
  <c r="E6" i="6"/>
  <c r="D6" i="6"/>
  <c r="L10" i="6"/>
  <c r="K10" i="6"/>
  <c r="J10" i="6"/>
  <c r="I10" i="6"/>
  <c r="H10" i="6"/>
  <c r="G10" i="6"/>
  <c r="F10" i="6"/>
  <c r="E10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D10" i="6"/>
  <c r="D8" i="6"/>
  <c r="D9" i="6"/>
  <c r="B3" i="6"/>
  <c r="L4" i="6"/>
  <c r="K4" i="6"/>
  <c r="J4" i="6"/>
  <c r="I4" i="6"/>
  <c r="H4" i="6"/>
  <c r="G4" i="6"/>
  <c r="F4" i="6"/>
  <c r="E4" i="6"/>
  <c r="D4" i="6"/>
  <c r="C4" i="6"/>
  <c r="L108" i="3"/>
  <c r="K108" i="3"/>
  <c r="J108" i="3"/>
  <c r="I108" i="3"/>
  <c r="H108" i="3"/>
  <c r="G108" i="3"/>
  <c r="F108" i="3"/>
  <c r="E108" i="3"/>
  <c r="D108" i="3"/>
  <c r="C108" i="3"/>
  <c r="L106" i="3"/>
  <c r="K106" i="3"/>
  <c r="J106" i="3"/>
  <c r="I106" i="3"/>
  <c r="H106" i="3"/>
  <c r="G106" i="3"/>
  <c r="F106" i="3"/>
  <c r="E106" i="3"/>
  <c r="D106" i="3"/>
  <c r="C106" i="3"/>
  <c r="L105" i="3"/>
  <c r="K105" i="3"/>
  <c r="J105" i="3"/>
  <c r="I105" i="3"/>
  <c r="H105" i="3"/>
  <c r="G105" i="3"/>
  <c r="F105" i="3"/>
  <c r="E105" i="3"/>
  <c r="D105" i="3"/>
  <c r="C105" i="3"/>
  <c r="L104" i="3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C100" i="3"/>
  <c r="L99" i="3"/>
  <c r="K99" i="3"/>
  <c r="J99" i="3"/>
  <c r="I99" i="3"/>
  <c r="H99" i="3"/>
  <c r="G99" i="3"/>
  <c r="F99" i="3"/>
  <c r="E99" i="3"/>
  <c r="D99" i="3"/>
  <c r="C99" i="3"/>
  <c r="L98" i="3"/>
  <c r="K98" i="3"/>
  <c r="J98" i="3"/>
  <c r="I98" i="3"/>
  <c r="H98" i="3"/>
  <c r="G98" i="3"/>
  <c r="F98" i="3"/>
  <c r="E98" i="3"/>
  <c r="D98" i="3"/>
  <c r="C98" i="3"/>
  <c r="L95" i="3"/>
  <c r="K95" i="3"/>
  <c r="J95" i="3"/>
  <c r="I95" i="3"/>
  <c r="H95" i="3"/>
  <c r="G95" i="3"/>
  <c r="F95" i="3"/>
  <c r="E95" i="3"/>
  <c r="D95" i="3"/>
  <c r="C95" i="3"/>
  <c r="L94" i="3"/>
  <c r="K94" i="3"/>
  <c r="J94" i="3"/>
  <c r="I94" i="3"/>
  <c r="H94" i="3"/>
  <c r="G94" i="3"/>
  <c r="F94" i="3"/>
  <c r="E94" i="3"/>
  <c r="D94" i="3"/>
  <c r="C94" i="3"/>
  <c r="L93" i="3"/>
  <c r="K93" i="3"/>
  <c r="J93" i="3"/>
  <c r="I93" i="3"/>
  <c r="H93" i="3"/>
  <c r="G93" i="3"/>
  <c r="F93" i="3"/>
  <c r="E93" i="3"/>
  <c r="D93" i="3"/>
  <c r="C93" i="3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J85" i="3"/>
  <c r="I85" i="3"/>
  <c r="H85" i="3"/>
  <c r="G85" i="3"/>
  <c r="F85" i="3"/>
  <c r="E85" i="3"/>
  <c r="D85" i="3"/>
  <c r="C85" i="3"/>
  <c r="L84" i="3"/>
  <c r="K84" i="3"/>
  <c r="J84" i="3"/>
  <c r="I84" i="3"/>
  <c r="H84" i="3"/>
  <c r="G84" i="3"/>
  <c r="F84" i="3"/>
  <c r="E84" i="3"/>
  <c r="D84" i="3"/>
  <c r="C84" i="3"/>
  <c r="L81" i="3"/>
  <c r="K81" i="3"/>
  <c r="J81" i="3"/>
  <c r="I81" i="3"/>
  <c r="H81" i="3"/>
  <c r="G81" i="3"/>
  <c r="F81" i="3"/>
  <c r="E81" i="3"/>
  <c r="D81" i="3"/>
  <c r="C81" i="3"/>
  <c r="L80" i="3"/>
  <c r="K80" i="3"/>
  <c r="J80" i="3"/>
  <c r="I80" i="3"/>
  <c r="H80" i="3"/>
  <c r="G80" i="3"/>
  <c r="F80" i="3"/>
  <c r="E80" i="3"/>
  <c r="D80" i="3"/>
  <c r="C80" i="3"/>
  <c r="L79" i="3"/>
  <c r="K79" i="3"/>
  <c r="J79" i="3"/>
  <c r="I79" i="3"/>
  <c r="H79" i="3"/>
  <c r="G79" i="3"/>
  <c r="F79" i="3"/>
  <c r="E79" i="3"/>
  <c r="D79" i="3"/>
  <c r="C79" i="3"/>
  <c r="L78" i="3"/>
  <c r="K78" i="3"/>
  <c r="J78" i="3"/>
  <c r="I78" i="3"/>
  <c r="H78" i="3"/>
  <c r="G78" i="3"/>
  <c r="F78" i="3"/>
  <c r="E78" i="3"/>
  <c r="D78" i="3"/>
  <c r="C78" i="3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J73" i="3"/>
  <c r="I73" i="3"/>
  <c r="H73" i="3"/>
  <c r="G73" i="3"/>
  <c r="F73" i="3"/>
  <c r="E73" i="3"/>
  <c r="D73" i="3"/>
  <c r="C73" i="3"/>
  <c r="L69" i="3"/>
  <c r="K69" i="3"/>
  <c r="J69" i="3"/>
  <c r="I69" i="3"/>
  <c r="H69" i="3"/>
  <c r="G69" i="3"/>
  <c r="F69" i="3"/>
  <c r="E69" i="3"/>
  <c r="D69" i="3"/>
  <c r="C69" i="3"/>
  <c r="L60" i="3"/>
  <c r="K60" i="3"/>
  <c r="J60" i="3"/>
  <c r="I60" i="3"/>
  <c r="I67" i="3" s="1"/>
  <c r="H60" i="3"/>
  <c r="G60" i="3"/>
  <c r="F60" i="3"/>
  <c r="E60" i="3"/>
  <c r="E67" i="3" s="1"/>
  <c r="D60" i="3"/>
  <c r="C60" i="3"/>
  <c r="C67" i="3"/>
  <c r="L59" i="3"/>
  <c r="K59" i="3"/>
  <c r="J59" i="3"/>
  <c r="I59" i="3"/>
  <c r="H59" i="3"/>
  <c r="G59" i="3"/>
  <c r="F59" i="3"/>
  <c r="E59" i="3"/>
  <c r="D59" i="3"/>
  <c r="C59" i="3"/>
  <c r="L67" i="3"/>
  <c r="K67" i="3"/>
  <c r="J67" i="3"/>
  <c r="H67" i="3"/>
  <c r="G67" i="3"/>
  <c r="F67" i="3"/>
  <c r="D67" i="3"/>
  <c r="L65" i="3"/>
  <c r="K65" i="3"/>
  <c r="J65" i="3"/>
  <c r="I65" i="3"/>
  <c r="H65" i="3"/>
  <c r="G65" i="3"/>
  <c r="F65" i="3"/>
  <c r="E65" i="3"/>
  <c r="D65" i="3"/>
  <c r="C65" i="3"/>
  <c r="L64" i="3"/>
  <c r="K64" i="3"/>
  <c r="J64" i="3"/>
  <c r="I64" i="3"/>
  <c r="H64" i="3"/>
  <c r="G64" i="3"/>
  <c r="F64" i="3"/>
  <c r="E64" i="3"/>
  <c r="D64" i="3"/>
  <c r="C64" i="3"/>
  <c r="L63" i="3"/>
  <c r="K63" i="3"/>
  <c r="J63" i="3"/>
  <c r="I63" i="3"/>
  <c r="H63" i="3"/>
  <c r="G63" i="3"/>
  <c r="F63" i="3"/>
  <c r="E63" i="3"/>
  <c r="D63" i="3"/>
  <c r="C63" i="3"/>
  <c r="L62" i="3"/>
  <c r="K62" i="3"/>
  <c r="J62" i="3"/>
  <c r="I62" i="3"/>
  <c r="H62" i="3"/>
  <c r="G62" i="3"/>
  <c r="F62" i="3"/>
  <c r="E62" i="3"/>
  <c r="D62" i="3"/>
  <c r="C62" i="3"/>
  <c r="L58" i="3"/>
  <c r="K58" i="3"/>
  <c r="J58" i="3"/>
  <c r="I58" i="3"/>
  <c r="H58" i="3"/>
  <c r="G58" i="3"/>
  <c r="F58" i="3"/>
  <c r="E58" i="3"/>
  <c r="D58" i="3"/>
  <c r="C58" i="3"/>
  <c r="L57" i="3"/>
  <c r="K57" i="3"/>
  <c r="J57" i="3"/>
  <c r="I57" i="3"/>
  <c r="H57" i="3"/>
  <c r="G57" i="3"/>
  <c r="F57" i="3"/>
  <c r="E57" i="3"/>
  <c r="D57" i="3"/>
  <c r="C57" i="3"/>
  <c r="L56" i="3"/>
  <c r="K56" i="3"/>
  <c r="J56" i="3"/>
  <c r="I56" i="3"/>
  <c r="H56" i="3"/>
  <c r="G56" i="3"/>
  <c r="F56" i="3"/>
  <c r="E56" i="3"/>
  <c r="D56" i="3"/>
  <c r="C56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2" i="3"/>
  <c r="K52" i="3"/>
  <c r="J52" i="3"/>
  <c r="I52" i="3"/>
  <c r="H52" i="3"/>
  <c r="G52" i="3"/>
  <c r="F52" i="3"/>
  <c r="E52" i="3"/>
  <c r="D52" i="3"/>
  <c r="C52" i="3"/>
  <c r="L51" i="3"/>
  <c r="K51" i="3"/>
  <c r="J51" i="3"/>
  <c r="I51" i="3"/>
  <c r="H51" i="3"/>
  <c r="G51" i="3"/>
  <c r="F51" i="3"/>
  <c r="E51" i="3"/>
  <c r="D51" i="3"/>
  <c r="C51" i="3"/>
  <c r="L50" i="3"/>
  <c r="K50" i="3"/>
  <c r="J50" i="3"/>
  <c r="I50" i="3"/>
  <c r="H50" i="3"/>
  <c r="G50" i="3"/>
  <c r="F50" i="3"/>
  <c r="E50" i="3"/>
  <c r="D50" i="3"/>
  <c r="C50" i="3"/>
  <c r="M38" i="3"/>
  <c r="M43" i="3" s="1"/>
  <c r="L38" i="3"/>
  <c r="L43" i="3" s="1"/>
  <c r="K38" i="3"/>
  <c r="K43" i="3" s="1"/>
  <c r="J38" i="3"/>
  <c r="J43" i="3" s="1"/>
  <c r="I38" i="3"/>
  <c r="I43" i="3" s="1"/>
  <c r="H38" i="3"/>
  <c r="H43" i="3" s="1"/>
  <c r="G38" i="3"/>
  <c r="G43" i="3" s="1"/>
  <c r="F38" i="3"/>
  <c r="F43" i="3" s="1"/>
  <c r="E38" i="3"/>
  <c r="E43" i="3" s="1"/>
  <c r="D38" i="3"/>
  <c r="D43" i="3" s="1"/>
  <c r="C38" i="3"/>
  <c r="C43" i="3" s="1"/>
  <c r="L32" i="3"/>
  <c r="K32" i="3"/>
  <c r="J32" i="3"/>
  <c r="I32" i="3"/>
  <c r="H32" i="3"/>
  <c r="G32" i="3"/>
  <c r="F32" i="3"/>
  <c r="E32" i="3"/>
  <c r="D32" i="3"/>
  <c r="C32" i="3"/>
  <c r="M32" i="3"/>
  <c r="M26" i="3"/>
  <c r="D26" i="3"/>
  <c r="E26" i="3"/>
  <c r="F26" i="3"/>
  <c r="G26" i="3"/>
  <c r="G27" i="3" s="1"/>
  <c r="H26" i="3"/>
  <c r="I26" i="3"/>
  <c r="J26" i="3"/>
  <c r="K26" i="3"/>
  <c r="K27" i="3" s="1"/>
  <c r="L26" i="3"/>
  <c r="C26" i="3"/>
  <c r="M23" i="3"/>
  <c r="D23" i="3"/>
  <c r="E23" i="3"/>
  <c r="F23" i="3"/>
  <c r="G23" i="3"/>
  <c r="H23" i="3"/>
  <c r="I23" i="3"/>
  <c r="J23" i="3"/>
  <c r="K23" i="3"/>
  <c r="L23" i="3"/>
  <c r="C23" i="3"/>
  <c r="D17" i="3"/>
  <c r="E17" i="3"/>
  <c r="F17" i="3"/>
  <c r="G17" i="3"/>
  <c r="H17" i="3"/>
  <c r="I17" i="3"/>
  <c r="J17" i="3"/>
  <c r="K17" i="3"/>
  <c r="L17" i="3"/>
  <c r="C17" i="3"/>
  <c r="M11" i="3"/>
  <c r="D11" i="3"/>
  <c r="E11" i="3"/>
  <c r="F11" i="3"/>
  <c r="G11" i="3"/>
  <c r="H11" i="3"/>
  <c r="I11" i="3"/>
  <c r="J11" i="3"/>
  <c r="K11" i="3"/>
  <c r="L11" i="3"/>
  <c r="C8" i="3"/>
  <c r="C11" i="3"/>
  <c r="M8" i="3"/>
  <c r="M21" i="3" s="1"/>
  <c r="D8" i="3"/>
  <c r="D14" i="3" s="1"/>
  <c r="E8" i="3"/>
  <c r="E12" i="3" s="1"/>
  <c r="F8" i="3"/>
  <c r="G8" i="3"/>
  <c r="H8" i="3"/>
  <c r="H14" i="3" s="1"/>
  <c r="I8" i="3"/>
  <c r="I12" i="3" s="1"/>
  <c r="J8" i="3"/>
  <c r="K8" i="3"/>
  <c r="L8" i="3"/>
  <c r="D4" i="3"/>
  <c r="E4" i="3"/>
  <c r="F4" i="3"/>
  <c r="G4" i="3"/>
  <c r="H4" i="3"/>
  <c r="I4" i="3"/>
  <c r="J4" i="3"/>
  <c r="K4" i="3"/>
  <c r="L4" i="3"/>
  <c r="C4" i="3"/>
  <c r="B3" i="3"/>
  <c r="E1" i="2"/>
  <c r="B6" i="2"/>
  <c r="N13" i="7" l="1"/>
  <c r="N9" i="7"/>
  <c r="N5" i="7"/>
  <c r="N12" i="7"/>
  <c r="O12" i="7" s="1"/>
  <c r="N8" i="7"/>
  <c r="L15" i="7"/>
  <c r="O9" i="7"/>
  <c r="O13" i="7"/>
  <c r="O7" i="7"/>
  <c r="I13" i="7"/>
  <c r="I9" i="7"/>
  <c r="I5" i="7"/>
  <c r="I12" i="7"/>
  <c r="J13" i="7" s="1"/>
  <c r="I8" i="7"/>
  <c r="J5" i="7"/>
  <c r="G15" i="7"/>
  <c r="J6" i="7"/>
  <c r="J10" i="7"/>
  <c r="J7" i="7"/>
  <c r="D7" i="7"/>
  <c r="D6" i="7"/>
  <c r="D13" i="7"/>
  <c r="D9" i="7"/>
  <c r="D5" i="7"/>
  <c r="D11" i="7"/>
  <c r="D10" i="7"/>
  <c r="D12" i="7"/>
  <c r="D8" i="7"/>
  <c r="E27" i="3"/>
  <c r="M27" i="3"/>
  <c r="I27" i="3"/>
  <c r="J27" i="3"/>
  <c r="F27" i="3"/>
  <c r="C27" i="3"/>
  <c r="L27" i="3"/>
  <c r="H27" i="3"/>
  <c r="D27" i="3"/>
  <c r="D20" i="3"/>
  <c r="D21" i="3" s="1"/>
  <c r="H20" i="3"/>
  <c r="H21" i="3" s="1"/>
  <c r="L24" i="3"/>
  <c r="H24" i="3"/>
  <c r="D24" i="3"/>
  <c r="D29" i="3"/>
  <c r="D15" i="3"/>
  <c r="H15" i="3"/>
  <c r="M29" i="3"/>
  <c r="K24" i="3"/>
  <c r="J24" i="3"/>
  <c r="F24" i="3"/>
  <c r="G24" i="3"/>
  <c r="C24" i="3"/>
  <c r="I24" i="3"/>
  <c r="E24" i="3"/>
  <c r="M24" i="3"/>
  <c r="C12" i="3"/>
  <c r="G14" i="3"/>
  <c r="G15" i="3" s="1"/>
  <c r="J12" i="3"/>
  <c r="F12" i="3"/>
  <c r="H12" i="3"/>
  <c r="M14" i="3"/>
  <c r="M15" i="3" s="1"/>
  <c r="L12" i="3"/>
  <c r="D12" i="3"/>
  <c r="C18" i="3"/>
  <c r="M9" i="3"/>
  <c r="L9" i="3"/>
  <c r="H9" i="3"/>
  <c r="L18" i="3"/>
  <c r="H18" i="3"/>
  <c r="D18" i="3"/>
  <c r="K9" i="3"/>
  <c r="G9" i="3"/>
  <c r="L14" i="3"/>
  <c r="K18" i="3"/>
  <c r="G18" i="3"/>
  <c r="J14" i="3"/>
  <c r="F14" i="3"/>
  <c r="K12" i="3"/>
  <c r="G12" i="3"/>
  <c r="K14" i="3"/>
  <c r="M12" i="3"/>
  <c r="J18" i="3"/>
  <c r="F18" i="3"/>
  <c r="M18" i="3"/>
  <c r="F9" i="3"/>
  <c r="J9" i="3"/>
  <c r="I18" i="3"/>
  <c r="E18" i="3"/>
  <c r="D9" i="3"/>
  <c r="C14" i="3"/>
  <c r="I14" i="3"/>
  <c r="E14" i="3"/>
  <c r="E9" i="3"/>
  <c r="I9" i="3"/>
  <c r="O15" i="7" l="1"/>
  <c r="L16" i="7"/>
  <c r="O10" i="7"/>
  <c r="O8" i="7"/>
  <c r="J12" i="7"/>
  <c r="J8" i="7"/>
  <c r="J11" i="7"/>
  <c r="J15" i="7"/>
  <c r="G16" i="7"/>
  <c r="J9" i="7"/>
  <c r="G20" i="3"/>
  <c r="M30" i="3"/>
  <c r="M35" i="3"/>
  <c r="M33" i="3"/>
  <c r="D30" i="3"/>
  <c r="D35" i="3"/>
  <c r="D33" i="3"/>
  <c r="H29" i="3"/>
  <c r="C20" i="3"/>
  <c r="C15" i="3"/>
  <c r="F20" i="3"/>
  <c r="F15" i="3"/>
  <c r="L20" i="3"/>
  <c r="L15" i="3"/>
  <c r="E20" i="3"/>
  <c r="E15" i="3"/>
  <c r="K20" i="3"/>
  <c r="K15" i="3"/>
  <c r="J20" i="3"/>
  <c r="J15" i="3"/>
  <c r="G21" i="3"/>
  <c r="G29" i="3"/>
  <c r="I20" i="3"/>
  <c r="I15" i="3"/>
  <c r="O16" i="7" l="1"/>
  <c r="L17" i="7"/>
  <c r="J16" i="7"/>
  <c r="G17" i="7"/>
  <c r="H30" i="3"/>
  <c r="H35" i="3"/>
  <c r="H33" i="3"/>
  <c r="M36" i="3"/>
  <c r="M40" i="3"/>
  <c r="G35" i="3"/>
  <c r="G33" i="3"/>
  <c r="D40" i="3"/>
  <c r="D36" i="3"/>
  <c r="I21" i="3"/>
  <c r="I29" i="3"/>
  <c r="J21" i="3"/>
  <c r="J29" i="3"/>
  <c r="E21" i="3"/>
  <c r="E29" i="3"/>
  <c r="F21" i="3"/>
  <c r="F29" i="3"/>
  <c r="G30" i="3"/>
  <c r="K21" i="3"/>
  <c r="K29" i="3"/>
  <c r="L21" i="3"/>
  <c r="L29" i="3"/>
  <c r="C21" i="3"/>
  <c r="C29" i="3"/>
  <c r="O17" i="7" l="1"/>
  <c r="L18" i="7"/>
  <c r="O18" i="7" s="1"/>
  <c r="J17" i="7"/>
  <c r="G18" i="7"/>
  <c r="D44" i="3"/>
  <c r="D46" i="3" s="1"/>
  <c r="M46" i="3"/>
  <c r="M44" i="3"/>
  <c r="K35" i="3"/>
  <c r="K33" i="3"/>
  <c r="E35" i="3"/>
  <c r="E33" i="3"/>
  <c r="I35" i="3"/>
  <c r="I33" i="3"/>
  <c r="C35" i="3"/>
  <c r="C33" i="3"/>
  <c r="G36" i="3"/>
  <c r="G40" i="3"/>
  <c r="H40" i="3"/>
  <c r="H36" i="3"/>
  <c r="L35" i="3"/>
  <c r="L33" i="3"/>
  <c r="F35" i="3"/>
  <c r="F33" i="3"/>
  <c r="J35" i="3"/>
  <c r="J33" i="3"/>
  <c r="C30" i="3"/>
  <c r="K30" i="3"/>
  <c r="F30" i="3"/>
  <c r="J30" i="3"/>
  <c r="L30" i="3"/>
  <c r="E30" i="3"/>
  <c r="I30" i="3"/>
  <c r="J18" i="7" l="1"/>
  <c r="G46" i="3"/>
  <c r="G44" i="3"/>
  <c r="H46" i="3"/>
  <c r="H41" i="3"/>
  <c r="H44" i="3"/>
  <c r="F36" i="3"/>
  <c r="F40" i="3"/>
  <c r="C40" i="3"/>
  <c r="C36" i="3"/>
  <c r="E36" i="3"/>
  <c r="E40" i="3"/>
  <c r="J36" i="3"/>
  <c r="J40" i="3"/>
  <c r="L40" i="3"/>
  <c r="L36" i="3"/>
  <c r="I36" i="3"/>
  <c r="I40" i="3"/>
  <c r="K40" i="3"/>
  <c r="K36" i="3"/>
  <c r="E41" i="3" l="1"/>
  <c r="E44" i="3"/>
  <c r="E46" i="3" s="1"/>
  <c r="F41" i="3"/>
  <c r="F44" i="3"/>
  <c r="F46" i="3" s="1"/>
  <c r="K46" i="3"/>
  <c r="K41" i="3"/>
  <c r="K44" i="3"/>
  <c r="L41" i="3"/>
  <c r="L44" i="3"/>
  <c r="L46" i="3" s="1"/>
  <c r="M41" i="3"/>
  <c r="I46" i="3"/>
  <c r="I41" i="3"/>
  <c r="I44" i="3"/>
  <c r="J41" i="3"/>
  <c r="J44" i="3"/>
  <c r="J46" i="3"/>
  <c r="G41" i="3"/>
  <c r="C44" i="3"/>
  <c r="C46" i="3" s="1"/>
  <c r="D41" i="3"/>
</calcChain>
</file>

<file path=xl/sharedStrings.xml><?xml version="1.0" encoding="utf-8"?>
<sst xmlns="http://schemas.openxmlformats.org/spreadsheetml/2006/main" count="241" uniqueCount="165">
  <si>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</si>
  <si>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</si>
  <si>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</si>
  <si>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</si>
  <si>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</si>
  <si>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</si>
  <si>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</si>
  <si>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</si>
  <si>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</si>
  <si>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</si>
  <si>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</si>
  <si>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</si>
  <si>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</si>
  <si>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</si>
  <si>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</si>
  <si>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</si>
  <si>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</si>
  <si>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</si>
  <si>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</si>
  <si>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</si>
  <si>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</si>
  <si>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</si>
  <si>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</si>
  <si>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</si>
  <si>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</si>
  <si>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</si>
  <si>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</si>
  <si>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</si>
  <si>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</si>
  <si>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</si>
  <si>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</si>
  <si>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</si>
  <si>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</si>
  <si>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</si>
  <si>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</si>
  <si>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</si>
  <si>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</si>
  <si>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</si>
  <si>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</si>
  <si>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</si>
  <si>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</si>
  <si>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</si>
  <si>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</si>
  <si>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</si>
  <si>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</si>
  <si>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</si>
  <si>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</si>
  <si>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</si>
  <si>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</si>
  <si>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</si>
  <si>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</si>
  <si>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</si>
  <si>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TATA MOTORS LTD</t>
  </si>
  <si>
    <t>COMPANY NAME</t>
  </si>
  <si>
    <t>Years</t>
  </si>
  <si>
    <t>LTM</t>
  </si>
  <si>
    <t>Income Statement</t>
  </si>
  <si>
    <t>#</t>
  </si>
  <si>
    <t>Sales Growth</t>
  </si>
  <si>
    <t>COGS</t>
  </si>
  <si>
    <t>COGS % Sales</t>
  </si>
  <si>
    <t>Gross Profit</t>
  </si>
  <si>
    <t>Selling &amp; General Expenses</t>
  </si>
  <si>
    <t>S&amp;G Exp % Sales</t>
  </si>
  <si>
    <t>EBITDA</t>
  </si>
  <si>
    <t>EBITDA % Sales</t>
  </si>
  <si>
    <t>Interest % Sales</t>
  </si>
  <si>
    <t>Depreciation % Sales</t>
  </si>
  <si>
    <t>Gross Margins</t>
  </si>
  <si>
    <t>Earnings Before Tax</t>
  </si>
  <si>
    <t>EBT % Sales</t>
  </si>
  <si>
    <t>Effecttive Tax Rate</t>
  </si>
  <si>
    <t>Fig in Cr.</t>
  </si>
  <si>
    <t>Net Profit</t>
  </si>
  <si>
    <t>Net Margins</t>
  </si>
  <si>
    <t>No of Equity Shares</t>
  </si>
  <si>
    <t>Earnings per Share</t>
  </si>
  <si>
    <t>Dividend per Share</t>
  </si>
  <si>
    <t>EPS Growth %</t>
  </si>
  <si>
    <t>Dividend Payout Ratio</t>
  </si>
  <si>
    <t>Reatined Earnings</t>
  </si>
  <si>
    <t>Balance Sheet</t>
  </si>
  <si>
    <t xml:space="preserve">Total Liabilities </t>
  </si>
  <si>
    <t>Fixed Assets Net Block</t>
  </si>
  <si>
    <t>Total Assets</t>
  </si>
  <si>
    <t>Total Non Current Assets</t>
  </si>
  <si>
    <t>Total Current Assets</t>
  </si>
  <si>
    <t>Check</t>
  </si>
  <si>
    <t>Cash Flow Statement</t>
  </si>
  <si>
    <t xml:space="preserve">Cash from Operating Activities 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</si>
  <si>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</si>
  <si>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</si>
  <si>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</si>
  <si>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</si>
  <si>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</si>
  <si>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</si>
  <si>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</si>
  <si>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</si>
  <si>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</si>
  <si>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</si>
  <si>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</si>
  <si>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</si>
  <si>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</si>
  <si>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</si>
  <si>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</si>
  <si>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</si>
  <si>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</si>
  <si>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</si>
  <si>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</si>
  <si>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</si>
  <si>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</si>
  <si>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</si>
  <si>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</si>
  <si>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</si>
  <si>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</si>
  <si>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</si>
  <si>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</si>
  <si>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</si>
  <si>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Opeating Activities</t>
  </si>
  <si>
    <t>Investing Activities</t>
  </si>
  <si>
    <t>Cash from Investing Activities</t>
  </si>
  <si>
    <t>Financing Activities</t>
  </si>
  <si>
    <t>Cash from Financing Activities</t>
  </si>
  <si>
    <t>Gross Margin</t>
  </si>
  <si>
    <t>EBITDA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</si>
  <si>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</si>
  <si>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</si>
  <si>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</si>
  <si>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</si>
  <si>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</si>
  <si>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</si>
  <si>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</si>
  <si>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</si>
  <si>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</si>
  <si>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</si>
  <si>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</si>
  <si>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Retrun on Equity%</t>
  </si>
  <si>
    <t>Self Sustained Growth Rate</t>
  </si>
  <si>
    <t>Interest Coverage Ratio</t>
  </si>
  <si>
    <t>Debtor Turnover Ratio</t>
  </si>
  <si>
    <t>Creditor Turnover Ratio</t>
  </si>
  <si>
    <t>Invenory Turnover Ratio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</si>
  <si>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</si>
  <si>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</si>
  <si>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</si>
  <si>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</si>
  <si>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</si>
  <si>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</si>
  <si>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</si>
  <si>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</si>
  <si>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</si>
  <si>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EBT Growth</t>
  </si>
  <si>
    <t>Mean</t>
  </si>
  <si>
    <t>Trend</t>
  </si>
  <si>
    <t>Year Weight</t>
  </si>
  <si>
    <t xml:space="preserve">Year </t>
  </si>
  <si>
    <t>EPS</t>
  </si>
  <si>
    <t>EPS Growth</t>
  </si>
  <si>
    <t>Median</t>
  </si>
  <si>
    <t>1. The financial model is in three sheets, named HistoricalFS, Ratio Analysis and Forecasting.</t>
  </si>
  <si>
    <t>2. Do not change any data in the red tab sheets. Those sheets are the source sheets.</t>
  </si>
  <si>
    <t>3. To use this model as a template: Go to https://www.screener.in/excel/ and upload this file in the choose file section. Then to use it, just find any company on Screener.in and click export to excel.</t>
  </si>
  <si>
    <t>4. Some minor changes have to be made based on company to company and data provided.</t>
  </si>
  <si>
    <t>5. For any queries in the model, please contact me on LinkedIn, https://www.linkedin.com/in/kavanshah00/</t>
  </si>
  <si>
    <t>6. The password to unlock the sheets is 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</si>
</sst>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;&quot;₹&quot;\ \(#,##0\);\-\ "/>
    <numFmt numFmtId="167" formatCode="&quot;₹&quot;\ #,##0.0"/>
    <numFmt numFmtId="168" formatCode="&quot;₹&quot;\ #,##0.0;\-"/>
    <numFmt numFmtId="169" formatCode="&quot;₹&quot;\ #,##0.0;\ \(&quot;₹&quot;#,##0.0\);\-\ "/>
    <numFmt numFmtId="170" formatCode="&quot;₹&quot;\ #,##0.00;\ \(&quot;₹&quot;#,##0.00\);\-\ "/>
    <numFmt numFmtId="171" formatCode="0.00\x"/>
    <numFmt numFmtId="172" formatCode="0&quot; Days&quot;"/>
    <numFmt numFmtId="173" formatCode="yyyy&quot;A&quot;"/>
    <numFmt numFmtId="174" formatCode="yyyy&quot;E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rgb="FF002060"/>
      </top>
      <bottom/>
      <diagonal/>
    </border>
    <border>
      <left/>
      <right/>
      <top/>
      <bottom style="dotted">
        <color rgb="FF00206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43" fontId="0" fillId="0" borderId="0" xfId="1" applyFont="1" applyBorder="1"/>
    <xf numFmtId="164" fontId="0" fillId="0" borderId="0" xfId="1" applyNumberFormat="1" applyFont="1" applyBorder="1"/>
    <xf numFmtId="43" fontId="2" fillId="0" borderId="0" xfId="1" applyFont="1" applyBorder="1"/>
    <xf numFmtId="43" fontId="1" fillId="0" borderId="0" xfId="1" applyFont="1" applyBorder="1"/>
    <xf numFmtId="165" fontId="3" fillId="0" borderId="0" xfId="1" applyNumberFormat="1" applyFont="1" applyFill="1" applyBorder="1"/>
    <xf numFmtId="165" fontId="4" fillId="3" borderId="0" xfId="0" applyNumberFormat="1" applyFont="1" applyFill="1" applyAlignment="1">
      <alignment horizontal="center"/>
    </xf>
    <xf numFmtId="165" fontId="4" fillId="3" borderId="0" xfId="1" applyNumberFormat="1" applyFont="1" applyFill="1" applyBorder="1"/>
    <xf numFmtId="17" fontId="0" fillId="0" borderId="0" xfId="0" applyNumberFormat="1"/>
    <xf numFmtId="0" fontId="4" fillId="4" borderId="0" xfId="0" applyFont="1" applyFill="1"/>
    <xf numFmtId="17" fontId="4" fillId="4" borderId="0" xfId="0" applyNumberFormat="1" applyFont="1" applyFill="1"/>
    <xf numFmtId="17" fontId="4" fillId="4" borderId="0" xfId="0" applyNumberFormat="1" applyFont="1" applyFill="1" applyAlignment="1">
      <alignment horizontal="right"/>
    </xf>
    <xf numFmtId="0" fontId="2" fillId="0" borderId="0" xfId="0" applyFont="1"/>
    <xf numFmtId="0" fontId="7" fillId="0" borderId="0" xfId="0" applyFont="1"/>
    <xf numFmtId="166" fontId="7" fillId="0" borderId="0" xfId="0" applyNumberFormat="1" applyFont="1"/>
    <xf numFmtId="10" fontId="7" fillId="0" borderId="0" xfId="4" applyNumberFormat="1" applyFont="1"/>
    <xf numFmtId="167" fontId="0" fillId="0" borderId="0" xfId="0" applyNumberFormat="1"/>
    <xf numFmtId="168" fontId="0" fillId="0" borderId="0" xfId="0" applyNumberFormat="1"/>
    <xf numFmtId="0" fontId="2" fillId="5" borderId="0" xfId="0" applyFont="1" applyFill="1"/>
    <xf numFmtId="0" fontId="0" fillId="5" borderId="0" xfId="0" applyFill="1"/>
    <xf numFmtId="17" fontId="4" fillId="6" borderId="0" xfId="0" applyNumberFormat="1" applyFont="1" applyFill="1"/>
    <xf numFmtId="17" fontId="4" fillId="6" borderId="0" xfId="0" applyNumberFormat="1" applyFont="1" applyFill="1" applyAlignment="1">
      <alignment horizontal="right"/>
    </xf>
    <xf numFmtId="10" fontId="0" fillId="0" borderId="0" xfId="4" applyNumberFormat="1" applyFont="1"/>
    <xf numFmtId="0" fontId="0" fillId="0" borderId="0" xfId="0" applyAlignment="1">
      <alignment wrapText="1"/>
    </xf>
    <xf numFmtId="0" fontId="4" fillId="6" borderId="0" xfId="0" applyFont="1" applyFill="1" applyAlignment="1">
      <alignment wrapText="1"/>
    </xf>
    <xf numFmtId="17" fontId="4" fillId="6" borderId="0" xfId="0" applyNumberFormat="1" applyFont="1" applyFill="1" applyAlignment="1">
      <alignment wrapText="1"/>
    </xf>
    <xf numFmtId="17" fontId="4" fillId="6" borderId="0" xfId="0" applyNumberFormat="1" applyFont="1" applyFill="1" applyAlignment="1">
      <alignment horizontal="right" wrapText="1"/>
    </xf>
    <xf numFmtId="17" fontId="0" fillId="0" borderId="0" xfId="0" applyNumberFormat="1" applyAlignment="1">
      <alignment wrapText="1"/>
    </xf>
    <xf numFmtId="17" fontId="0" fillId="6" borderId="0" xfId="0" applyNumberFormat="1" applyFill="1"/>
    <xf numFmtId="0" fontId="0" fillId="6" borderId="0" xfId="0" applyFill="1"/>
    <xf numFmtId="0" fontId="2" fillId="6" borderId="0" xfId="0" applyFont="1" applyFill="1"/>
    <xf numFmtId="169" fontId="0" fillId="0" borderId="0" xfId="0" applyNumberFormat="1"/>
    <xf numFmtId="170" fontId="0" fillId="0" borderId="0" xfId="0" applyNumberFormat="1"/>
    <xf numFmtId="0" fontId="8" fillId="0" borderId="0" xfId="0" applyFont="1"/>
    <xf numFmtId="3" fontId="0" fillId="0" borderId="0" xfId="0" applyNumberFormat="1"/>
    <xf numFmtId="0" fontId="2" fillId="0" borderId="1" xfId="0" applyFont="1" applyBorder="1"/>
    <xf numFmtId="167" fontId="2" fillId="0" borderId="1" xfId="0" applyNumberFormat="1" applyFont="1" applyBorder="1"/>
    <xf numFmtId="167" fontId="0" fillId="0" borderId="1" xfId="0" applyNumberFormat="1" applyBorder="1"/>
    <xf numFmtId="169" fontId="2" fillId="0" borderId="2" xfId="0" applyNumberFormat="1" applyFont="1" applyBorder="1"/>
    <xf numFmtId="0" fontId="2" fillId="0" borderId="2" xfId="0" applyFont="1" applyBorder="1"/>
    <xf numFmtId="170" fontId="2" fillId="0" borderId="2" xfId="0" applyNumberFormat="1" applyFont="1" applyBorder="1"/>
    <xf numFmtId="170" fontId="0" fillId="0" borderId="2" xfId="0" applyNumberFormat="1" applyBorder="1"/>
    <xf numFmtId="0" fontId="0" fillId="0" borderId="3" xfId="0" applyBorder="1"/>
    <xf numFmtId="10" fontId="1" fillId="0" borderId="3" xfId="4" applyNumberFormat="1" applyFont="1" applyBorder="1"/>
    <xf numFmtId="10" fontId="0" fillId="0" borderId="0" xfId="4" applyNumberFormat="1" applyFont="1" applyBorder="1"/>
    <xf numFmtId="0" fontId="0" fillId="0" borderId="4" xfId="0" applyBorder="1"/>
    <xf numFmtId="10" fontId="0" fillId="0" borderId="4" xfId="4" applyNumberFormat="1" applyFont="1" applyBorder="1"/>
    <xf numFmtId="10" fontId="0" fillId="0" borderId="3" xfId="4" applyNumberFormat="1" applyFont="1" applyBorder="1"/>
    <xf numFmtId="171" fontId="0" fillId="0" borderId="4" xfId="0" applyNumberFormat="1" applyBorder="1"/>
    <xf numFmtId="171" fontId="0" fillId="0" borderId="3" xfId="0" applyNumberFormat="1" applyBorder="1"/>
    <xf numFmtId="171" fontId="0" fillId="0" borderId="0" xfId="0" applyNumberFormat="1"/>
    <xf numFmtId="172" fontId="0" fillId="0" borderId="3" xfId="0" applyNumberFormat="1" applyBorder="1"/>
    <xf numFmtId="172" fontId="0" fillId="0" borderId="0" xfId="0" applyNumberFormat="1"/>
    <xf numFmtId="172" fontId="0" fillId="0" borderId="4" xfId="0" applyNumberFormat="1" applyBorder="1"/>
    <xf numFmtId="17" fontId="4" fillId="4" borderId="0" xfId="0" applyNumberFormat="1" applyFont="1" applyFill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165" fontId="4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17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8" borderId="0" xfId="0" applyFill="1" applyAlignment="1">
      <alignment horizontal="left"/>
    </xf>
    <xf numFmtId="174" fontId="0" fillId="8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0" fontId="0" fillId="8" borderId="0" xfId="4" applyNumberFormat="1" applyFont="1" applyFill="1"/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3" fontId="6" fillId="0" borderId="0" xfId="3" applyNumberFormat="1" applyBorder="1" applyAlignment="1" applyProtection="1">
      <alignment horizontal="center"/>
    </xf>
    <xf numFmtId="43" fontId="4" fillId="2" borderId="0" xfId="2" applyNumberFormat="1" applyFont="1" applyBorder="1" applyAlignment="1">
      <alignment horizontal="center"/>
    </xf>
    <xf numFmtId="0" fontId="6" fillId="0" borderId="0" xfId="3" applyAlignment="1" applyProtection="1"/>
  </cellXfs>
  <cellStyles count="5">
    <cellStyle name="Accent6 2" xfId="2" xr:uid="{5054DACD-7F4D-41D9-A28E-9460BABF36E9}"/>
    <cellStyle name="Comma 2" xfId="1" xr:uid="{10358678-81D3-4C1A-9B6B-AA3935971301}"/>
    <cellStyle name="Hyperlink" xfId="3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1130300</xdr:colOff>
      <xdr:row>1</xdr:row>
      <xdr:rowOff>167005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8FDEC3-C7DE-2527-BD5C-00E5269D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0"/>
          <a:ext cx="1111250" cy="35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kavanshah00/" TargetMode="External"/><Relationship Id="rId1" Type="http://schemas.openxmlformats.org/officeDocument/2006/relationships/hyperlink" Target="https://www.screener.in/exce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6CF-FA59-4B2A-A8DD-71290A1111DA}">
  <dimension ref="A1:A6"/>
  <sheetViews>
    <sheetView showGridLines="0" tabSelected="1" workbookViewId="0">
      <selection activeCell="B8" sqref="B8"/>
    </sheetView>
  </sheetViews>
  <sheetFormatPr defaultRowHeight="14.5" x14ac:dyDescent="0.35"/>
  <sheetData>
    <row r="1" spans="1:1" x14ac:dyDescent="0.35">
      <c r="A1" t="s">
        <v>159</v>
      </c>
    </row>
    <row r="2" spans="1:1" x14ac:dyDescent="0.35">
      <c r="A2" t="s">
        <v>160</v>
      </c>
    </row>
    <row r="3" spans="1:1" x14ac:dyDescent="0.35">
      <c r="A3" s="72" t="s">
        <v>161</v>
      </c>
    </row>
    <row r="4" spans="1:1" x14ac:dyDescent="0.35">
      <c r="A4" t="s">
        <v>162</v>
      </c>
    </row>
    <row r="5" spans="1:1" x14ac:dyDescent="0.35">
      <c r="A5" s="72" t="s">
        <v>163</v>
      </c>
    </row>
    <row r="6" spans="1:1" x14ac:dyDescent="0.35">
      <c r="A6" t="s">
        <v>164</v>
      </c>
    </row>
  </sheetData>
  <sheetProtection algorithmName="SHA-512" hashValue="05ez3Lw/gkh5Flsm8Eh0/tzi52Qbrw3Y6KmWUXj1/m+JeFPuAS+T3iy9q6yiwNX2b5gUa80c8UVHEvTfpP7mCA==" saltValue="h0Hy8PlsH5T6xQTHchFLPA==" spinCount="100000" sheet="1" objects="1" scenarios="1"/>
  <hyperlinks>
    <hyperlink ref="A3" r:id="rId1" display="3. To use this model as a template: Go to https://www.screener.in/excel/" xr:uid="{28AE817F-0B05-4C2A-B9D8-59C7C1685C56}"/>
    <hyperlink ref="A5" r:id="rId2" xr:uid="{32154C33-3EA8-41CC-BFEB-8DDE87A95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"/>
  <sheetViews>
    <sheetView workbookViewId="0">
      <selection activeCell="A2" sqref="A2"/>
    </sheetView>
  </sheetViews>
  <sheetFormatPr defaultRowHeight="14.5" x14ac:dyDescent="0.35"/>
  <sheetData/>
  <sheetProtection algorithmName="SHA-512" hashValue="LA+GaWUQLvaZ4em9ziSbS135zQbhnawuVw9Cd9BfNusUeFpZ3B8gWvaQImZApyEy4nlJFEFS0yWHU/RpR7NWxg==" saltValue="lhncQtqEFhWJGdhEP4jk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781C-2F80-41C4-8804-A61469D2E9C4}">
  <sheetPr>
    <pageSetUpPr fitToPage="1"/>
  </sheetPr>
  <dimension ref="A3:N108"/>
  <sheetViews>
    <sheetView showGridLines="0" zoomScale="85" zoomScaleNormal="85" workbookViewId="0">
      <pane ySplit="4" topLeftCell="A5" activePane="bottomLeft" state="frozen"/>
      <selection activeCell="O5" sqref="O5"/>
      <selection pane="bottomLeft" activeCell="C8" sqref="C8"/>
    </sheetView>
  </sheetViews>
  <sheetFormatPr defaultRowHeight="14.5" x14ac:dyDescent="0.35"/>
  <cols>
    <col min="1" max="1" width="1.81640625" customWidth="1"/>
    <col min="2" max="2" width="27.1796875" bestFit="1" customWidth="1"/>
    <col min="3" max="13" width="13" customWidth="1"/>
  </cols>
  <sheetData>
    <row r="3" spans="1:14" x14ac:dyDescent="0.35">
      <c r="B3" s="68" t="str">
        <f>"Historical Financial Statement - "&amp;'Data Sheet'!B1</f>
        <v>Historical Financial Statement - TATA MOTORS LTD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4" x14ac:dyDescent="0.35">
      <c r="B4" s="9" t="s">
        <v>54</v>
      </c>
      <c r="C4" s="10">
        <f>'Data Sheet'!B16</f>
        <v>42094</v>
      </c>
      <c r="D4" s="10">
        <f>'Data Sheet'!C16</f>
        <v>42460</v>
      </c>
      <c r="E4" s="10">
        <f>'Data Sheet'!D16</f>
        <v>42825</v>
      </c>
      <c r="F4" s="10">
        <f>'Data Sheet'!E16</f>
        <v>43190</v>
      </c>
      <c r="G4" s="10">
        <f>'Data Sheet'!F16</f>
        <v>43555</v>
      </c>
      <c r="H4" s="10">
        <f>'Data Sheet'!G16</f>
        <v>43921</v>
      </c>
      <c r="I4" s="10">
        <f>'Data Sheet'!H16</f>
        <v>44286</v>
      </c>
      <c r="J4" s="10">
        <f>'Data Sheet'!I16</f>
        <v>44651</v>
      </c>
      <c r="K4" s="10">
        <f>'Data Sheet'!J16</f>
        <v>45016</v>
      </c>
      <c r="L4" s="10">
        <f>'Data Sheet'!K16</f>
        <v>45382</v>
      </c>
      <c r="M4" s="11" t="s">
        <v>55</v>
      </c>
      <c r="N4" s="8"/>
    </row>
    <row r="5" spans="1:14" s="29" customFormat="1" x14ac:dyDescent="0.35">
      <c r="A5"/>
      <c r="B5" s="30" t="s">
        <v>72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8"/>
    </row>
    <row r="6" spans="1:14" s="23" customFormat="1" x14ac:dyDescent="0.3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7"/>
    </row>
    <row r="7" spans="1:14" x14ac:dyDescent="0.35">
      <c r="A7" t="s">
        <v>57</v>
      </c>
      <c r="B7" s="18" t="s">
        <v>56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4" x14ac:dyDescent="0.35">
      <c r="B8" t="s">
        <v>33</v>
      </c>
      <c r="C8" s="17">
        <f>IFERROR('Data Sheet'!B17,0)</f>
        <v>263158.98</v>
      </c>
      <c r="D8" s="16">
        <f>IFERROR('Data Sheet'!C17,0)</f>
        <v>273045.59999999998</v>
      </c>
      <c r="E8" s="16">
        <f>IFERROR('Data Sheet'!D17,0)</f>
        <v>269692.51</v>
      </c>
      <c r="F8" s="16">
        <f>IFERROR('Data Sheet'!E17,0)</f>
        <v>291550.48</v>
      </c>
      <c r="G8" s="16">
        <f>IFERROR('Data Sheet'!F17,0)</f>
        <v>301938.40000000002</v>
      </c>
      <c r="H8" s="16">
        <f>IFERROR('Data Sheet'!G17,0)</f>
        <v>261067.97</v>
      </c>
      <c r="I8" s="16">
        <f>IFERROR('Data Sheet'!H17,0)</f>
        <v>249794.75</v>
      </c>
      <c r="J8" s="16">
        <f>IFERROR('Data Sheet'!I17,0)</f>
        <v>278453.62</v>
      </c>
      <c r="K8" s="16">
        <f>IFERROR('Data Sheet'!J17,0)</f>
        <v>345966.97</v>
      </c>
      <c r="L8" s="16">
        <f>IFERROR('Data Sheet'!K17,0)</f>
        <v>437927.77</v>
      </c>
      <c r="M8" s="16">
        <f>IFERROR(SUM('Data Sheet'!H42:K42),0)</f>
        <v>443739.38</v>
      </c>
    </row>
    <row r="9" spans="1:14" x14ac:dyDescent="0.35">
      <c r="B9" s="13" t="s">
        <v>58</v>
      </c>
      <c r="C9" s="14">
        <v>0</v>
      </c>
      <c r="D9" s="15">
        <f>D8/C8-1</f>
        <v>3.75690010654397E-2</v>
      </c>
      <c r="E9" s="15">
        <f t="shared" ref="E9:M9" si="0">E8/D8-1</f>
        <v>-1.2280329732469508E-2</v>
      </c>
      <c r="F9" s="15">
        <f t="shared" si="0"/>
        <v>8.104774581985974E-2</v>
      </c>
      <c r="G9" s="15">
        <f t="shared" si="0"/>
        <v>3.5629919045237157E-2</v>
      </c>
      <c r="H9" s="15">
        <f t="shared" si="0"/>
        <v>-0.135360159555724</v>
      </c>
      <c r="I9" s="15">
        <f t="shared" si="0"/>
        <v>-4.3181168490336042E-2</v>
      </c>
      <c r="J9" s="15">
        <f t="shared" si="0"/>
        <v>0.11472967306158344</v>
      </c>
      <c r="K9" s="15">
        <f t="shared" si="0"/>
        <v>0.24245815155859707</v>
      </c>
      <c r="L9" s="15">
        <f t="shared" si="0"/>
        <v>0.26580803363974326</v>
      </c>
      <c r="M9" s="15">
        <f t="shared" si="0"/>
        <v>1.3270704436030512E-2</v>
      </c>
    </row>
    <row r="11" spans="1:14" x14ac:dyDescent="0.35">
      <c r="B11" t="s">
        <v>59</v>
      </c>
      <c r="C11" s="16">
        <f>IFERROR(SUM('Data Sheet'!B18,'Data Sheet'!B20:B22,-1*('Data Sheet'!B19)),0)</f>
        <v>202856.88</v>
      </c>
      <c r="D11" s="16">
        <f>IFERROR(SUM('Data Sheet'!C18,'Data Sheet'!C20:C22,-1*('Data Sheet'!C19)),0)</f>
        <v>205509.07</v>
      </c>
      <c r="E11" s="16">
        <f>IFERROR(SUM('Data Sheet'!D18,'Data Sheet'!D20:D22,-1*('Data Sheet'!D19)),0)</f>
        <v>205454.23999999996</v>
      </c>
      <c r="F11" s="16">
        <f>IFERROR(SUM('Data Sheet'!E18,'Data Sheet'!E20:E22,-1*('Data Sheet'!E19)),0)</f>
        <v>228429.83</v>
      </c>
      <c r="G11" s="16">
        <f>IFERROR(SUM('Data Sheet'!F18,'Data Sheet'!F20:F22,-1*('Data Sheet'!F19)),0)</f>
        <v>242845.53</v>
      </c>
      <c r="H11" s="16">
        <f>IFERROR(SUM('Data Sheet'!G18,'Data Sheet'!G20:G22,-1*('Data Sheet'!G19)),0)</f>
        <v>210376.07000000004</v>
      </c>
      <c r="I11" s="16">
        <f>IFERROR(SUM('Data Sheet'!H18,'Data Sheet'!H20:H22,-1*('Data Sheet'!H19)),0)</f>
        <v>195326.04</v>
      </c>
      <c r="J11" s="16">
        <f>IFERROR(SUM('Data Sheet'!I18,'Data Sheet'!I20:I22,-1*('Data Sheet'!I19)),0)</f>
        <v>223300.00999999998</v>
      </c>
      <c r="K11" s="16">
        <f>IFERROR(SUM('Data Sheet'!J18,'Data Sheet'!J20:J22,-1*('Data Sheet'!J19)),0)</f>
        <v>274403.64</v>
      </c>
      <c r="L11" s="16">
        <f>IFERROR(SUM('Data Sheet'!K18,'Data Sheet'!K20:K22,-1*('Data Sheet'!K19)),0)</f>
        <v>334551.78999999998</v>
      </c>
      <c r="M11" s="16">
        <f>IFERROR(SUM('Data Sheet'!H43:K43),0)</f>
        <v>381634.07</v>
      </c>
    </row>
    <row r="12" spans="1:14" x14ac:dyDescent="0.35">
      <c r="B12" s="13" t="s">
        <v>60</v>
      </c>
      <c r="C12" s="15">
        <f>C11/C8</f>
        <v>0.77085296500237244</v>
      </c>
      <c r="D12" s="15">
        <f t="shared" ref="D12:M12" si="1">D11/D8</f>
        <v>0.75265475803309057</v>
      </c>
      <c r="E12" s="15">
        <f t="shared" si="1"/>
        <v>0.76180921746770036</v>
      </c>
      <c r="F12" s="15">
        <f t="shared" si="1"/>
        <v>0.78350009919380004</v>
      </c>
      <c r="G12" s="15">
        <f t="shared" si="1"/>
        <v>0.80428832503583503</v>
      </c>
      <c r="H12" s="15">
        <f t="shared" si="1"/>
        <v>0.80582872728508226</v>
      </c>
      <c r="I12" s="15">
        <f t="shared" si="1"/>
        <v>0.7819461377791167</v>
      </c>
      <c r="J12" s="15">
        <f t="shared" si="1"/>
        <v>0.80192891728252624</v>
      </c>
      <c r="K12" s="15">
        <f t="shared" si="1"/>
        <v>0.79314982005363122</v>
      </c>
      <c r="L12" s="15">
        <f t="shared" si="1"/>
        <v>0.76394285295038489</v>
      </c>
      <c r="M12" s="15">
        <f t="shared" si="1"/>
        <v>0.86004102227753598</v>
      </c>
    </row>
    <row r="14" spans="1:14" x14ac:dyDescent="0.35">
      <c r="B14" s="35" t="s">
        <v>61</v>
      </c>
      <c r="C14" s="36">
        <f>C8-C11</f>
        <v>60302.099999999977</v>
      </c>
      <c r="D14" s="36">
        <f t="shared" ref="D14:M14" si="2">D8-D11</f>
        <v>67536.52999999997</v>
      </c>
      <c r="E14" s="36">
        <f t="shared" si="2"/>
        <v>64238.270000000048</v>
      </c>
      <c r="F14" s="36">
        <f t="shared" si="2"/>
        <v>63120.649999999994</v>
      </c>
      <c r="G14" s="36">
        <f t="shared" si="2"/>
        <v>59092.870000000024</v>
      </c>
      <c r="H14" s="36">
        <f t="shared" si="2"/>
        <v>50691.899999999965</v>
      </c>
      <c r="I14" s="36">
        <f t="shared" si="2"/>
        <v>54468.709999999992</v>
      </c>
      <c r="J14" s="36">
        <f t="shared" si="2"/>
        <v>55153.610000000015</v>
      </c>
      <c r="K14" s="36">
        <f t="shared" si="2"/>
        <v>71563.329999999958</v>
      </c>
      <c r="L14" s="36">
        <f t="shared" si="2"/>
        <v>103375.98000000004</v>
      </c>
      <c r="M14" s="36">
        <f t="shared" si="2"/>
        <v>62105.31</v>
      </c>
    </row>
    <row r="15" spans="1:14" x14ac:dyDescent="0.35">
      <c r="B15" s="13" t="s">
        <v>68</v>
      </c>
      <c r="C15" s="15">
        <f>C14/C8</f>
        <v>0.22914703499762759</v>
      </c>
      <c r="D15" s="15">
        <f t="shared" ref="D15:M15" si="3">D14/D8</f>
        <v>0.24734524196690946</v>
      </c>
      <c r="E15" s="15">
        <f t="shared" si="3"/>
        <v>0.23819078253229964</v>
      </c>
      <c r="F15" s="15">
        <f t="shared" si="3"/>
        <v>0.21649990080619999</v>
      </c>
      <c r="G15" s="15">
        <f t="shared" si="3"/>
        <v>0.19571167496416494</v>
      </c>
      <c r="H15" s="15">
        <f t="shared" si="3"/>
        <v>0.19417127271491774</v>
      </c>
      <c r="I15" s="15">
        <f t="shared" si="3"/>
        <v>0.2180538622208833</v>
      </c>
      <c r="J15" s="15">
        <f t="shared" si="3"/>
        <v>0.19807108271747378</v>
      </c>
      <c r="K15" s="15">
        <f t="shared" si="3"/>
        <v>0.20685017994636876</v>
      </c>
      <c r="L15" s="15">
        <f t="shared" si="3"/>
        <v>0.23605714704961514</v>
      </c>
      <c r="M15" s="15">
        <f t="shared" si="3"/>
        <v>0.13995897772246402</v>
      </c>
    </row>
    <row r="17" spans="2:13" x14ac:dyDescent="0.35">
      <c r="B17" t="s">
        <v>62</v>
      </c>
      <c r="C17" s="17">
        <f>IFERROR(SUM('Data Sheet'!B23:B24),0)</f>
        <v>21063.449999999997</v>
      </c>
      <c r="D17" s="17">
        <f>IFERROR(SUM('Data Sheet'!C23:C24),0)</f>
        <v>29141.280000000002</v>
      </c>
      <c r="E17" s="17">
        <f>IFERROR(SUM('Data Sheet'!D23:D24),0)</f>
        <v>34649.58</v>
      </c>
      <c r="F17" s="17">
        <f>IFERROR(SUM('Data Sheet'!E23:E24),0)</f>
        <v>31662.97</v>
      </c>
      <c r="G17" s="17">
        <f>IFERROR(SUM('Data Sheet'!F23:F24),0)</f>
        <v>34428.54</v>
      </c>
      <c r="H17" s="17">
        <f>IFERROR(SUM('Data Sheet'!G23:G24),0)</f>
        <v>32704.83</v>
      </c>
      <c r="I17" s="17">
        <f>IFERROR(SUM('Data Sheet'!H23:H24),0)</f>
        <v>22181.280000000002</v>
      </c>
      <c r="J17" s="17">
        <f>IFERROR(SUM('Data Sheet'!I23:I24),0)</f>
        <v>30433.52</v>
      </c>
      <c r="K17" s="17">
        <f>IFERROR(SUM('Data Sheet'!J23:J24),0)</f>
        <v>39747.53</v>
      </c>
      <c r="L17" s="17">
        <f>IFERROR(SUM('Data Sheet'!K23:K24),0)</f>
        <v>43837.64</v>
      </c>
      <c r="M17" s="14">
        <v>0</v>
      </c>
    </row>
    <row r="18" spans="2:13" x14ac:dyDescent="0.35">
      <c r="B18" s="15" t="s">
        <v>63</v>
      </c>
      <c r="C18" s="15">
        <f>C17/C8</f>
        <v>8.0040779911823637E-2</v>
      </c>
      <c r="D18" s="15">
        <f t="shared" ref="D18:M18" si="4">D17/D8</f>
        <v>0.10672678849247161</v>
      </c>
      <c r="E18" s="15">
        <f t="shared" si="4"/>
        <v>0.12847809529452636</v>
      </c>
      <c r="F18" s="15">
        <f t="shared" si="4"/>
        <v>0.10860201636437025</v>
      </c>
      <c r="G18" s="15">
        <f t="shared" si="4"/>
        <v>0.11402504616835751</v>
      </c>
      <c r="H18" s="15">
        <f t="shared" si="4"/>
        <v>0.12527323822987554</v>
      </c>
      <c r="I18" s="15">
        <f t="shared" si="4"/>
        <v>8.8798023177028354E-2</v>
      </c>
      <c r="J18" s="15">
        <f t="shared" si="4"/>
        <v>0.10929475436519734</v>
      </c>
      <c r="K18" s="15">
        <f t="shared" si="4"/>
        <v>0.11488822184383672</v>
      </c>
      <c r="L18" s="15">
        <f t="shared" si="4"/>
        <v>0.10010244383451636</v>
      </c>
      <c r="M18" s="15">
        <f t="shared" si="4"/>
        <v>0</v>
      </c>
    </row>
    <row r="20" spans="2:13" x14ac:dyDescent="0.35">
      <c r="B20" s="35" t="s">
        <v>64</v>
      </c>
      <c r="C20" s="36">
        <f>C14-C17</f>
        <v>39238.64999999998</v>
      </c>
      <c r="D20" s="36">
        <f t="shared" ref="D20:L20" si="5">D14-D17</f>
        <v>38395.249999999971</v>
      </c>
      <c r="E20" s="36">
        <f t="shared" si="5"/>
        <v>29588.690000000046</v>
      </c>
      <c r="F20" s="36">
        <f t="shared" si="5"/>
        <v>31457.679999999993</v>
      </c>
      <c r="G20" s="36">
        <f t="shared" si="5"/>
        <v>24664.330000000024</v>
      </c>
      <c r="H20" s="36">
        <f t="shared" si="5"/>
        <v>17987.069999999963</v>
      </c>
      <c r="I20" s="36">
        <f t="shared" si="5"/>
        <v>32287.429999999989</v>
      </c>
      <c r="J20" s="36">
        <f t="shared" si="5"/>
        <v>24720.090000000015</v>
      </c>
      <c r="K20" s="36">
        <f t="shared" si="5"/>
        <v>31815.799999999959</v>
      </c>
      <c r="L20" s="36">
        <f t="shared" si="5"/>
        <v>59538.34000000004</v>
      </c>
      <c r="M20" s="37"/>
    </row>
    <row r="21" spans="2:13" x14ac:dyDescent="0.35">
      <c r="B21" s="15" t="s">
        <v>65</v>
      </c>
      <c r="C21" s="15">
        <f>C20/C8</f>
        <v>0.14910625508580397</v>
      </c>
      <c r="D21" s="15">
        <f t="shared" ref="D21:M21" si="6">D20/D8</f>
        <v>0.14061845347443788</v>
      </c>
      <c r="E21" s="15">
        <f t="shared" si="6"/>
        <v>0.10971268723777329</v>
      </c>
      <c r="F21" s="15">
        <f t="shared" si="6"/>
        <v>0.10789788444182975</v>
      </c>
      <c r="G21" s="15">
        <f t="shared" si="6"/>
        <v>8.1686628795807431E-2</v>
      </c>
      <c r="H21" s="15">
        <f t="shared" si="6"/>
        <v>6.8898034485042198E-2</v>
      </c>
      <c r="I21" s="15">
        <f t="shared" si="6"/>
        <v>0.12925583904385496</v>
      </c>
      <c r="J21" s="15">
        <f t="shared" si="6"/>
        <v>8.877632835227646E-2</v>
      </c>
      <c r="K21" s="15">
        <f t="shared" si="6"/>
        <v>9.1961958102532049E-2</v>
      </c>
      <c r="L21" s="15">
        <f t="shared" si="6"/>
        <v>0.13595470321509878</v>
      </c>
      <c r="M21" s="15">
        <f t="shared" si="6"/>
        <v>0</v>
      </c>
    </row>
    <row r="23" spans="2:13" x14ac:dyDescent="0.35">
      <c r="B23" t="s">
        <v>29</v>
      </c>
      <c r="C23" s="16">
        <f>IFERROR('Data Sheet'!B27,0)</f>
        <v>4861.49</v>
      </c>
      <c r="D23" s="16">
        <f>IFERROR('Data Sheet'!C27,0)</f>
        <v>4889.08</v>
      </c>
      <c r="E23" s="16">
        <f>IFERROR('Data Sheet'!D27,0)</f>
        <v>4238.01</v>
      </c>
      <c r="F23" s="16">
        <f>IFERROR('Data Sheet'!E27,0)</f>
        <v>4681.79</v>
      </c>
      <c r="G23" s="16">
        <f>IFERROR('Data Sheet'!F27,0)</f>
        <v>5758.6</v>
      </c>
      <c r="H23" s="16">
        <f>IFERROR('Data Sheet'!G27,0)</f>
        <v>7243.33</v>
      </c>
      <c r="I23" s="16">
        <f>IFERROR('Data Sheet'!H27,0)</f>
        <v>8097.17</v>
      </c>
      <c r="J23" s="16">
        <f>IFERROR('Data Sheet'!I27,0)</f>
        <v>9311.86</v>
      </c>
      <c r="K23" s="16">
        <f>IFERROR('Data Sheet'!J27,0)</f>
        <v>10225.48</v>
      </c>
      <c r="L23" s="16">
        <f>IFERROR('Data Sheet'!K27,0)</f>
        <v>9985.76</v>
      </c>
      <c r="M23" s="16">
        <f>IFERROR(SUM('Data Sheet'!H46:K46),0)</f>
        <v>9458.6</v>
      </c>
    </row>
    <row r="24" spans="2:13" x14ac:dyDescent="0.35">
      <c r="B24" s="15" t="s">
        <v>66</v>
      </c>
      <c r="C24" s="15">
        <f>C23/C8</f>
        <v>1.8473585814932098E-2</v>
      </c>
      <c r="D24" s="15">
        <f t="shared" ref="D24:M24" si="7">D23/D8</f>
        <v>1.7905727101993223E-2</v>
      </c>
      <c r="E24" s="15">
        <f t="shared" si="7"/>
        <v>1.5714229512714312E-2</v>
      </c>
      <c r="F24" s="15">
        <f t="shared" si="7"/>
        <v>1.605824830060304E-2</v>
      </c>
      <c r="G24" s="15">
        <f t="shared" si="7"/>
        <v>1.9072102124141878E-2</v>
      </c>
      <c r="H24" s="15">
        <f t="shared" si="7"/>
        <v>2.7744996829752802E-2</v>
      </c>
      <c r="I24" s="15">
        <f t="shared" si="7"/>
        <v>3.2415292955516477E-2</v>
      </c>
      <c r="J24" s="15">
        <f t="shared" si="7"/>
        <v>3.3441332168710897E-2</v>
      </c>
      <c r="K24" s="15">
        <f t="shared" si="7"/>
        <v>2.9556231914277829E-2</v>
      </c>
      <c r="L24" s="15">
        <f t="shared" si="7"/>
        <v>2.2802299109736749E-2</v>
      </c>
      <c r="M24" s="15">
        <f t="shared" si="7"/>
        <v>2.1315665064479968E-2</v>
      </c>
    </row>
    <row r="26" spans="2:13" x14ac:dyDescent="0.35">
      <c r="B26" t="s">
        <v>30</v>
      </c>
      <c r="C26" s="16">
        <f>IFERROR('Data Sheet'!B26,0)</f>
        <v>13388.63</v>
      </c>
      <c r="D26" s="16">
        <f>IFERROR('Data Sheet'!C26,0)</f>
        <v>16710.78</v>
      </c>
      <c r="E26" s="16">
        <f>IFERROR('Data Sheet'!D26,0)</f>
        <v>17904.990000000002</v>
      </c>
      <c r="F26" s="16">
        <f>IFERROR('Data Sheet'!E26,0)</f>
        <v>21553.59</v>
      </c>
      <c r="G26" s="16">
        <f>IFERROR('Data Sheet'!F26,0)</f>
        <v>23590.63</v>
      </c>
      <c r="H26" s="16">
        <f>IFERROR('Data Sheet'!G26,0)</f>
        <v>21425.43</v>
      </c>
      <c r="I26" s="16">
        <f>IFERROR('Data Sheet'!H26,0)</f>
        <v>23546.71</v>
      </c>
      <c r="J26" s="16">
        <f>IFERROR('Data Sheet'!I26,0)</f>
        <v>24835.69</v>
      </c>
      <c r="K26" s="16">
        <f>IFERROR('Data Sheet'!J26,0)</f>
        <v>24860.36</v>
      </c>
      <c r="L26" s="16">
        <f>IFERROR('Data Sheet'!K26,0)</f>
        <v>27270.13</v>
      </c>
      <c r="M26" s="16">
        <f>IFERROR(SUM('Data Sheet'!H45:K45),0)</f>
        <v>27211.42</v>
      </c>
    </row>
    <row r="27" spans="2:13" x14ac:dyDescent="0.35">
      <c r="B27" s="15" t="s">
        <v>67</v>
      </c>
      <c r="C27" s="15">
        <f>IFERROR(C26/C8,0)</f>
        <v>5.0876584184966822E-2</v>
      </c>
      <c r="D27" s="15">
        <f t="shared" ref="D27:M27" si="8">IFERROR(D26/D8,0)</f>
        <v>6.1201425695927715E-2</v>
      </c>
      <c r="E27" s="15">
        <f t="shared" si="8"/>
        <v>6.63903865924938E-2</v>
      </c>
      <c r="F27" s="15">
        <f t="shared" si="8"/>
        <v>7.3927472182518786E-2</v>
      </c>
      <c r="G27" s="15">
        <f t="shared" si="8"/>
        <v>7.8130605447998658E-2</v>
      </c>
      <c r="H27" s="15">
        <f t="shared" si="8"/>
        <v>8.206839774331566E-2</v>
      </c>
      <c r="I27" s="15">
        <f t="shared" si="8"/>
        <v>9.4264230933596482E-2</v>
      </c>
      <c r="J27" s="15">
        <f t="shared" si="8"/>
        <v>8.9191478279219347E-2</v>
      </c>
      <c r="K27" s="15">
        <f t="shared" si="8"/>
        <v>7.1857611147098821E-2</v>
      </c>
      <c r="L27" s="15">
        <f t="shared" si="8"/>
        <v>6.2270839777984394E-2</v>
      </c>
      <c r="M27" s="15">
        <f t="shared" si="8"/>
        <v>6.1322977464835324E-2</v>
      </c>
    </row>
    <row r="29" spans="2:13" x14ac:dyDescent="0.35">
      <c r="B29" s="38" t="s">
        <v>69</v>
      </c>
      <c r="C29" s="38">
        <f>IFERROR(C20-SUM(C23,C26),0)</f>
        <v>20988.529999999981</v>
      </c>
      <c r="D29" s="38">
        <f t="shared" ref="D29:M29" si="9">IFERROR(D20-SUM(D23,D26),0)</f>
        <v>16795.38999999997</v>
      </c>
      <c r="E29" s="38">
        <f t="shared" si="9"/>
        <v>7445.690000000046</v>
      </c>
      <c r="F29" s="38">
        <f t="shared" si="9"/>
        <v>5222.299999999992</v>
      </c>
      <c r="G29" s="38">
        <f t="shared" si="9"/>
        <v>-4684.8999999999796</v>
      </c>
      <c r="H29" s="38">
        <f t="shared" si="9"/>
        <v>-10681.690000000039</v>
      </c>
      <c r="I29" s="38">
        <f t="shared" si="9"/>
        <v>643.549999999992</v>
      </c>
      <c r="J29" s="38">
        <f t="shared" si="9"/>
        <v>-9427.4599999999882</v>
      </c>
      <c r="K29" s="38">
        <f t="shared" si="9"/>
        <v>-3270.0400000000373</v>
      </c>
      <c r="L29" s="38">
        <f t="shared" si="9"/>
        <v>22282.450000000041</v>
      </c>
      <c r="M29" s="38">
        <f t="shared" si="9"/>
        <v>-36670.019999999997</v>
      </c>
    </row>
    <row r="30" spans="2:13" x14ac:dyDescent="0.35">
      <c r="B30" s="15" t="s">
        <v>70</v>
      </c>
      <c r="C30" s="15">
        <f>IFERROR(C29/C8,0)</f>
        <v>7.9756085085905037E-2</v>
      </c>
      <c r="D30" s="15">
        <f t="shared" ref="D30:M30" si="10">IFERROR(D29/D8,0)</f>
        <v>6.1511300676516931E-2</v>
      </c>
      <c r="E30" s="15">
        <f t="shared" si="10"/>
        <v>2.7608071132565179E-2</v>
      </c>
      <c r="F30" s="15">
        <f t="shared" si="10"/>
        <v>1.7912163958707913E-2</v>
      </c>
      <c r="G30" s="15">
        <f t="shared" si="10"/>
        <v>-1.5516078776333117E-2</v>
      </c>
      <c r="H30" s="15">
        <f t="shared" si="10"/>
        <v>-4.0915360088026265E-2</v>
      </c>
      <c r="I30" s="15">
        <f t="shared" si="10"/>
        <v>2.5763151547420113E-3</v>
      </c>
      <c r="J30" s="15">
        <f t="shared" si="10"/>
        <v>-3.3856482095653805E-2</v>
      </c>
      <c r="K30" s="15">
        <f t="shared" si="10"/>
        <v>-9.4518849588445895E-3</v>
      </c>
      <c r="L30" s="15">
        <f t="shared" si="10"/>
        <v>5.0881564327377643E-2</v>
      </c>
      <c r="M30" s="15">
        <f t="shared" si="10"/>
        <v>-8.2638642529315284E-2</v>
      </c>
    </row>
    <row r="32" spans="2:13" x14ac:dyDescent="0.35">
      <c r="B32" t="s">
        <v>27</v>
      </c>
      <c r="C32" s="31">
        <f>IFERROR('Data Sheet'!B29,0)</f>
        <v>7642.91</v>
      </c>
      <c r="D32" s="31">
        <f>IFERROR('Data Sheet'!C29,0)</f>
        <v>3025.05</v>
      </c>
      <c r="E32" s="31">
        <f>IFERROR('Data Sheet'!D29,0)</f>
        <v>3251.23</v>
      </c>
      <c r="F32" s="31">
        <f>IFERROR('Data Sheet'!E29,0)</f>
        <v>4341.93</v>
      </c>
      <c r="G32" s="31">
        <f>IFERROR('Data Sheet'!F29,0)</f>
        <v>-2437.4499999999998</v>
      </c>
      <c r="H32" s="31">
        <f>IFERROR('Data Sheet'!G29,0)</f>
        <v>395.25</v>
      </c>
      <c r="I32" s="31">
        <f>IFERROR('Data Sheet'!H29,0)</f>
        <v>2541.86</v>
      </c>
      <c r="J32" s="31">
        <f>IFERROR('Data Sheet'!I29,0)</f>
        <v>4231.29</v>
      </c>
      <c r="K32" s="31">
        <f>IFERROR('Data Sheet'!J29,0)</f>
        <v>704.06</v>
      </c>
      <c r="L32" s="31">
        <f>IFERROR('Data Sheet'!K29,0)</f>
        <v>-3851.64</v>
      </c>
      <c r="M32" s="31">
        <f>IFERROR(SUM('Data Sheet'!H48:K48),0)</f>
        <v>-2237.37</v>
      </c>
    </row>
    <row r="33" spans="1:13" x14ac:dyDescent="0.35">
      <c r="B33" s="15" t="s">
        <v>71</v>
      </c>
      <c r="C33" s="15">
        <f>IFERROR(C32/C29,0)</f>
        <v>0.3641469888553418</v>
      </c>
      <c r="D33" s="15">
        <f t="shared" ref="D33:L33" si="11">IFERROR(D32/D29,0)</f>
        <v>0.18011192356950362</v>
      </c>
      <c r="E33" s="15">
        <f t="shared" si="11"/>
        <v>0.43665932908836924</v>
      </c>
      <c r="F33" s="15">
        <f t="shared" si="11"/>
        <v>0.8314210213890445</v>
      </c>
      <c r="G33" s="15">
        <f t="shared" si="11"/>
        <v>0.52027791414971725</v>
      </c>
      <c r="H33" s="15">
        <f t="shared" si="11"/>
        <v>-3.7002571690434617E-2</v>
      </c>
      <c r="I33" s="15">
        <f t="shared" si="11"/>
        <v>3.9497474943672315</v>
      </c>
      <c r="J33" s="15">
        <f t="shared" si="11"/>
        <v>-0.4488260888935095</v>
      </c>
      <c r="K33" s="15">
        <f t="shared" si="11"/>
        <v>-0.21530623478611635</v>
      </c>
      <c r="L33" s="15">
        <f t="shared" si="11"/>
        <v>-0.17285531887202676</v>
      </c>
      <c r="M33" s="15">
        <f>IFERROR(M32/M29,0)</f>
        <v>6.1013601846958365E-2</v>
      </c>
    </row>
    <row r="35" spans="1:13" x14ac:dyDescent="0.35">
      <c r="B35" s="39" t="s">
        <v>73</v>
      </c>
      <c r="C35" s="38">
        <f>IFERROR(C29-C32,0)</f>
        <v>13345.619999999981</v>
      </c>
      <c r="D35" s="38">
        <f t="shared" ref="D35:M35" si="12">IFERROR(D29-D32,0)</f>
        <v>13770.339999999971</v>
      </c>
      <c r="E35" s="38">
        <f t="shared" si="12"/>
        <v>4194.4600000000464</v>
      </c>
      <c r="F35" s="38">
        <f t="shared" si="12"/>
        <v>880.36999999999171</v>
      </c>
      <c r="G35" s="38">
        <f t="shared" si="12"/>
        <v>-2247.4499999999798</v>
      </c>
      <c r="H35" s="38">
        <f t="shared" si="12"/>
        <v>-11076.940000000039</v>
      </c>
      <c r="I35" s="38">
        <f t="shared" si="12"/>
        <v>-1898.3100000000081</v>
      </c>
      <c r="J35" s="38">
        <f t="shared" si="12"/>
        <v>-13658.749999999989</v>
      </c>
      <c r="K35" s="38">
        <f t="shared" si="12"/>
        <v>-3974.1000000000372</v>
      </c>
      <c r="L35" s="38">
        <f t="shared" si="12"/>
        <v>26134.09000000004</v>
      </c>
      <c r="M35" s="38">
        <f t="shared" si="12"/>
        <v>-34432.649999999994</v>
      </c>
    </row>
    <row r="36" spans="1:13" x14ac:dyDescent="0.35">
      <c r="B36" s="15" t="s">
        <v>74</v>
      </c>
      <c r="C36" s="15">
        <f>IFERROR(C35/C8,0)</f>
        <v>5.0713146858982282E-2</v>
      </c>
      <c r="D36" s="15">
        <f t="shared" ref="D36:M36" si="13">IFERROR(D35/D8,0)</f>
        <v>5.0432381990407359E-2</v>
      </c>
      <c r="E36" s="15">
        <f t="shared" si="13"/>
        <v>1.5552749314395296E-2</v>
      </c>
      <c r="F36" s="15">
        <f t="shared" si="13"/>
        <v>3.01961430487095E-3</v>
      </c>
      <c r="G36" s="15">
        <f t="shared" si="13"/>
        <v>-7.4434056747998256E-3</v>
      </c>
      <c r="H36" s="15">
        <f t="shared" si="13"/>
        <v>-4.2429333632923408E-2</v>
      </c>
      <c r="I36" s="15">
        <f t="shared" si="13"/>
        <v>-7.5994791724005731E-3</v>
      </c>
      <c r="J36" s="15">
        <f t="shared" si="13"/>
        <v>-4.9052154538339235E-2</v>
      </c>
      <c r="K36" s="15">
        <f t="shared" si="13"/>
        <v>-1.1486934720964945E-2</v>
      </c>
      <c r="L36" s="15">
        <f t="shared" si="13"/>
        <v>5.9676713353894045E-2</v>
      </c>
      <c r="M36" s="15">
        <f t="shared" si="13"/>
        <v>-7.7596561296858518E-2</v>
      </c>
    </row>
    <row r="38" spans="1:13" x14ac:dyDescent="0.35">
      <c r="B38" t="s">
        <v>75</v>
      </c>
      <c r="C38">
        <f>IFERROR('Data Sheet'!B93,0)</f>
        <v>288.74</v>
      </c>
      <c r="D38">
        <f>IFERROR('Data Sheet'!C93,0)</f>
        <v>288.72000000000003</v>
      </c>
      <c r="E38">
        <f>IFERROR('Data Sheet'!D93,0)</f>
        <v>288.73</v>
      </c>
      <c r="F38">
        <f>IFERROR('Data Sheet'!E93,0)</f>
        <v>288.73</v>
      </c>
      <c r="G38">
        <f>IFERROR('Data Sheet'!F93,0)</f>
        <v>288.73</v>
      </c>
      <c r="H38">
        <f>IFERROR('Data Sheet'!G93,0)</f>
        <v>308.89999999999998</v>
      </c>
      <c r="I38">
        <f>IFERROR('Data Sheet'!H93,0)</f>
        <v>332.03</v>
      </c>
      <c r="J38">
        <f>IFERROR('Data Sheet'!I93,0)</f>
        <v>332.07</v>
      </c>
      <c r="K38">
        <f>IFERROR('Data Sheet'!J93,0)</f>
        <v>332.13</v>
      </c>
      <c r="L38">
        <f>IFERROR('Data Sheet'!K93,0)</f>
        <v>332.37</v>
      </c>
      <c r="M38">
        <f>IFERROR('Data Sheet'!L93,0)</f>
        <v>0</v>
      </c>
    </row>
    <row r="40" spans="1:13" x14ac:dyDescent="0.35">
      <c r="B40" t="s">
        <v>76</v>
      </c>
      <c r="C40" s="32">
        <f>IFERROR(C35/C38,0)</f>
        <v>46.220198102098706</v>
      </c>
      <c r="D40" s="32">
        <f t="shared" ref="D40:M40" si="14">IFERROR(D35/D38,0)</f>
        <v>47.694444444444336</v>
      </c>
      <c r="E40" s="32">
        <f t="shared" si="14"/>
        <v>14.527274616423808</v>
      </c>
      <c r="F40" s="32">
        <f t="shared" si="14"/>
        <v>3.049111626779315</v>
      </c>
      <c r="G40" s="32">
        <f t="shared" si="14"/>
        <v>-7.7839157690575265</v>
      </c>
      <c r="H40" s="32">
        <f t="shared" si="14"/>
        <v>-35.859307219164904</v>
      </c>
      <c r="I40" s="32">
        <f t="shared" si="14"/>
        <v>-5.7172845827184542</v>
      </c>
      <c r="J40" s="32">
        <f t="shared" si="14"/>
        <v>-41.132140813683833</v>
      </c>
      <c r="K40" s="32">
        <f t="shared" si="14"/>
        <v>-11.965495438533218</v>
      </c>
      <c r="L40" s="32">
        <f t="shared" si="14"/>
        <v>78.629509281824596</v>
      </c>
      <c r="M40" s="32">
        <f t="shared" si="14"/>
        <v>0</v>
      </c>
    </row>
    <row r="41" spans="1:13" x14ac:dyDescent="0.35">
      <c r="B41" s="15" t="s">
        <v>78</v>
      </c>
      <c r="C41" s="15"/>
      <c r="D41" s="15">
        <f>IFERROR(D40/C40-1,0)</f>
        <v>3.189614936502605E-2</v>
      </c>
      <c r="E41" s="15">
        <f t="shared" ref="E41:M41" si="15">IFERROR(E40/D40-1,0)</f>
        <v>-0.69540950134463697</v>
      </c>
      <c r="F41" s="15">
        <f t="shared" si="15"/>
        <v>-0.79011124197155724</v>
      </c>
      <c r="G41" s="15">
        <f t="shared" si="15"/>
        <v>-3.5528470983790919</v>
      </c>
      <c r="H41" s="15">
        <f t="shared" si="15"/>
        <v>3.6068467700681115</v>
      </c>
      <c r="I41" s="15">
        <f t="shared" si="15"/>
        <v>-0.84056344011958861</v>
      </c>
      <c r="J41" s="15">
        <f t="shared" si="15"/>
        <v>6.194349033807641</v>
      </c>
      <c r="K41" s="15">
        <f t="shared" si="15"/>
        <v>-0.70909621522659627</v>
      </c>
      <c r="L41" s="15">
        <f t="shared" si="15"/>
        <v>-7.5713542482001346</v>
      </c>
      <c r="M41" s="15">
        <f t="shared" si="15"/>
        <v>-1</v>
      </c>
    </row>
    <row r="43" spans="1:13" x14ac:dyDescent="0.35">
      <c r="B43" t="s">
        <v>77</v>
      </c>
      <c r="C43" s="32">
        <f>IFERROR('Data Sheet'!B31/HistoricalFS!C38,0)</f>
        <v>0</v>
      </c>
      <c r="D43" s="32">
        <f>IFERROR('Data Sheet'!C31/HistoricalFS!D38,0)</f>
        <v>0.23524522028262676</v>
      </c>
      <c r="E43" s="32">
        <f>IFERROR('Data Sheet'!D31/HistoricalFS!E38,0)</f>
        <v>0</v>
      </c>
      <c r="F43" s="32">
        <f>IFERROR('Data Sheet'!E31/HistoricalFS!F38,0)</f>
        <v>0</v>
      </c>
      <c r="G43" s="32">
        <f>IFERROR('Data Sheet'!F31/HistoricalFS!G38,0)</f>
        <v>0</v>
      </c>
      <c r="H43" s="32">
        <f>IFERROR('Data Sheet'!G31/HistoricalFS!H38,0)</f>
        <v>0</v>
      </c>
      <c r="I43" s="32">
        <f>IFERROR('Data Sheet'!H31/HistoricalFS!I38,0)</f>
        <v>0</v>
      </c>
      <c r="J43" s="32">
        <f>IFERROR('Data Sheet'!I31/HistoricalFS!J38,0)</f>
        <v>0</v>
      </c>
      <c r="K43" s="32">
        <f>IFERROR('Data Sheet'!J31/HistoricalFS!K38,0)</f>
        <v>2.3063860536536898</v>
      </c>
      <c r="L43" s="32">
        <f>IFERROR('Data Sheet'!K31/HistoricalFS!L38,0)</f>
        <v>14.067605379546888</v>
      </c>
      <c r="M43" s="32">
        <f>IFERROR('Data Sheet'!L31/HistoricalFS!M38,0)</f>
        <v>0</v>
      </c>
    </row>
    <row r="44" spans="1:13" x14ac:dyDescent="0.35">
      <c r="B44" s="15" t="s">
        <v>79</v>
      </c>
      <c r="C44" s="15">
        <f>IFERROR(C43/C40,0)</f>
        <v>0</v>
      </c>
      <c r="D44" s="15">
        <f t="shared" ref="D44:M44" si="16">IFERROR(D43/D40,0)</f>
        <v>4.9323400874633563E-3</v>
      </c>
      <c r="E44" s="15">
        <f t="shared" si="16"/>
        <v>0</v>
      </c>
      <c r="F44" s="15">
        <f t="shared" si="16"/>
        <v>0</v>
      </c>
      <c r="G44" s="15">
        <f t="shared" si="16"/>
        <v>0</v>
      </c>
      <c r="H44" s="15">
        <f t="shared" si="16"/>
        <v>0</v>
      </c>
      <c r="I44" s="15">
        <f t="shared" si="16"/>
        <v>0</v>
      </c>
      <c r="J44" s="15">
        <f t="shared" si="16"/>
        <v>0</v>
      </c>
      <c r="K44" s="15">
        <f t="shared" si="16"/>
        <v>-0.19275307616818721</v>
      </c>
      <c r="L44" s="15">
        <f t="shared" si="16"/>
        <v>0.17890999839672977</v>
      </c>
      <c r="M44" s="15">
        <f t="shared" si="16"/>
        <v>0</v>
      </c>
    </row>
    <row r="46" spans="1:13" x14ac:dyDescent="0.35">
      <c r="B46" t="s">
        <v>80</v>
      </c>
      <c r="C46" s="22">
        <f>IFERROR(IF(C40&gt;C43,1-C44,0),0)</f>
        <v>1</v>
      </c>
      <c r="D46" s="22">
        <f t="shared" ref="D46:M46" si="17">IFERROR(IF(D40&gt;D43,1-D44,0),0)</f>
        <v>0.99506765991253665</v>
      </c>
      <c r="E46" s="22">
        <f t="shared" si="17"/>
        <v>1</v>
      </c>
      <c r="F46" s="22">
        <f t="shared" si="17"/>
        <v>1</v>
      </c>
      <c r="G46" s="22">
        <f t="shared" si="17"/>
        <v>0</v>
      </c>
      <c r="H46" s="22">
        <f t="shared" si="17"/>
        <v>0</v>
      </c>
      <c r="I46" s="22">
        <f t="shared" si="17"/>
        <v>0</v>
      </c>
      <c r="J46" s="22">
        <f t="shared" si="17"/>
        <v>0</v>
      </c>
      <c r="K46" s="22">
        <f t="shared" si="17"/>
        <v>0</v>
      </c>
      <c r="L46" s="22">
        <f t="shared" si="17"/>
        <v>0.82109000160327028</v>
      </c>
      <c r="M46" s="22">
        <f t="shared" si="17"/>
        <v>0</v>
      </c>
    </row>
    <row r="48" spans="1:13" x14ac:dyDescent="0.35">
      <c r="A48" t="s">
        <v>57</v>
      </c>
      <c r="B48" s="18" t="s">
        <v>81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50" spans="2:13" x14ac:dyDescent="0.35">
      <c r="B50" t="s">
        <v>23</v>
      </c>
      <c r="C50" s="32">
        <f>IFERROR('Data Sheet'!B57,0)</f>
        <v>643.78</v>
      </c>
      <c r="D50" s="32">
        <f>IFERROR('Data Sheet'!C57,0)</f>
        <v>679.18</v>
      </c>
      <c r="E50" s="32">
        <f>IFERROR('Data Sheet'!D57,0)</f>
        <v>679.22</v>
      </c>
      <c r="F50" s="32">
        <f>IFERROR('Data Sheet'!E57,0)</f>
        <v>679.22</v>
      </c>
      <c r="G50" s="32">
        <f>IFERROR('Data Sheet'!F57,0)</f>
        <v>679.22</v>
      </c>
      <c r="H50" s="32">
        <f>IFERROR('Data Sheet'!G57,0)</f>
        <v>719.54</v>
      </c>
      <c r="I50" s="32">
        <f>IFERROR('Data Sheet'!H57,0)</f>
        <v>765.81</v>
      </c>
      <c r="J50" s="32">
        <f>IFERROR('Data Sheet'!I57,0)</f>
        <v>765.88</v>
      </c>
      <c r="K50" s="32">
        <f>IFERROR('Data Sheet'!J57,0)</f>
        <v>766.02</v>
      </c>
      <c r="L50" s="32">
        <f>IFERROR('Data Sheet'!K57,0)</f>
        <v>766.5</v>
      </c>
    </row>
    <row r="51" spans="2:13" x14ac:dyDescent="0.35">
      <c r="B51" t="s">
        <v>22</v>
      </c>
      <c r="C51" s="32">
        <f>IFERROR('Data Sheet'!B58,0)</f>
        <v>55618.14</v>
      </c>
      <c r="D51" s="32">
        <f>IFERROR('Data Sheet'!C58,0)</f>
        <v>78273.23</v>
      </c>
      <c r="E51" s="32">
        <f>IFERROR('Data Sheet'!D58,0)</f>
        <v>57382.67</v>
      </c>
      <c r="F51" s="32">
        <f>IFERROR('Data Sheet'!E58,0)</f>
        <v>94748.69</v>
      </c>
      <c r="G51" s="32">
        <f>IFERROR('Data Sheet'!F58,0)</f>
        <v>59500.34</v>
      </c>
      <c r="H51" s="32">
        <f>IFERROR('Data Sheet'!G58,0)</f>
        <v>61491.49</v>
      </c>
      <c r="I51" s="32">
        <f>IFERROR('Data Sheet'!H58,0)</f>
        <v>54480.91</v>
      </c>
      <c r="J51" s="32">
        <f>IFERROR('Data Sheet'!I58,0)</f>
        <v>43795.360000000001</v>
      </c>
      <c r="K51" s="32">
        <f>IFERROR('Data Sheet'!J58,0)</f>
        <v>44555.77</v>
      </c>
      <c r="L51" s="32">
        <f>IFERROR('Data Sheet'!K58,0)</f>
        <v>84151.52</v>
      </c>
    </row>
    <row r="52" spans="2:13" x14ac:dyDescent="0.35">
      <c r="B52" t="s">
        <v>21</v>
      </c>
      <c r="C52" s="32">
        <f>IFERROR('Data Sheet'!B59,0)</f>
        <v>73610.39</v>
      </c>
      <c r="D52" s="32">
        <f>IFERROR('Data Sheet'!C59,0)</f>
        <v>69359.960000000006</v>
      </c>
      <c r="E52" s="32">
        <f>IFERROR('Data Sheet'!D59,0)</f>
        <v>78603.98</v>
      </c>
      <c r="F52" s="32">
        <f>IFERROR('Data Sheet'!E59,0)</f>
        <v>88950.47</v>
      </c>
      <c r="G52" s="32">
        <f>IFERROR('Data Sheet'!F59,0)</f>
        <v>106175.34</v>
      </c>
      <c r="H52" s="32">
        <f>IFERROR('Data Sheet'!G59,0)</f>
        <v>124787.64</v>
      </c>
      <c r="I52" s="32">
        <f>IFERROR('Data Sheet'!H59,0)</f>
        <v>142130.57</v>
      </c>
      <c r="J52" s="32">
        <f>IFERROR('Data Sheet'!I59,0)</f>
        <v>146449.03</v>
      </c>
      <c r="K52" s="32">
        <f>IFERROR('Data Sheet'!J59,0)</f>
        <v>134113.44</v>
      </c>
      <c r="L52" s="32">
        <f>IFERROR('Data Sheet'!K59,0)</f>
        <v>107262.5</v>
      </c>
    </row>
    <row r="53" spans="2:13" x14ac:dyDescent="0.35">
      <c r="B53" t="s">
        <v>20</v>
      </c>
      <c r="C53" s="32">
        <f>IFERROR('Data Sheet'!B60,0)</f>
        <v>107442.48</v>
      </c>
      <c r="D53" s="32">
        <f>IFERROR('Data Sheet'!C60,0)</f>
        <v>114871.75</v>
      </c>
      <c r="E53" s="32">
        <f>IFERROR('Data Sheet'!D60,0)</f>
        <v>135914.49</v>
      </c>
      <c r="F53" s="32">
        <f>IFERROR('Data Sheet'!E60,0)</f>
        <v>142813.43</v>
      </c>
      <c r="G53" s="32">
        <f>IFERROR('Data Sheet'!F60,0)</f>
        <v>139348.59</v>
      </c>
      <c r="H53" s="32">
        <f>IFERROR('Data Sheet'!G60,0)</f>
        <v>133180.72</v>
      </c>
      <c r="I53" s="32">
        <f>IFERROR('Data Sheet'!H60,0)</f>
        <v>144192.62</v>
      </c>
      <c r="J53" s="32">
        <f>IFERROR('Data Sheet'!I60,0)</f>
        <v>138051.22</v>
      </c>
      <c r="K53" s="32">
        <f>IFERROR('Data Sheet'!J60,0)</f>
        <v>155239.20000000001</v>
      </c>
      <c r="L53" s="32">
        <f>IFERROR('Data Sheet'!K60,0)</f>
        <v>177340.09</v>
      </c>
    </row>
    <row r="54" spans="2:13" x14ac:dyDescent="0.35">
      <c r="B54" s="39" t="s">
        <v>82</v>
      </c>
      <c r="C54" s="40">
        <f>IFERROR('Data Sheet'!B61,0)</f>
        <v>237314.79</v>
      </c>
      <c r="D54" s="40">
        <f>IFERROR('Data Sheet'!C61,0)</f>
        <v>263184.12</v>
      </c>
      <c r="E54" s="40">
        <f>IFERROR('Data Sheet'!D61,0)</f>
        <v>272580.36</v>
      </c>
      <c r="F54" s="40">
        <f>IFERROR('Data Sheet'!E61,0)</f>
        <v>327191.81</v>
      </c>
      <c r="G54" s="40">
        <f>IFERROR('Data Sheet'!F61,0)</f>
        <v>305703.49</v>
      </c>
      <c r="H54" s="40">
        <f>IFERROR('Data Sheet'!G61,0)</f>
        <v>320179.39</v>
      </c>
      <c r="I54" s="40">
        <f>IFERROR('Data Sheet'!H61,0)</f>
        <v>341569.91</v>
      </c>
      <c r="J54" s="40">
        <f>IFERROR('Data Sheet'!I61,0)</f>
        <v>329061.49</v>
      </c>
      <c r="K54" s="40">
        <f>IFERROR('Data Sheet'!J61,0)</f>
        <v>334674.43</v>
      </c>
      <c r="L54" s="40">
        <f>IFERROR('Data Sheet'!K61,0)</f>
        <v>369520.61</v>
      </c>
    </row>
    <row r="56" spans="2:13" x14ac:dyDescent="0.35">
      <c r="B56" t="s">
        <v>83</v>
      </c>
      <c r="C56" s="32">
        <f>IFERROR('Data Sheet'!B62,0)</f>
        <v>88479.49</v>
      </c>
      <c r="D56" s="32">
        <f>IFERROR('Data Sheet'!C62,0)</f>
        <v>107231.76</v>
      </c>
      <c r="E56" s="32">
        <f>IFERROR('Data Sheet'!D62,0)</f>
        <v>95944.08</v>
      </c>
      <c r="F56" s="32">
        <f>IFERROR('Data Sheet'!E62,0)</f>
        <v>121413.86</v>
      </c>
      <c r="G56" s="32">
        <f>IFERROR('Data Sheet'!F62,0)</f>
        <v>111234.47</v>
      </c>
      <c r="H56" s="32">
        <f>IFERROR('Data Sheet'!G62,0)</f>
        <v>127107.14</v>
      </c>
      <c r="I56" s="32">
        <f>IFERROR('Data Sheet'!H62,0)</f>
        <v>138707.60999999999</v>
      </c>
      <c r="J56" s="32">
        <f>IFERROR('Data Sheet'!I62,0)</f>
        <v>138855.45000000001</v>
      </c>
      <c r="K56" s="32">
        <f>IFERROR('Data Sheet'!J62,0)</f>
        <v>132079.76</v>
      </c>
      <c r="L56" s="32">
        <f>IFERROR('Data Sheet'!K62,0)</f>
        <v>121285.46</v>
      </c>
    </row>
    <row r="57" spans="2:13" x14ac:dyDescent="0.35">
      <c r="B57" t="s">
        <v>18</v>
      </c>
      <c r="C57" s="32">
        <f>IFERROR('Data Sheet'!B63,0)</f>
        <v>28640.09</v>
      </c>
      <c r="D57" s="32">
        <f>IFERROR('Data Sheet'!C63,0)</f>
        <v>25918.94</v>
      </c>
      <c r="E57" s="32">
        <f>IFERROR('Data Sheet'!D63,0)</f>
        <v>33698.839999999997</v>
      </c>
      <c r="F57" s="32">
        <f>IFERROR('Data Sheet'!E63,0)</f>
        <v>40033.5</v>
      </c>
      <c r="G57" s="32">
        <f>IFERROR('Data Sheet'!F63,0)</f>
        <v>31883.84</v>
      </c>
      <c r="H57" s="32">
        <f>IFERROR('Data Sheet'!G63,0)</f>
        <v>35622.29</v>
      </c>
      <c r="I57" s="32">
        <f>IFERROR('Data Sheet'!H63,0)</f>
        <v>20963.93</v>
      </c>
      <c r="J57" s="32">
        <f>IFERROR('Data Sheet'!I63,0)</f>
        <v>10251.09</v>
      </c>
      <c r="K57" s="32">
        <f>IFERROR('Data Sheet'!J63,0)</f>
        <v>14274.5</v>
      </c>
      <c r="L57" s="32">
        <f>IFERROR('Data Sheet'!K63,0)</f>
        <v>35698.43</v>
      </c>
    </row>
    <row r="58" spans="2:13" x14ac:dyDescent="0.35">
      <c r="B58" t="s">
        <v>17</v>
      </c>
      <c r="C58" s="32">
        <f>IFERROR('Data Sheet'!B64,0)</f>
        <v>15336.74</v>
      </c>
      <c r="D58" s="32">
        <f>IFERROR('Data Sheet'!C64,0)</f>
        <v>23767.02</v>
      </c>
      <c r="E58" s="32">
        <f>IFERROR('Data Sheet'!D64,0)</f>
        <v>20337.919999999998</v>
      </c>
      <c r="F58" s="32">
        <f>IFERROR('Data Sheet'!E64,0)</f>
        <v>20812.75</v>
      </c>
      <c r="G58" s="32">
        <f>IFERROR('Data Sheet'!F64,0)</f>
        <v>15770.72</v>
      </c>
      <c r="H58" s="32">
        <f>IFERROR('Data Sheet'!G64,0)</f>
        <v>16308.48</v>
      </c>
      <c r="I58" s="32">
        <f>IFERROR('Data Sheet'!H64,0)</f>
        <v>24620.28</v>
      </c>
      <c r="J58" s="32">
        <f>IFERROR('Data Sheet'!I64,0)</f>
        <v>29379.53</v>
      </c>
      <c r="K58" s="32">
        <f>IFERROR('Data Sheet'!J64,0)</f>
        <v>26379.16</v>
      </c>
      <c r="L58" s="32">
        <f>IFERROR('Data Sheet'!K64,0)</f>
        <v>22971.07</v>
      </c>
    </row>
    <row r="59" spans="2:13" x14ac:dyDescent="0.35">
      <c r="B59" t="s">
        <v>16</v>
      </c>
      <c r="C59" s="32">
        <f>IFERROR('Data Sheet'!B65-SUM('Data Sheet'!B67:B69),0)</f>
        <v>30891.17</v>
      </c>
      <c r="D59" s="32">
        <f>IFERROR('Data Sheet'!C65-SUM('Data Sheet'!C67:C69),0)</f>
        <v>29579.359999999986</v>
      </c>
      <c r="E59" s="32">
        <f>IFERROR('Data Sheet'!D65-SUM('Data Sheet'!D67:D69),0)</f>
        <v>37360.780000000013</v>
      </c>
      <c r="F59" s="32">
        <f>IFERROR('Data Sheet'!E65-SUM('Data Sheet'!E67:E69),0)</f>
        <v>48286.860000000015</v>
      </c>
      <c r="G59" s="32">
        <f>IFERROR('Data Sheet'!F65-SUM('Data Sheet'!F67:F69),0)</f>
        <v>56155.739999999991</v>
      </c>
      <c r="H59" s="32">
        <f>IFERROR('Data Sheet'!G65-SUM('Data Sheet'!G67:G69),0)</f>
        <v>58784.94</v>
      </c>
      <c r="I59" s="32">
        <f>IFERROR('Data Sheet'!H65-SUM('Data Sheet'!H67:H69),0)</f>
        <v>61717.959999999992</v>
      </c>
      <c r="J59" s="32">
        <f>IFERROR('Data Sheet'!I65-SUM('Data Sheet'!I67:I69),0)</f>
        <v>62223.770000000019</v>
      </c>
      <c r="K59" s="32">
        <f>IFERROR('Data Sheet'!J65-SUM('Data Sheet'!J67:J69),0)</f>
        <v>68432.090000000011</v>
      </c>
      <c r="L59" s="32">
        <f>IFERROR('Data Sheet'!K65-SUM('Data Sheet'!K67:K69),0)</f>
        <v>79018.859999999986</v>
      </c>
    </row>
    <row r="60" spans="2:13" x14ac:dyDescent="0.35">
      <c r="B60" s="39" t="s">
        <v>85</v>
      </c>
      <c r="C60" s="40">
        <f>IFERROR(SUM(C56:C59),0)</f>
        <v>163347.49</v>
      </c>
      <c r="D60" s="40">
        <f t="shared" ref="D60:L60" si="18">IFERROR(SUM(D56:D59),0)</f>
        <v>186497.07999999996</v>
      </c>
      <c r="E60" s="40">
        <f t="shared" si="18"/>
        <v>187341.62</v>
      </c>
      <c r="F60" s="40">
        <f t="shared" si="18"/>
        <v>230546.97</v>
      </c>
      <c r="G60" s="40">
        <f t="shared" si="18"/>
        <v>215044.77</v>
      </c>
      <c r="H60" s="40">
        <f t="shared" si="18"/>
        <v>237822.85</v>
      </c>
      <c r="I60" s="40">
        <f t="shared" si="18"/>
        <v>246009.77999999997</v>
      </c>
      <c r="J60" s="40">
        <f t="shared" si="18"/>
        <v>240709.84000000003</v>
      </c>
      <c r="K60" s="40">
        <f t="shared" si="18"/>
        <v>241165.51</v>
      </c>
      <c r="L60" s="40">
        <f t="shared" si="18"/>
        <v>258973.82</v>
      </c>
      <c r="M60" s="12"/>
    </row>
    <row r="61" spans="2:13" x14ac:dyDescent="0.3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x14ac:dyDescent="0.35">
      <c r="B62" t="s">
        <v>14</v>
      </c>
      <c r="C62" s="32">
        <f>IFERROR('Data Sheet'!B67,0)</f>
        <v>12579.2</v>
      </c>
      <c r="D62" s="32">
        <f>IFERROR('Data Sheet'!C67,0)</f>
        <v>13570.91</v>
      </c>
      <c r="E62" s="32">
        <f>IFERROR('Data Sheet'!D67,0)</f>
        <v>14075.55</v>
      </c>
      <c r="F62" s="32">
        <f>IFERROR('Data Sheet'!E67,0)</f>
        <v>19893.3</v>
      </c>
      <c r="G62" s="32">
        <f>IFERROR('Data Sheet'!F67,0)</f>
        <v>18996.169999999998</v>
      </c>
      <c r="H62" s="32">
        <f>IFERROR('Data Sheet'!G67,0)</f>
        <v>11172.69</v>
      </c>
      <c r="I62" s="32">
        <f>IFERROR('Data Sheet'!H67,0)</f>
        <v>12679.08</v>
      </c>
      <c r="J62" s="32">
        <f>IFERROR('Data Sheet'!I67,0)</f>
        <v>12442.12</v>
      </c>
      <c r="K62" s="32">
        <f>IFERROR('Data Sheet'!J67,0)</f>
        <v>15737.97</v>
      </c>
      <c r="L62" s="32">
        <f>IFERROR('Data Sheet'!K67,0)</f>
        <v>16951.810000000001</v>
      </c>
    </row>
    <row r="63" spans="2:13" x14ac:dyDescent="0.35">
      <c r="B63" t="s">
        <v>13</v>
      </c>
      <c r="C63" s="32">
        <f>IFERROR('Data Sheet'!B68,0)</f>
        <v>29272.34</v>
      </c>
      <c r="D63" s="32">
        <f>IFERROR('Data Sheet'!C68,0)</f>
        <v>32655.73</v>
      </c>
      <c r="E63" s="32">
        <f>IFERROR('Data Sheet'!D68,0)</f>
        <v>35085.31</v>
      </c>
      <c r="F63" s="32">
        <f>IFERROR('Data Sheet'!E68,0)</f>
        <v>42137.63</v>
      </c>
      <c r="G63" s="32">
        <f>IFERROR('Data Sheet'!F68,0)</f>
        <v>39013.730000000003</v>
      </c>
      <c r="H63" s="32">
        <f>IFERROR('Data Sheet'!G68,0)</f>
        <v>37456.879999999997</v>
      </c>
      <c r="I63" s="32">
        <f>IFERROR('Data Sheet'!H68,0)</f>
        <v>36088.589999999997</v>
      </c>
      <c r="J63" s="32">
        <f>IFERROR('Data Sheet'!I68,0)</f>
        <v>35240.339999999997</v>
      </c>
      <c r="K63" s="32">
        <f>IFERROR('Data Sheet'!J68,0)</f>
        <v>40755.39</v>
      </c>
      <c r="L63" s="32">
        <f>IFERROR('Data Sheet'!K68,0)</f>
        <v>47788.29</v>
      </c>
    </row>
    <row r="64" spans="2:13" x14ac:dyDescent="0.35">
      <c r="B64" t="s">
        <v>12</v>
      </c>
      <c r="C64" s="32">
        <f>IFERROR('Data Sheet'!B69,0)</f>
        <v>32115.759999999998</v>
      </c>
      <c r="D64" s="32">
        <f>IFERROR('Data Sheet'!C69,0)</f>
        <v>30460.400000000001</v>
      </c>
      <c r="E64" s="32">
        <f>IFERROR('Data Sheet'!D69,0)</f>
        <v>36077.879999999997</v>
      </c>
      <c r="F64" s="32">
        <f>IFERROR('Data Sheet'!E69,0)</f>
        <v>34613.910000000003</v>
      </c>
      <c r="G64" s="32">
        <f>IFERROR('Data Sheet'!F69,0)</f>
        <v>32648.82</v>
      </c>
      <c r="H64" s="32">
        <f>IFERROR('Data Sheet'!G69,0)</f>
        <v>33726.97</v>
      </c>
      <c r="I64" s="32">
        <f>IFERROR('Data Sheet'!H69,0)</f>
        <v>46792.46</v>
      </c>
      <c r="J64" s="32">
        <f>IFERROR('Data Sheet'!I69,0)</f>
        <v>40669.19</v>
      </c>
      <c r="K64" s="32">
        <f>IFERROR('Data Sheet'!J69,0)</f>
        <v>37015.56</v>
      </c>
      <c r="L64" s="32">
        <f>IFERROR('Data Sheet'!K69,0)</f>
        <v>45806.69</v>
      </c>
    </row>
    <row r="65" spans="1:13" x14ac:dyDescent="0.35">
      <c r="B65" s="39" t="s">
        <v>86</v>
      </c>
      <c r="C65" s="40">
        <f>IFERROR(SUM(C62:C64),0)</f>
        <v>73967.3</v>
      </c>
      <c r="D65" s="40">
        <f t="shared" ref="D65:L65" si="19">IFERROR(SUM(D62:D64),0)</f>
        <v>76687.040000000008</v>
      </c>
      <c r="E65" s="40">
        <f t="shared" si="19"/>
        <v>85238.739999999991</v>
      </c>
      <c r="F65" s="40">
        <f t="shared" si="19"/>
        <v>96644.84</v>
      </c>
      <c r="G65" s="40">
        <f t="shared" si="19"/>
        <v>90658.72</v>
      </c>
      <c r="H65" s="40">
        <f t="shared" si="19"/>
        <v>82356.540000000008</v>
      </c>
      <c r="I65" s="40">
        <f t="shared" si="19"/>
        <v>95560.13</v>
      </c>
      <c r="J65" s="40">
        <f t="shared" si="19"/>
        <v>88351.65</v>
      </c>
      <c r="K65" s="40">
        <f t="shared" si="19"/>
        <v>93508.92</v>
      </c>
      <c r="L65" s="40">
        <f t="shared" si="19"/>
        <v>110546.79000000001</v>
      </c>
    </row>
    <row r="67" spans="1:13" x14ac:dyDescent="0.35">
      <c r="B67" s="39" t="s">
        <v>84</v>
      </c>
      <c r="C67" s="40">
        <f>IFERROR(C65+C60,0)</f>
        <v>237314.78999999998</v>
      </c>
      <c r="D67" s="40">
        <f t="shared" ref="D67:L67" si="20">IFERROR(D65+D60,0)</f>
        <v>263184.12</v>
      </c>
      <c r="E67" s="40">
        <f t="shared" si="20"/>
        <v>272580.36</v>
      </c>
      <c r="F67" s="40">
        <f t="shared" si="20"/>
        <v>327191.81</v>
      </c>
      <c r="G67" s="40">
        <f t="shared" si="20"/>
        <v>305703.49</v>
      </c>
      <c r="H67" s="40">
        <f t="shared" si="20"/>
        <v>320179.39</v>
      </c>
      <c r="I67" s="40">
        <f t="shared" si="20"/>
        <v>341569.91</v>
      </c>
      <c r="J67" s="40">
        <f t="shared" si="20"/>
        <v>329061.49</v>
      </c>
      <c r="K67" s="40">
        <f t="shared" si="20"/>
        <v>334674.43</v>
      </c>
      <c r="L67" s="40">
        <f t="shared" si="20"/>
        <v>369520.61</v>
      </c>
    </row>
    <row r="69" spans="1:13" x14ac:dyDescent="0.35">
      <c r="B69" s="33" t="s">
        <v>87</v>
      </c>
      <c r="C69" t="b">
        <f>C67=C54</f>
        <v>1</v>
      </c>
      <c r="D69" t="b">
        <f t="shared" ref="D69:L69" si="21">D67=D54</f>
        <v>1</v>
      </c>
      <c r="E69" t="b">
        <f t="shared" si="21"/>
        <v>1</v>
      </c>
      <c r="F69" t="b">
        <f t="shared" si="21"/>
        <v>1</v>
      </c>
      <c r="G69" t="b">
        <f t="shared" si="21"/>
        <v>1</v>
      </c>
      <c r="H69" t="b">
        <f t="shared" si="21"/>
        <v>1</v>
      </c>
      <c r="I69" t="b">
        <f t="shared" si="21"/>
        <v>1</v>
      </c>
      <c r="J69" t="b">
        <f t="shared" si="21"/>
        <v>1</v>
      </c>
      <c r="K69" t="b">
        <f t="shared" si="21"/>
        <v>1</v>
      </c>
      <c r="L69" t="b">
        <f t="shared" si="21"/>
        <v>1</v>
      </c>
    </row>
    <row r="71" spans="1:13" x14ac:dyDescent="0.35">
      <c r="A71" t="s">
        <v>57</v>
      </c>
      <c r="B71" s="18" t="s">
        <v>88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x14ac:dyDescent="0.35">
      <c r="B72" s="12" t="s">
        <v>118</v>
      </c>
    </row>
    <row r="73" spans="1:13" x14ac:dyDescent="0.35">
      <c r="B73" t="s">
        <v>91</v>
      </c>
      <c r="C73" s="32">
        <f>IFERROR('Cash Flow Data'!C4,0)</f>
        <v>43397</v>
      </c>
      <c r="D73" s="32">
        <f>IFERROR('Cash Flow Data'!D4,0)</f>
        <v>38626</v>
      </c>
      <c r="E73" s="32">
        <f>IFERROR('Cash Flow Data'!E4,0)</f>
        <v>28840</v>
      </c>
      <c r="F73" s="32">
        <f>IFERROR('Cash Flow Data'!F4,0)</f>
        <v>33312</v>
      </c>
      <c r="G73" s="32">
        <f>IFERROR('Cash Flow Data'!G4,0)</f>
        <v>28771</v>
      </c>
      <c r="H73" s="32">
        <f>IFERROR('Cash Flow Data'!H4,0)</f>
        <v>23352</v>
      </c>
      <c r="I73" s="32">
        <f>IFERROR('Cash Flow Data'!I4,0)</f>
        <v>31198</v>
      </c>
      <c r="J73" s="32">
        <f>IFERROR('Cash Flow Data'!J4,0)</f>
        <v>26943</v>
      </c>
      <c r="K73" s="32">
        <f>IFERROR('Cash Flow Data'!K4,0)</f>
        <v>41694</v>
      </c>
      <c r="L73" s="32">
        <f>IFERROR('Cash Flow Data'!L4,0)</f>
        <v>65106</v>
      </c>
      <c r="M73" s="32"/>
    </row>
    <row r="74" spans="1:13" x14ac:dyDescent="0.35">
      <c r="B74" t="s">
        <v>14</v>
      </c>
      <c r="C74" s="32">
        <f>IFERROR('Cash Flow Data'!C5,0)</f>
        <v>-3179</v>
      </c>
      <c r="D74" s="32">
        <f>IFERROR('Cash Flow Data'!D5,0)</f>
        <v>-2223</v>
      </c>
      <c r="E74" s="32">
        <f>IFERROR('Cash Flow Data'!E5,0)</f>
        <v>-4152</v>
      </c>
      <c r="F74" s="32">
        <f>IFERROR('Cash Flow Data'!F5,0)</f>
        <v>-10688</v>
      </c>
      <c r="G74" s="32">
        <f>IFERROR('Cash Flow Data'!G5,0)</f>
        <v>-9109</v>
      </c>
      <c r="H74" s="32">
        <f>IFERROR('Cash Flow Data'!H5,0)</f>
        <v>9950</v>
      </c>
      <c r="I74" s="32">
        <f>IFERROR('Cash Flow Data'!I5,0)</f>
        <v>-5505</v>
      </c>
      <c r="J74" s="32">
        <f>IFERROR('Cash Flow Data'!J5,0)</f>
        <v>185</v>
      </c>
      <c r="K74" s="32">
        <f>IFERROR('Cash Flow Data'!K5,0)</f>
        <v>-2213</v>
      </c>
      <c r="L74" s="32">
        <f>IFERROR('Cash Flow Data'!L5,0)</f>
        <v>-1875</v>
      </c>
      <c r="M74" s="32"/>
    </row>
    <row r="75" spans="1:13" x14ac:dyDescent="0.35">
      <c r="B75" t="s">
        <v>13</v>
      </c>
      <c r="C75" s="32">
        <f>IFERROR('Cash Flow Data'!C6,0)</f>
        <v>-3692</v>
      </c>
      <c r="D75" s="32">
        <f>IFERROR('Cash Flow Data'!D6,0)</f>
        <v>-5743</v>
      </c>
      <c r="E75" s="32">
        <f>IFERROR('Cash Flow Data'!E6,0)</f>
        <v>-6621</v>
      </c>
      <c r="F75" s="32">
        <f>IFERROR('Cash Flow Data'!F6,0)</f>
        <v>-3560</v>
      </c>
      <c r="G75" s="32">
        <f>IFERROR('Cash Flow Data'!G6,0)</f>
        <v>2069</v>
      </c>
      <c r="H75" s="32">
        <f>IFERROR('Cash Flow Data'!H6,0)</f>
        <v>2326</v>
      </c>
      <c r="I75" s="32">
        <f>IFERROR('Cash Flow Data'!I6,0)</f>
        <v>3814</v>
      </c>
      <c r="J75" s="32">
        <f>IFERROR('Cash Flow Data'!J6,0)</f>
        <v>472</v>
      </c>
      <c r="K75" s="32">
        <f>IFERROR('Cash Flow Data'!K6,0)</f>
        <v>-5665</v>
      </c>
      <c r="L75" s="32">
        <f>IFERROR('Cash Flow Data'!L6,0)</f>
        <v>-7265</v>
      </c>
      <c r="M75" s="32"/>
    </row>
    <row r="76" spans="1:13" x14ac:dyDescent="0.35">
      <c r="B76" t="s">
        <v>92</v>
      </c>
      <c r="C76" s="32">
        <f>IFERROR('Cash Flow Data'!C7,0)</f>
        <v>3598</v>
      </c>
      <c r="D76" s="32">
        <f>IFERROR('Cash Flow Data'!D7,0)</f>
        <v>3947</v>
      </c>
      <c r="E76" s="32">
        <f>IFERROR('Cash Flow Data'!E7,0)</f>
        <v>9301</v>
      </c>
      <c r="F76" s="32">
        <f>IFERROR('Cash Flow Data'!F7,0)</f>
        <v>7320</v>
      </c>
      <c r="G76" s="32">
        <f>IFERROR('Cash Flow Data'!G7,0)</f>
        <v>-4692</v>
      </c>
      <c r="H76" s="32">
        <f>IFERROR('Cash Flow Data'!H7,0)</f>
        <v>-8085</v>
      </c>
      <c r="I76" s="32">
        <f>IFERROR('Cash Flow Data'!I7,0)</f>
        <v>5748</v>
      </c>
      <c r="J76" s="32">
        <f>IFERROR('Cash Flow Data'!J7,0)</f>
        <v>-7012</v>
      </c>
      <c r="K76" s="32">
        <f>IFERROR('Cash Flow Data'!K7,0)</f>
        <v>6945</v>
      </c>
      <c r="L76" s="32">
        <f>IFERROR('Cash Flow Data'!L7,0)</f>
        <v>13706</v>
      </c>
      <c r="M76" s="32"/>
    </row>
    <row r="77" spans="1:13" x14ac:dyDescent="0.35">
      <c r="B77" t="s">
        <v>93</v>
      </c>
      <c r="C77" s="32">
        <f>IFERROR('Cash Flow Data'!C8,0)</f>
        <v>0</v>
      </c>
      <c r="D77" s="32">
        <f>IFERROR('Cash Flow Data'!D8,0)</f>
        <v>-520</v>
      </c>
      <c r="E77" s="32">
        <f>IFERROR('Cash Flow Data'!E8,0)</f>
        <v>0</v>
      </c>
      <c r="F77" s="32">
        <f>IFERROR('Cash Flow Data'!F8,0)</f>
        <v>0</v>
      </c>
      <c r="G77" s="32">
        <f>IFERROR('Cash Flow Data'!G8,0)</f>
        <v>0</v>
      </c>
      <c r="H77" s="32">
        <f>IFERROR('Cash Flow Data'!H8,0)</f>
        <v>0</v>
      </c>
      <c r="I77" s="32">
        <f>IFERROR('Cash Flow Data'!I8,0)</f>
        <v>0</v>
      </c>
      <c r="J77" s="32">
        <f>IFERROR('Cash Flow Data'!J8,0)</f>
        <v>0</v>
      </c>
      <c r="K77" s="32">
        <f>IFERROR('Cash Flow Data'!K8,0)</f>
        <v>0</v>
      </c>
      <c r="L77" s="32">
        <f>IFERROR('Cash Flow Data'!L8,0)</f>
        <v>0</v>
      </c>
      <c r="M77" s="32"/>
    </row>
    <row r="78" spans="1:13" x14ac:dyDescent="0.35">
      <c r="B78" t="s">
        <v>94</v>
      </c>
      <c r="C78" s="32">
        <f>IFERROR('Cash Flow Data'!C9,0)</f>
        <v>-398</v>
      </c>
      <c r="D78" s="32">
        <f>IFERROR('Cash Flow Data'!D9,0)</f>
        <v>5852</v>
      </c>
      <c r="E78" s="32">
        <f>IFERROR('Cash Flow Data'!E9,0)</f>
        <v>4727</v>
      </c>
      <c r="F78" s="32">
        <f>IFERROR('Cash Flow Data'!F9,0)</f>
        <v>494</v>
      </c>
      <c r="G78" s="32">
        <f>IFERROR('Cash Flow Data'!G9,0)</f>
        <v>4512</v>
      </c>
      <c r="H78" s="32">
        <f>IFERROR('Cash Flow Data'!H9,0)</f>
        <v>875</v>
      </c>
      <c r="I78" s="32">
        <f>IFERROR('Cash Flow Data'!I9,0)</f>
        <v>-4150</v>
      </c>
      <c r="J78" s="32">
        <f>IFERROR('Cash Flow Data'!J9,0)</f>
        <v>-4396</v>
      </c>
      <c r="K78" s="32">
        <f>IFERROR('Cash Flow Data'!K9,0)</f>
        <v>-2194</v>
      </c>
      <c r="L78" s="32">
        <f>IFERROR('Cash Flow Data'!L9,0)</f>
        <v>2760</v>
      </c>
      <c r="M78" s="32"/>
    </row>
    <row r="79" spans="1:13" x14ac:dyDescent="0.35">
      <c r="B79" t="s">
        <v>95</v>
      </c>
      <c r="C79" s="32">
        <f>IFERROR('Cash Flow Data'!C10,0)</f>
        <v>-3672</v>
      </c>
      <c r="D79" s="32">
        <f>IFERROR('Cash Flow Data'!D10,0)</f>
        <v>1313</v>
      </c>
      <c r="E79" s="32">
        <f>IFERROR('Cash Flow Data'!E10,0)</f>
        <v>3254</v>
      </c>
      <c r="F79" s="32">
        <f>IFERROR('Cash Flow Data'!F10,0)</f>
        <v>-6434</v>
      </c>
      <c r="G79" s="32">
        <f>IFERROR('Cash Flow Data'!G10,0)</f>
        <v>-7221</v>
      </c>
      <c r="H79" s="32">
        <f>IFERROR('Cash Flow Data'!H10,0)</f>
        <v>5065</v>
      </c>
      <c r="I79" s="32">
        <f>IFERROR('Cash Flow Data'!I10,0)</f>
        <v>-93</v>
      </c>
      <c r="J79" s="32">
        <f>IFERROR('Cash Flow Data'!J10,0)</f>
        <v>-10750</v>
      </c>
      <c r="K79" s="32">
        <f>IFERROR('Cash Flow Data'!K10,0)</f>
        <v>-3127</v>
      </c>
      <c r="L79" s="32">
        <f>IFERROR('Cash Flow Data'!L10,0)</f>
        <v>7325</v>
      </c>
      <c r="M79" s="32"/>
    </row>
    <row r="80" spans="1:13" x14ac:dyDescent="0.35">
      <c r="B80" t="s">
        <v>96</v>
      </c>
      <c r="C80" s="32">
        <f>IFERROR('Cash Flow Data'!C11,0)</f>
        <v>-4194</v>
      </c>
      <c r="D80" s="32">
        <f>IFERROR('Cash Flow Data'!D11,0)</f>
        <v>-2040</v>
      </c>
      <c r="E80" s="32">
        <f>IFERROR('Cash Flow Data'!E11,0)</f>
        <v>-1895</v>
      </c>
      <c r="F80" s="32">
        <f>IFERROR('Cash Flow Data'!F11,0)</f>
        <v>-3021</v>
      </c>
      <c r="G80" s="32">
        <f>IFERROR('Cash Flow Data'!G11,0)</f>
        <v>-2659</v>
      </c>
      <c r="H80" s="32">
        <f>IFERROR('Cash Flow Data'!H11,0)</f>
        <v>-1785</v>
      </c>
      <c r="I80" s="32">
        <f>IFERROR('Cash Flow Data'!I11,0)</f>
        <v>-2105</v>
      </c>
      <c r="J80" s="32">
        <f>IFERROR('Cash Flow Data'!J11,0)</f>
        <v>-1910</v>
      </c>
      <c r="K80" s="32">
        <f>IFERROR('Cash Flow Data'!K11,0)</f>
        <v>-3179</v>
      </c>
      <c r="L80" s="32">
        <f>IFERROR('Cash Flow Data'!L11,0)</f>
        <v>-4516</v>
      </c>
      <c r="M80" s="32"/>
    </row>
    <row r="81" spans="2:12" x14ac:dyDescent="0.35">
      <c r="B81" s="39" t="s">
        <v>89</v>
      </c>
      <c r="C81" s="40">
        <f>IFERROR(SUM(C73:C80),0)</f>
        <v>31860</v>
      </c>
      <c r="D81" s="40">
        <f t="shared" ref="D81:L81" si="22">IFERROR(SUM(D73:D80),0)</f>
        <v>39212</v>
      </c>
      <c r="E81" s="40">
        <f t="shared" si="22"/>
        <v>33454</v>
      </c>
      <c r="F81" s="40">
        <f t="shared" si="22"/>
        <v>17423</v>
      </c>
      <c r="G81" s="40">
        <f t="shared" si="22"/>
        <v>11671</v>
      </c>
      <c r="H81" s="40">
        <f t="shared" si="22"/>
        <v>31698</v>
      </c>
      <c r="I81" s="40">
        <f t="shared" si="22"/>
        <v>28907</v>
      </c>
      <c r="J81" s="40">
        <f t="shared" si="22"/>
        <v>3532</v>
      </c>
      <c r="K81" s="40">
        <f t="shared" si="22"/>
        <v>32261</v>
      </c>
      <c r="L81" s="40">
        <f t="shared" si="22"/>
        <v>75241</v>
      </c>
    </row>
    <row r="83" spans="2:12" x14ac:dyDescent="0.35">
      <c r="B83" s="12" t="s">
        <v>119</v>
      </c>
    </row>
    <row r="84" spans="2:12" x14ac:dyDescent="0.35">
      <c r="B84" t="s">
        <v>98</v>
      </c>
      <c r="C84" s="32">
        <f>IFERROR('Cash Flow Data'!C13,0)</f>
        <v>-31962</v>
      </c>
      <c r="D84" s="32">
        <f>IFERROR('Cash Flow Data'!D13,0)</f>
        <v>-31503</v>
      </c>
      <c r="E84" s="32">
        <f>IFERROR('Cash Flow Data'!E13,0)</f>
        <v>-16072</v>
      </c>
      <c r="F84" s="32">
        <f>IFERROR('Cash Flow Data'!F13,0)</f>
        <v>-35079</v>
      </c>
      <c r="G84" s="32">
        <f>IFERROR('Cash Flow Data'!G13,0)</f>
        <v>-35304</v>
      </c>
      <c r="H84" s="32">
        <f>IFERROR('Cash Flow Data'!H13,0)</f>
        <v>-29702</v>
      </c>
      <c r="I84" s="32">
        <f>IFERROR('Cash Flow Data'!I13,0)</f>
        <v>-20205</v>
      </c>
      <c r="J84" s="32">
        <f>IFERROR('Cash Flow Data'!J13,0)</f>
        <v>-15168</v>
      </c>
      <c r="K84" s="32">
        <f>IFERROR('Cash Flow Data'!K13,0)</f>
        <v>-19230</v>
      </c>
      <c r="L84" s="32">
        <f>IFERROR('Cash Flow Data'!L13,0)</f>
        <v>-31414</v>
      </c>
    </row>
    <row r="85" spans="2:12" x14ac:dyDescent="0.35">
      <c r="B85" t="s">
        <v>99</v>
      </c>
      <c r="C85" s="32">
        <f>IFERROR('Cash Flow Data'!C14,0)</f>
        <v>74</v>
      </c>
      <c r="D85" s="32">
        <f>IFERROR('Cash Flow Data'!D14,0)</f>
        <v>59</v>
      </c>
      <c r="E85" s="32">
        <f>IFERROR('Cash Flow Data'!E14,0)</f>
        <v>53</v>
      </c>
      <c r="F85" s="32">
        <f>IFERROR('Cash Flow Data'!F14,0)</f>
        <v>30</v>
      </c>
      <c r="G85" s="32">
        <f>IFERROR('Cash Flow Data'!G14,0)</f>
        <v>67</v>
      </c>
      <c r="H85" s="32">
        <f>IFERROR('Cash Flow Data'!H14,0)</f>
        <v>171</v>
      </c>
      <c r="I85" s="32">
        <f>IFERROR('Cash Flow Data'!I14,0)</f>
        <v>351</v>
      </c>
      <c r="J85" s="32">
        <f>IFERROR('Cash Flow Data'!J14,0)</f>
        <v>230</v>
      </c>
      <c r="K85" s="32">
        <f>IFERROR('Cash Flow Data'!K14,0)</f>
        <v>285</v>
      </c>
      <c r="L85" s="32">
        <f>IFERROR('Cash Flow Data'!L14,0)</f>
        <v>231</v>
      </c>
    </row>
    <row r="86" spans="2:12" x14ac:dyDescent="0.35">
      <c r="B86" t="s">
        <v>100</v>
      </c>
      <c r="C86" s="32">
        <f>IFERROR('Cash Flow Data'!C15,0)</f>
        <v>-5461</v>
      </c>
      <c r="D86" s="32">
        <f>IFERROR('Cash Flow Data'!D15,0)</f>
        <v>-4728</v>
      </c>
      <c r="E86" s="32">
        <f>IFERROR('Cash Flow Data'!E15,0)</f>
        <v>-6</v>
      </c>
      <c r="F86" s="32">
        <f>IFERROR('Cash Flow Data'!F15,0)</f>
        <v>-329</v>
      </c>
      <c r="G86" s="32">
        <f>IFERROR('Cash Flow Data'!G15,0)</f>
        <v>-130</v>
      </c>
      <c r="H86" s="32">
        <f>IFERROR('Cash Flow Data'!H15,0)</f>
        <v>-1439</v>
      </c>
      <c r="I86" s="32">
        <f>IFERROR('Cash Flow Data'!I15,0)</f>
        <v>-7530</v>
      </c>
      <c r="J86" s="32">
        <f>IFERROR('Cash Flow Data'!J15,0)</f>
        <v>-3008</v>
      </c>
      <c r="K86" s="32">
        <f>IFERROR('Cash Flow Data'!K15,0)</f>
        <v>-50</v>
      </c>
      <c r="L86" s="32">
        <f>IFERROR('Cash Flow Data'!L15,0)</f>
        <v>-74</v>
      </c>
    </row>
    <row r="87" spans="2:12" x14ac:dyDescent="0.35">
      <c r="B87" t="s">
        <v>101</v>
      </c>
      <c r="C87" s="32">
        <f>IFERROR('Cash Flow Data'!C16,0)</f>
        <v>42</v>
      </c>
      <c r="D87" s="32">
        <f>IFERROR('Cash Flow Data'!D16,0)</f>
        <v>89</v>
      </c>
      <c r="E87" s="32">
        <f>IFERROR('Cash Flow Data'!E16,0)</f>
        <v>1965</v>
      </c>
      <c r="F87" s="32">
        <f>IFERROR('Cash Flow Data'!F16,0)</f>
        <v>2381</v>
      </c>
      <c r="G87" s="32">
        <f>IFERROR('Cash Flow Data'!G16,0)</f>
        <v>5644</v>
      </c>
      <c r="H87" s="32">
        <f>IFERROR('Cash Flow Data'!H16,0)</f>
        <v>21</v>
      </c>
      <c r="I87" s="32">
        <f>IFERROR('Cash Flow Data'!I16,0)</f>
        <v>226</v>
      </c>
      <c r="J87" s="32">
        <f>IFERROR('Cash Flow Data'!J16,0)</f>
        <v>104</v>
      </c>
      <c r="K87" s="32">
        <f>IFERROR('Cash Flow Data'!K16,0)</f>
        <v>6895</v>
      </c>
      <c r="L87" s="32">
        <f>IFERROR('Cash Flow Data'!L16,0)</f>
        <v>10820</v>
      </c>
    </row>
    <row r="88" spans="2:12" x14ac:dyDescent="0.35">
      <c r="B88" t="s">
        <v>102</v>
      </c>
      <c r="C88" s="32">
        <f>IFERROR('Cash Flow Data'!C17,0)</f>
        <v>698</v>
      </c>
      <c r="D88" s="32">
        <f>IFERROR('Cash Flow Data'!D17,0)</f>
        <v>731</v>
      </c>
      <c r="E88" s="32">
        <f>IFERROR('Cash Flow Data'!E17,0)</f>
        <v>638</v>
      </c>
      <c r="F88" s="32">
        <f>IFERROR('Cash Flow Data'!F17,0)</f>
        <v>690</v>
      </c>
      <c r="G88" s="32">
        <f>IFERROR('Cash Flow Data'!G17,0)</f>
        <v>761</v>
      </c>
      <c r="H88" s="32">
        <f>IFERROR('Cash Flow Data'!H17,0)</f>
        <v>1104</v>
      </c>
      <c r="I88" s="32">
        <f>IFERROR('Cash Flow Data'!I17,0)</f>
        <v>428</v>
      </c>
      <c r="J88" s="32">
        <f>IFERROR('Cash Flow Data'!J17,0)</f>
        <v>653</v>
      </c>
      <c r="K88" s="32">
        <f>IFERROR('Cash Flow Data'!K17,0)</f>
        <v>973</v>
      </c>
      <c r="L88" s="32">
        <f>IFERROR('Cash Flow Data'!L17,0)</f>
        <v>2493</v>
      </c>
    </row>
    <row r="89" spans="2:12" x14ac:dyDescent="0.35">
      <c r="B89" t="s">
        <v>103</v>
      </c>
      <c r="C89" s="32">
        <f>IFERROR('Cash Flow Data'!C18,0)</f>
        <v>80</v>
      </c>
      <c r="D89" s="32">
        <f>IFERROR('Cash Flow Data'!D18,0)</f>
        <v>58</v>
      </c>
      <c r="E89" s="32">
        <f>IFERROR('Cash Flow Data'!E18,0)</f>
        <v>620</v>
      </c>
      <c r="F89" s="32">
        <f>IFERROR('Cash Flow Data'!F18,0)</f>
        <v>1797</v>
      </c>
      <c r="G89" s="32">
        <f>IFERROR('Cash Flow Data'!G18,0)</f>
        <v>232</v>
      </c>
      <c r="H89" s="32">
        <f>IFERROR('Cash Flow Data'!H18,0)</f>
        <v>21</v>
      </c>
      <c r="I89" s="32">
        <f>IFERROR('Cash Flow Data'!I18,0)</f>
        <v>18</v>
      </c>
      <c r="J89" s="32">
        <f>IFERROR('Cash Flow Data'!J18,0)</f>
        <v>32</v>
      </c>
      <c r="K89" s="32">
        <f>IFERROR('Cash Flow Data'!K18,0)</f>
        <v>46</v>
      </c>
      <c r="L89" s="32">
        <f>IFERROR('Cash Flow Data'!L18,0)</f>
        <v>47</v>
      </c>
    </row>
    <row r="90" spans="2:12" x14ac:dyDescent="0.35">
      <c r="B90" t="s">
        <v>104</v>
      </c>
      <c r="C90" s="32">
        <f>IFERROR('Cash Flow Data'!C19,0)</f>
        <v>-160</v>
      </c>
      <c r="D90" s="32">
        <f>IFERROR('Cash Flow Data'!D19,0)</f>
        <v>0</v>
      </c>
      <c r="E90" s="32">
        <f>IFERROR('Cash Flow Data'!E19,0)</f>
        <v>-107</v>
      </c>
      <c r="F90" s="32">
        <f>IFERROR('Cash Flow Data'!F19,0)</f>
        <v>-4</v>
      </c>
      <c r="G90" s="32">
        <f>IFERROR('Cash Flow Data'!G19,0)</f>
        <v>-9</v>
      </c>
      <c r="H90" s="32">
        <f>IFERROR('Cash Flow Data'!H19,0)</f>
        <v>-606</v>
      </c>
      <c r="I90" s="32">
        <f>IFERROR('Cash Flow Data'!I19,0)</f>
        <v>-10</v>
      </c>
      <c r="J90" s="32">
        <f>IFERROR('Cash Flow Data'!J19,0)</f>
        <v>0</v>
      </c>
      <c r="K90" s="32">
        <f>IFERROR('Cash Flow Data'!K19,0)</f>
        <v>0</v>
      </c>
      <c r="L90" s="32">
        <f>IFERROR('Cash Flow Data'!L19,0)</f>
        <v>-150</v>
      </c>
    </row>
    <row r="91" spans="2:12" x14ac:dyDescent="0.35">
      <c r="B91" t="s">
        <v>105</v>
      </c>
      <c r="C91" s="32">
        <f>IFERROR('Cash Flow Data'!C20,0)</f>
        <v>0</v>
      </c>
      <c r="D91" s="32">
        <f>IFERROR('Cash Flow Data'!D20,0)</f>
        <v>0</v>
      </c>
      <c r="E91" s="32">
        <f>IFERROR('Cash Flow Data'!E20,0)</f>
        <v>0</v>
      </c>
      <c r="F91" s="32">
        <f>IFERROR('Cash Flow Data'!F20,0)</f>
        <v>14</v>
      </c>
      <c r="G91" s="32">
        <f>IFERROR('Cash Flow Data'!G20,0)</f>
        <v>533</v>
      </c>
      <c r="H91" s="32">
        <f>IFERROR('Cash Flow Data'!H20,0)</f>
        <v>0</v>
      </c>
      <c r="I91" s="32">
        <f>IFERROR('Cash Flow Data'!I20,0)</f>
        <v>0</v>
      </c>
      <c r="J91" s="32">
        <f>IFERROR('Cash Flow Data'!J20,0)</f>
        <v>0</v>
      </c>
      <c r="K91" s="32">
        <f>IFERROR('Cash Flow Data'!K20,0)</f>
        <v>19</v>
      </c>
      <c r="L91" s="32">
        <f>IFERROR('Cash Flow Data'!L20,0)</f>
        <v>108</v>
      </c>
    </row>
    <row r="92" spans="2:12" x14ac:dyDescent="0.35">
      <c r="B92" t="s">
        <v>106</v>
      </c>
      <c r="C92" s="32">
        <f>IFERROR('Cash Flow Data'!C21,0)</f>
        <v>0</v>
      </c>
      <c r="D92" s="32">
        <f>IFERROR('Cash Flow Data'!D21,0)</f>
        <v>-111</v>
      </c>
      <c r="E92" s="32">
        <f>IFERROR('Cash Flow Data'!E21,0)</f>
        <v>0</v>
      </c>
      <c r="F92" s="32">
        <f>IFERROR('Cash Flow Data'!F21,0)</f>
        <v>0</v>
      </c>
      <c r="G92" s="32">
        <f>IFERROR('Cash Flow Data'!G21,0)</f>
        <v>-8</v>
      </c>
      <c r="H92" s="32">
        <f>IFERROR('Cash Flow Data'!H21,0)</f>
        <v>-27</v>
      </c>
      <c r="I92" s="32">
        <f>IFERROR('Cash Flow Data'!I21,0)</f>
        <v>0</v>
      </c>
      <c r="J92" s="32">
        <f>IFERROR('Cash Flow Data'!J21,0)</f>
        <v>-98</v>
      </c>
      <c r="K92" s="32">
        <f>IFERROR('Cash Flow Data'!K21,0)</f>
        <v>0</v>
      </c>
      <c r="L92" s="32">
        <f>IFERROR('Cash Flow Data'!L21,0)</f>
        <v>0</v>
      </c>
    </row>
    <row r="93" spans="2:12" x14ac:dyDescent="0.35">
      <c r="B93" t="s">
        <v>107</v>
      </c>
      <c r="C93" s="32">
        <f>IFERROR('Cash Flow Data'!C22,0)</f>
        <v>0</v>
      </c>
      <c r="D93" s="32">
        <f>IFERROR('Cash Flow Data'!D22,0)</f>
        <v>0</v>
      </c>
      <c r="E93" s="32">
        <f>IFERROR('Cash Flow Data'!E22,0)</f>
        <v>0</v>
      </c>
      <c r="F93" s="32">
        <f>IFERROR('Cash Flow Data'!F22,0)</f>
        <v>0</v>
      </c>
      <c r="G93" s="32">
        <f>IFERROR('Cash Flow Data'!G22,0)</f>
        <v>0</v>
      </c>
      <c r="H93" s="32">
        <f>IFERROR('Cash Flow Data'!H22,0)</f>
        <v>0</v>
      </c>
      <c r="I93" s="32">
        <f>IFERROR('Cash Flow Data'!I22,0)</f>
        <v>0</v>
      </c>
      <c r="J93" s="32">
        <f>IFERROR('Cash Flow Data'!J22,0)</f>
        <v>0</v>
      </c>
      <c r="K93" s="32">
        <f>IFERROR('Cash Flow Data'!K22,0)</f>
        <v>0</v>
      </c>
      <c r="L93" s="32">
        <f>IFERROR('Cash Flow Data'!L22,0)</f>
        <v>-24</v>
      </c>
    </row>
    <row r="94" spans="2:12" x14ac:dyDescent="0.35">
      <c r="B94" t="s">
        <v>108</v>
      </c>
      <c r="C94" s="32">
        <f>IFERROR('Cash Flow Data'!C23,0)</f>
        <v>456</v>
      </c>
      <c r="D94" s="32">
        <f>IFERROR('Cash Flow Data'!D23,0)</f>
        <v>-1289</v>
      </c>
      <c r="E94" s="32">
        <f>IFERROR('Cash Flow Data'!E23,0)</f>
        <v>-26663</v>
      </c>
      <c r="F94" s="32">
        <f>IFERROR('Cash Flow Data'!F23,0)</f>
        <v>5360</v>
      </c>
      <c r="G94" s="32">
        <f>IFERROR('Cash Flow Data'!G23,0)</f>
        <v>7335</v>
      </c>
      <c r="H94" s="32">
        <f>IFERROR('Cash Flow Data'!H23,0)</f>
        <v>-2659</v>
      </c>
      <c r="I94" s="32">
        <f>IFERROR('Cash Flow Data'!I23,0)</f>
        <v>1051</v>
      </c>
      <c r="J94" s="32">
        <f>IFERROR('Cash Flow Data'!J23,0)</f>
        <v>12813</v>
      </c>
      <c r="K94" s="32">
        <f>IFERROR('Cash Flow Data'!K23,0)</f>
        <v>-4357</v>
      </c>
      <c r="L94" s="32">
        <f>IFERROR('Cash Flow Data'!L23,0)</f>
        <v>-4817</v>
      </c>
    </row>
    <row r="95" spans="2:12" x14ac:dyDescent="0.35">
      <c r="B95" s="39" t="s">
        <v>120</v>
      </c>
      <c r="C95" s="41">
        <f>IFERROR(SUM(C84:C94),0)</f>
        <v>-36233</v>
      </c>
      <c r="D95" s="41">
        <f t="shared" ref="D95:L95" si="23">IFERROR(SUM(D84:D94),0)</f>
        <v>-36694</v>
      </c>
      <c r="E95" s="41">
        <f t="shared" si="23"/>
        <v>-39572</v>
      </c>
      <c r="F95" s="41">
        <f t="shared" si="23"/>
        <v>-25140</v>
      </c>
      <c r="G95" s="41">
        <f t="shared" si="23"/>
        <v>-20879</v>
      </c>
      <c r="H95" s="41">
        <f t="shared" si="23"/>
        <v>-33116</v>
      </c>
      <c r="I95" s="41">
        <f t="shared" si="23"/>
        <v>-25671</v>
      </c>
      <c r="J95" s="41">
        <f t="shared" si="23"/>
        <v>-4442</v>
      </c>
      <c r="K95" s="41">
        <f t="shared" si="23"/>
        <v>-15419</v>
      </c>
      <c r="L95" s="41">
        <f t="shared" si="23"/>
        <v>-22780</v>
      </c>
    </row>
    <row r="97" spans="2:12" x14ac:dyDescent="0.35">
      <c r="B97" s="12" t="s">
        <v>121</v>
      </c>
    </row>
    <row r="98" spans="2:12" x14ac:dyDescent="0.35">
      <c r="B98" t="s">
        <v>110</v>
      </c>
      <c r="C98" s="32">
        <f>IFERROR('Cash Flow Data'!C25,0)</f>
        <v>0</v>
      </c>
      <c r="D98" s="32">
        <f>IFERROR('Cash Flow Data'!D25,0)</f>
        <v>7433</v>
      </c>
      <c r="E98" s="32">
        <f>IFERROR('Cash Flow Data'!E25,0)</f>
        <v>5</v>
      </c>
      <c r="F98" s="32">
        <f>IFERROR('Cash Flow Data'!F25,0)</f>
        <v>0</v>
      </c>
      <c r="G98" s="32">
        <f>IFERROR('Cash Flow Data'!G25,0)</f>
        <v>0</v>
      </c>
      <c r="H98" s="32">
        <f>IFERROR('Cash Flow Data'!H25,0)</f>
        <v>3889</v>
      </c>
      <c r="I98" s="32">
        <f>IFERROR('Cash Flow Data'!I25,0)</f>
        <v>2603</v>
      </c>
      <c r="J98" s="32">
        <f>IFERROR('Cash Flow Data'!J25,0)</f>
        <v>19</v>
      </c>
      <c r="K98" s="32">
        <f>IFERROR('Cash Flow Data'!K25,0)</f>
        <v>20</v>
      </c>
      <c r="L98" s="32">
        <f>IFERROR('Cash Flow Data'!L25,0)</f>
        <v>82</v>
      </c>
    </row>
    <row r="99" spans="2:12" x14ac:dyDescent="0.35">
      <c r="B99" t="s">
        <v>111</v>
      </c>
      <c r="C99" s="32">
        <f>IFERROR('Cash Flow Data'!C26,0)</f>
        <v>-744</v>
      </c>
      <c r="D99" s="32">
        <f>IFERROR('Cash Flow Data'!D26,0)</f>
        <v>0</v>
      </c>
      <c r="E99" s="32">
        <f>IFERROR('Cash Flow Data'!E26,0)</f>
        <v>0</v>
      </c>
      <c r="F99" s="32">
        <f>IFERROR('Cash Flow Data'!F26,0)</f>
        <v>0</v>
      </c>
      <c r="G99" s="32">
        <f>IFERROR('Cash Flow Data'!G26,0)</f>
        <v>0</v>
      </c>
      <c r="H99" s="32">
        <f>IFERROR('Cash Flow Data'!H26,0)</f>
        <v>0</v>
      </c>
      <c r="I99" s="32">
        <f>IFERROR('Cash Flow Data'!I26,0)</f>
        <v>0</v>
      </c>
      <c r="J99" s="32">
        <f>IFERROR('Cash Flow Data'!J26,0)</f>
        <v>0</v>
      </c>
      <c r="K99" s="32">
        <f>IFERROR('Cash Flow Data'!K26,0)</f>
        <v>0</v>
      </c>
      <c r="L99" s="32">
        <f>IFERROR('Cash Flow Data'!L26,0)</f>
        <v>0</v>
      </c>
    </row>
    <row r="100" spans="2:12" x14ac:dyDescent="0.35">
      <c r="B100" t="s">
        <v>112</v>
      </c>
      <c r="C100" s="32">
        <f>IFERROR('Cash Flow Data'!C27,0)</f>
        <v>36363</v>
      </c>
      <c r="D100" s="32">
        <f>IFERROR('Cash Flow Data'!D27,0)</f>
        <v>19519</v>
      </c>
      <c r="E100" s="32">
        <f>IFERROR('Cash Flow Data'!E27,0)</f>
        <v>33390</v>
      </c>
      <c r="F100" s="32">
        <f>IFERROR('Cash Flow Data'!F27,0)</f>
        <v>37482</v>
      </c>
      <c r="G100" s="32">
        <f>IFERROR('Cash Flow Data'!G27,0)</f>
        <v>51128</v>
      </c>
      <c r="H100" s="32">
        <f>IFERROR('Cash Flow Data'!H27,0)</f>
        <v>38297</v>
      </c>
      <c r="I100" s="32">
        <f>IFERROR('Cash Flow Data'!I27,0)</f>
        <v>46641</v>
      </c>
      <c r="J100" s="32">
        <f>IFERROR('Cash Flow Data'!J27,0)</f>
        <v>46578</v>
      </c>
      <c r="K100" s="32">
        <f>IFERROR('Cash Flow Data'!K27,0)</f>
        <v>43934</v>
      </c>
      <c r="L100" s="32">
        <f>IFERROR('Cash Flow Data'!L27,0)</f>
        <v>18747</v>
      </c>
    </row>
    <row r="101" spans="2:12" x14ac:dyDescent="0.35">
      <c r="B101" t="s">
        <v>113</v>
      </c>
      <c r="C101" s="32">
        <f>IFERROR('Cash Flow Data'!C28,0)</f>
        <v>-23332</v>
      </c>
      <c r="D101" s="32">
        <f>IFERROR('Cash Flow Data'!D28,0)</f>
        <v>-24924</v>
      </c>
      <c r="E101" s="32">
        <f>IFERROR('Cash Flow Data'!E28,0)</f>
        <v>-21732</v>
      </c>
      <c r="F101" s="32">
        <f>IFERROR('Cash Flow Data'!F28,0)</f>
        <v>-29964</v>
      </c>
      <c r="G101" s="32">
        <f>IFERROR('Cash Flow Data'!G28,0)</f>
        <v>-35198</v>
      </c>
      <c r="H101" s="32">
        <f>IFERROR('Cash Flow Data'!H28,0)</f>
        <v>-29847</v>
      </c>
      <c r="I101" s="32">
        <f>IFERROR('Cash Flow Data'!I28,0)</f>
        <v>-29709</v>
      </c>
      <c r="J101" s="32">
        <f>IFERROR('Cash Flow Data'!J28,0)</f>
        <v>-42816</v>
      </c>
      <c r="K101" s="32">
        <f>IFERROR('Cash Flow Data'!K28,0)</f>
        <v>-62557</v>
      </c>
      <c r="L101" s="32">
        <f>IFERROR('Cash Flow Data'!L28,0)</f>
        <v>-47332</v>
      </c>
    </row>
    <row r="102" spans="2:12" x14ac:dyDescent="0.35">
      <c r="B102" t="s">
        <v>114</v>
      </c>
      <c r="C102" s="32">
        <f>IFERROR('Cash Flow Data'!C29,0)</f>
        <v>-6307</v>
      </c>
      <c r="D102" s="32">
        <f>IFERROR('Cash Flow Data'!D29,0)</f>
        <v>-5716</v>
      </c>
      <c r="E102" s="32">
        <f>IFERROR('Cash Flow Data'!E29,0)</f>
        <v>-5336</v>
      </c>
      <c r="F102" s="32">
        <f>IFERROR('Cash Flow Data'!F29,0)</f>
        <v>-5411</v>
      </c>
      <c r="G102" s="32">
        <f>IFERROR('Cash Flow Data'!G29,0)</f>
        <v>-7005</v>
      </c>
      <c r="H102" s="32">
        <f>IFERROR('Cash Flow Data'!H29,0)</f>
        <v>-7518</v>
      </c>
      <c r="I102" s="32">
        <f>IFERROR('Cash Flow Data'!I29,0)</f>
        <v>-8123</v>
      </c>
      <c r="J102" s="32">
        <f>IFERROR('Cash Flow Data'!J29,0)</f>
        <v>-9251</v>
      </c>
      <c r="K102" s="32">
        <f>IFERROR('Cash Flow Data'!K29,0)</f>
        <v>-9336</v>
      </c>
      <c r="L102" s="32">
        <f>IFERROR('Cash Flow Data'!L29,0)</f>
        <v>-9332</v>
      </c>
    </row>
    <row r="103" spans="2:12" x14ac:dyDescent="0.35">
      <c r="B103" t="s">
        <v>115</v>
      </c>
      <c r="C103" s="32">
        <f>IFERROR('Cash Flow Data'!C30,0)</f>
        <v>-720</v>
      </c>
      <c r="D103" s="32">
        <f>IFERROR('Cash Flow Data'!D30,0)</f>
        <v>-108</v>
      </c>
      <c r="E103" s="32">
        <f>IFERROR('Cash Flow Data'!E30,0)</f>
        <v>-121</v>
      </c>
      <c r="F103" s="32">
        <f>IFERROR('Cash Flow Data'!F30,0)</f>
        <v>-96</v>
      </c>
      <c r="G103" s="32">
        <f>IFERROR('Cash Flow Data'!G30,0)</f>
        <v>-95</v>
      </c>
      <c r="H103" s="32">
        <f>IFERROR('Cash Flow Data'!H30,0)</f>
        <v>-57</v>
      </c>
      <c r="I103" s="32">
        <f>IFERROR('Cash Flow Data'!I30,0)</f>
        <v>-30</v>
      </c>
      <c r="J103" s="32">
        <f>IFERROR('Cash Flow Data'!J30,0)</f>
        <v>-100</v>
      </c>
      <c r="K103" s="32">
        <f>IFERROR('Cash Flow Data'!K30,0)</f>
        <v>-141</v>
      </c>
      <c r="L103" s="32">
        <f>IFERROR('Cash Flow Data'!L30,0)</f>
        <v>-1059</v>
      </c>
    </row>
    <row r="104" spans="2:12" x14ac:dyDescent="0.35">
      <c r="B104" t="s">
        <v>116</v>
      </c>
      <c r="C104" s="32">
        <f>IFERROR('Cash Flow Data'!C31,0)</f>
        <v>0</v>
      </c>
      <c r="D104" s="32">
        <f>IFERROR('Cash Flow Data'!D31,0)</f>
        <v>0</v>
      </c>
      <c r="E104" s="32">
        <f>IFERROR('Cash Flow Data'!E31,0)</f>
        <v>0</v>
      </c>
      <c r="F104" s="32">
        <f>IFERROR('Cash Flow Data'!F31,0)</f>
        <v>0</v>
      </c>
      <c r="G104" s="32">
        <f>IFERROR('Cash Flow Data'!G31,0)</f>
        <v>0</v>
      </c>
      <c r="H104" s="32">
        <f>IFERROR('Cash Flow Data'!H31,0)</f>
        <v>-1346</v>
      </c>
      <c r="I104" s="32">
        <f>IFERROR('Cash Flow Data'!I31,0)</f>
        <v>-1477</v>
      </c>
      <c r="J104" s="32">
        <f>IFERROR('Cash Flow Data'!J31,0)</f>
        <v>-1559</v>
      </c>
      <c r="K104" s="32">
        <f>IFERROR('Cash Flow Data'!K31,0)</f>
        <v>-1517</v>
      </c>
      <c r="L104" s="32">
        <f>IFERROR('Cash Flow Data'!L31,0)</f>
        <v>-1924</v>
      </c>
    </row>
    <row r="105" spans="2:12" x14ac:dyDescent="0.35">
      <c r="B105" t="s">
        <v>117</v>
      </c>
      <c r="C105" s="32">
        <f>IFERROR('Cash Flow Data'!C32,0)</f>
        <v>-57</v>
      </c>
      <c r="D105" s="32">
        <f>IFERROR('Cash Flow Data'!D32,0)</f>
        <v>0</v>
      </c>
      <c r="E105" s="32">
        <f>IFERROR('Cash Flow Data'!E32,0)</f>
        <v>0</v>
      </c>
      <c r="F105" s="32">
        <f>IFERROR('Cash Flow Data'!F32,0)</f>
        <v>0</v>
      </c>
      <c r="G105" s="32">
        <f>IFERROR('Cash Flow Data'!G32,0)</f>
        <v>0</v>
      </c>
      <c r="H105" s="32">
        <f>IFERROR('Cash Flow Data'!H32,0)</f>
        <v>-29</v>
      </c>
      <c r="I105" s="32">
        <f>IFERROR('Cash Flow Data'!I32,0)</f>
        <v>0</v>
      </c>
      <c r="J105" s="32">
        <f>IFERROR('Cash Flow Data'!J32,0)</f>
        <v>3750</v>
      </c>
      <c r="K105" s="32">
        <f>IFERROR('Cash Flow Data'!K32,0)</f>
        <v>3355</v>
      </c>
      <c r="L105" s="32">
        <f>IFERROR('Cash Flow Data'!L32,0)</f>
        <v>3812</v>
      </c>
    </row>
    <row r="106" spans="2:12" x14ac:dyDescent="0.35">
      <c r="B106" s="39" t="s">
        <v>122</v>
      </c>
      <c r="C106" s="40">
        <f>IFERROR(SUM(C98:C105),0)</f>
        <v>5203</v>
      </c>
      <c r="D106" s="40">
        <f t="shared" ref="D106:L106" si="24">IFERROR(SUM(D98:D105),0)</f>
        <v>-3796</v>
      </c>
      <c r="E106" s="40">
        <f t="shared" si="24"/>
        <v>6206</v>
      </c>
      <c r="F106" s="40">
        <f t="shared" si="24"/>
        <v>2011</v>
      </c>
      <c r="G106" s="40">
        <f t="shared" si="24"/>
        <v>8830</v>
      </c>
      <c r="H106" s="40">
        <f t="shared" si="24"/>
        <v>3389</v>
      </c>
      <c r="I106" s="40">
        <f t="shared" si="24"/>
        <v>9905</v>
      </c>
      <c r="J106" s="40">
        <f t="shared" si="24"/>
        <v>-3379</v>
      </c>
      <c r="K106" s="40">
        <f t="shared" si="24"/>
        <v>-26242</v>
      </c>
      <c r="L106" s="40">
        <f t="shared" si="24"/>
        <v>-37006</v>
      </c>
    </row>
    <row r="108" spans="2:12" x14ac:dyDescent="0.35">
      <c r="B108" s="39" t="s">
        <v>3</v>
      </c>
      <c r="C108" s="40">
        <f>IFERROR(SUM(C81,C95,C106),0)</f>
        <v>830</v>
      </c>
      <c r="D108" s="40">
        <f t="shared" ref="D108:L108" si="25">IFERROR(SUM(D81,D95,D106),0)</f>
        <v>-1278</v>
      </c>
      <c r="E108" s="40">
        <f t="shared" si="25"/>
        <v>88</v>
      </c>
      <c r="F108" s="40">
        <f t="shared" si="25"/>
        <v>-5706</v>
      </c>
      <c r="G108" s="40">
        <f t="shared" si="25"/>
        <v>-378</v>
      </c>
      <c r="H108" s="40">
        <f t="shared" si="25"/>
        <v>1971</v>
      </c>
      <c r="I108" s="40">
        <f t="shared" si="25"/>
        <v>13141</v>
      </c>
      <c r="J108" s="40">
        <f t="shared" si="25"/>
        <v>-4289</v>
      </c>
      <c r="K108" s="40">
        <f t="shared" si="25"/>
        <v>-9400</v>
      </c>
      <c r="L108" s="40">
        <f t="shared" si="25"/>
        <v>15455</v>
      </c>
    </row>
  </sheetData>
  <sheetProtection algorithmName="SHA-512" hashValue="e3YAm46WivznvfRkSP067WWRcq8ptFg3fruNATlIuiiD3XF4ig27sBNUp86IE88FxG4U/yZKxoqhHRD9neVheg==" saltValue="VAmVPNUplz+ttL+45lpbIw==" spinCount="100000" sheet="1" objects="1" scenarios="1"/>
  <mergeCells count="1">
    <mergeCell ref="B3:M3"/>
  </mergeCells>
  <pageMargins left="0.7" right="0.7" top="0.75" bottom="0.75" header="0.3" footer="0.3"/>
  <pageSetup paperSize="9" scale="69" fitToHeight="0" orientation="landscape" r:id="rId1"/>
  <ignoredErrors>
    <ignoredError sqref="M11 C17:L17 M26 M32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B8D4-1B0E-4389-8790-E80855D8E3A8}">
  <sheetPr>
    <pageSetUpPr fitToPage="1"/>
  </sheetPr>
  <dimension ref="A3:O41"/>
  <sheetViews>
    <sheetView showGridLines="0" zoomScale="101" workbookViewId="0">
      <pane ySplit="4" topLeftCell="A5" activePane="bottomLeft" state="frozen"/>
      <selection activeCell="O5" sqref="O5"/>
      <selection pane="bottomLeft" activeCell="O5" sqref="O5"/>
    </sheetView>
  </sheetViews>
  <sheetFormatPr defaultRowHeight="14.5" x14ac:dyDescent="0.35"/>
  <cols>
    <col min="1" max="1" width="1.81640625" customWidth="1"/>
    <col min="2" max="2" width="25.36328125" customWidth="1"/>
    <col min="3" max="12" width="10" customWidth="1"/>
    <col min="13" max="13" width="14.26953125" style="29" customWidth="1"/>
    <col min="14" max="14" width="8.90625" bestFit="1" customWidth="1"/>
    <col min="15" max="15" width="10.453125" bestFit="1" customWidth="1"/>
  </cols>
  <sheetData>
    <row r="3" spans="1:15" x14ac:dyDescent="0.35">
      <c r="B3" s="68" t="str">
        <f>"Ratio Analysis - "&amp;'Data Sheet'!B1</f>
        <v>Ratio Analysis - TATA MOTORS LTD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x14ac:dyDescent="0.35">
      <c r="B4" s="9" t="s">
        <v>54</v>
      </c>
      <c r="C4" s="10">
        <f>'Data Sheet'!B16</f>
        <v>42094</v>
      </c>
      <c r="D4" s="10">
        <f>'Data Sheet'!C16</f>
        <v>42460</v>
      </c>
      <c r="E4" s="10">
        <f>'Data Sheet'!D16</f>
        <v>42825</v>
      </c>
      <c r="F4" s="10">
        <f>'Data Sheet'!E16</f>
        <v>43190</v>
      </c>
      <c r="G4" s="10">
        <f>'Data Sheet'!F16</f>
        <v>43555</v>
      </c>
      <c r="H4" s="10">
        <f>'Data Sheet'!G16</f>
        <v>43921</v>
      </c>
      <c r="I4" s="10">
        <f>'Data Sheet'!H16</f>
        <v>44286</v>
      </c>
      <c r="J4" s="10">
        <f>'Data Sheet'!I16</f>
        <v>44651</v>
      </c>
      <c r="K4" s="10">
        <f>'Data Sheet'!J16</f>
        <v>45016</v>
      </c>
      <c r="L4" s="10">
        <f>'Data Sheet'!K16</f>
        <v>45382</v>
      </c>
      <c r="M4" s="54" t="s">
        <v>153</v>
      </c>
      <c r="N4" s="11" t="s">
        <v>152</v>
      </c>
      <c r="O4" s="11" t="s">
        <v>158</v>
      </c>
    </row>
    <row r="6" spans="1:15" x14ac:dyDescent="0.35">
      <c r="A6" t="s">
        <v>57</v>
      </c>
      <c r="B6" s="42" t="s">
        <v>58</v>
      </c>
      <c r="C6" s="42"/>
      <c r="D6" s="43">
        <f>IFERROR(HistoricalFS!D9,0)</f>
        <v>3.75690010654397E-2</v>
      </c>
      <c r="E6" s="43">
        <f>IFERROR(HistoricalFS!E9,0)</f>
        <v>-1.2280329732469508E-2</v>
      </c>
      <c r="F6" s="43">
        <f>IFERROR(HistoricalFS!F9,0)</f>
        <v>8.104774581985974E-2</v>
      </c>
      <c r="G6" s="43">
        <f>IFERROR(HistoricalFS!G9,0)</f>
        <v>3.5629919045237157E-2</v>
      </c>
      <c r="H6" s="43">
        <f>IFERROR(HistoricalFS!H9,0)</f>
        <v>-0.135360159555724</v>
      </c>
      <c r="I6" s="43">
        <f>IFERROR(HistoricalFS!I9,0)</f>
        <v>-4.3181168490336042E-2</v>
      </c>
      <c r="J6" s="43">
        <f>IFERROR(HistoricalFS!J9,0)</f>
        <v>0.11472967306158344</v>
      </c>
      <c r="K6" s="43">
        <f>IFERROR(HistoricalFS!K9,0)</f>
        <v>0.24245815155859707</v>
      </c>
      <c r="L6" s="43">
        <f>IFERROR(HistoricalFS!L9,0)</f>
        <v>0.26580803363974326</v>
      </c>
      <c r="M6" s="55"/>
      <c r="N6" s="47">
        <f>IFERROR(AVERAGE(D6:L6),0)</f>
        <v>6.5157874045770087E-2</v>
      </c>
      <c r="O6" s="47">
        <f>IFERROR(MEDIAN(D6:L6),0)</f>
        <v>3.75690010654397E-2</v>
      </c>
    </row>
    <row r="7" spans="1:15" x14ac:dyDescent="0.35">
      <c r="B7" t="s">
        <v>124</v>
      </c>
      <c r="D7" s="44">
        <f>IFERROR(HistoricalFS!D20/HistoricalFS!C20-1,0)</f>
        <v>-2.1494113584437979E-2</v>
      </c>
      <c r="E7" s="44">
        <f>IFERROR(HistoricalFS!E20/HistoricalFS!D20-1,0)</f>
        <v>-0.22936587208052905</v>
      </c>
      <c r="F7" s="44">
        <f>IFERROR(HistoricalFS!F20/HistoricalFS!E20-1,0)</f>
        <v>6.3165689322506102E-2</v>
      </c>
      <c r="G7" s="44">
        <f>IFERROR(HistoricalFS!G20/HistoricalFS!F20-1,0)</f>
        <v>-0.21595203460649259</v>
      </c>
      <c r="H7" s="44">
        <f>IFERROR(HistoricalFS!H20/HistoricalFS!G20-1,0)</f>
        <v>-0.27072537547138131</v>
      </c>
      <c r="I7" s="44">
        <f>IFERROR(HistoricalFS!I20/HistoricalFS!H20-1,0)</f>
        <v>0.79503554497758966</v>
      </c>
      <c r="J7" s="44">
        <f>IFERROR(HistoricalFS!J20/HistoricalFS!I20-1,0)</f>
        <v>-0.234374182150762</v>
      </c>
      <c r="K7" s="44">
        <f>IFERROR(HistoricalFS!K20/HistoricalFS!J20-1,0)</f>
        <v>0.28704223973294352</v>
      </c>
      <c r="L7" s="44">
        <f>IFERROR(HistoricalFS!L20/HistoricalFS!K20-1,0)</f>
        <v>0.87134505497269021</v>
      </c>
      <c r="N7" s="44">
        <f t="shared" ref="N7:N10" si="0">IFERROR(AVERAGE(D7:L7),0)</f>
        <v>0.11607521679023629</v>
      </c>
      <c r="O7" s="44">
        <f t="shared" ref="O7:O10" si="1">IFERROR(MEDIAN(D7:L7),0)</f>
        <v>-2.1494113584437979E-2</v>
      </c>
    </row>
    <row r="8" spans="1:15" x14ac:dyDescent="0.35">
      <c r="B8" t="s">
        <v>151</v>
      </c>
      <c r="D8" s="44">
        <f>IFERROR(HistoricalFS!D29/HistoricalFS!C29-1,0)</f>
        <v>-0.19978245260625749</v>
      </c>
      <c r="E8" s="44">
        <f>IFERROR(HistoricalFS!E29/HistoricalFS!D29-1,0)</f>
        <v>-0.55668251823863213</v>
      </c>
      <c r="F8" s="44">
        <f>IFERROR(HistoricalFS!F29/HistoricalFS!E29-1,0)</f>
        <v>-0.29861436616351744</v>
      </c>
      <c r="G8" s="44">
        <f>IFERROR(HistoricalFS!G29/HistoricalFS!F29-1,0)</f>
        <v>-1.897095149646705</v>
      </c>
      <c r="H8" s="44">
        <f>IFERROR(HistoricalFS!H29/HistoricalFS!G29-1,0)</f>
        <v>1.2800251873039095</v>
      </c>
      <c r="I8" s="44">
        <f>IFERROR(HistoricalFS!I29/HistoricalFS!H29-1,0)</f>
        <v>-1.0602479570180365</v>
      </c>
      <c r="J8" s="44">
        <f>IFERROR(HistoricalFS!J29/HistoricalFS!I29-1,0)</f>
        <v>-15.64914925025267</v>
      </c>
      <c r="K8" s="44">
        <f>IFERROR(HistoricalFS!K29/HistoricalFS!J29-1,0)</f>
        <v>-0.65313668793078505</v>
      </c>
      <c r="L8" s="44">
        <f>IFERROR(HistoricalFS!L29/HistoricalFS!K29-1,0)</f>
        <v>-7.8141215397976129</v>
      </c>
      <c r="N8" s="44">
        <f t="shared" si="0"/>
        <v>-2.9832005260389232</v>
      </c>
      <c r="O8" s="44">
        <f t="shared" si="1"/>
        <v>-0.65313668793078505</v>
      </c>
    </row>
    <row r="9" spans="1:15" x14ac:dyDescent="0.35">
      <c r="B9" t="s">
        <v>125</v>
      </c>
      <c r="D9" s="44">
        <f>IFERROR(HistoricalFS!D35/HistoricalFS!C35-1,0)</f>
        <v>3.1824673563310757E-2</v>
      </c>
      <c r="E9" s="44">
        <f>IFERROR(HistoricalFS!E35/HistoricalFS!D35-1,0)</f>
        <v>-0.69539895165986787</v>
      </c>
      <c r="F9" s="44">
        <f>IFERROR(HistoricalFS!F35/HistoricalFS!E35-1,0)</f>
        <v>-0.79011124197155724</v>
      </c>
      <c r="G9" s="44">
        <f>IFERROR(HistoricalFS!G35/HistoricalFS!F35-1,0)</f>
        <v>-3.5528470983790919</v>
      </c>
      <c r="H9" s="44">
        <f>IFERROR(HistoricalFS!H35/HistoricalFS!G35-1,0)</f>
        <v>3.9286702707513577</v>
      </c>
      <c r="I9" s="44">
        <f>IFERROR(HistoricalFS!I35/HistoricalFS!H35-1,0)</f>
        <v>-0.82862505348950144</v>
      </c>
      <c r="J9" s="44">
        <f>IFERROR(HistoricalFS!J35/HistoricalFS!I35-1,0)</f>
        <v>6.1952157445306248</v>
      </c>
      <c r="K9" s="44">
        <f>IFERROR(HistoricalFS!K35/HistoricalFS!J35-1,0)</f>
        <v>-0.7090436533357708</v>
      </c>
      <c r="L9" s="44">
        <f>IFERROR(HistoricalFS!L35/HistoricalFS!K35-1,0)</f>
        <v>-7.5761027654059525</v>
      </c>
      <c r="N9" s="44">
        <f t="shared" si="0"/>
        <v>-0.44404645282182759</v>
      </c>
      <c r="O9" s="44">
        <f t="shared" si="1"/>
        <v>-0.7090436533357708</v>
      </c>
    </row>
    <row r="10" spans="1:15" x14ac:dyDescent="0.35">
      <c r="B10" s="45" t="s">
        <v>126</v>
      </c>
      <c r="C10" s="45"/>
      <c r="D10" s="46">
        <f>IFERROR(HistoricalFS!D43/HistoricalFS!C43-1,0)</f>
        <v>0</v>
      </c>
      <c r="E10" s="46">
        <f>IFERROR(HistoricalFS!E43/HistoricalFS!D43-1,0)</f>
        <v>-1</v>
      </c>
      <c r="F10" s="46">
        <f>IFERROR(HistoricalFS!F43/HistoricalFS!E43-1,0)</f>
        <v>0</v>
      </c>
      <c r="G10" s="46">
        <f>IFERROR(HistoricalFS!G43/HistoricalFS!F43-1,0)</f>
        <v>0</v>
      </c>
      <c r="H10" s="46">
        <f>IFERROR(HistoricalFS!H43/HistoricalFS!G43-1,0)</f>
        <v>0</v>
      </c>
      <c r="I10" s="46">
        <f>IFERROR(HistoricalFS!I43/HistoricalFS!H43-1,0)</f>
        <v>0</v>
      </c>
      <c r="J10" s="46">
        <f>IFERROR(HistoricalFS!J43/HistoricalFS!I43-1,0)</f>
        <v>0</v>
      </c>
      <c r="K10" s="46">
        <f>IFERROR(HistoricalFS!K43/HistoricalFS!J43-1,0)</f>
        <v>0</v>
      </c>
      <c r="L10" s="46">
        <f>IFERROR(HistoricalFS!L43/HistoricalFS!K43-1,0)</f>
        <v>5.0994148647671187</v>
      </c>
      <c r="M10" s="56"/>
      <c r="N10" s="46">
        <f t="shared" si="0"/>
        <v>0.45549054052967985</v>
      </c>
      <c r="O10" s="46">
        <f t="shared" si="1"/>
        <v>0</v>
      </c>
    </row>
    <row r="12" spans="1:15" x14ac:dyDescent="0.35">
      <c r="A12" t="s">
        <v>57</v>
      </c>
      <c r="B12" s="42" t="s">
        <v>123</v>
      </c>
      <c r="C12" s="47">
        <f>IFERROR(HistoricalFS!C15,0)</f>
        <v>0.22914703499762759</v>
      </c>
      <c r="D12" s="47">
        <f>IFERROR(HistoricalFS!D15,0)</f>
        <v>0.24734524196690946</v>
      </c>
      <c r="E12" s="47">
        <f>IFERROR(HistoricalFS!E15,0)</f>
        <v>0.23819078253229964</v>
      </c>
      <c r="F12" s="47">
        <f>IFERROR(HistoricalFS!F15,0)</f>
        <v>0.21649990080619999</v>
      </c>
      <c r="G12" s="47">
        <f>IFERROR(HistoricalFS!G15,0)</f>
        <v>0.19571167496416494</v>
      </c>
      <c r="H12" s="47">
        <f>IFERROR(HistoricalFS!H15,0)</f>
        <v>0.19417127271491774</v>
      </c>
      <c r="I12" s="47">
        <f>IFERROR(HistoricalFS!I15,0)</f>
        <v>0.2180538622208833</v>
      </c>
      <c r="J12" s="47">
        <f>IFERROR(HistoricalFS!J15,0)</f>
        <v>0.19807108271747378</v>
      </c>
      <c r="K12" s="47">
        <f>IFERROR(HistoricalFS!K15,0)</f>
        <v>0.20685017994636876</v>
      </c>
      <c r="L12" s="47">
        <f>IFERROR(HistoricalFS!L15,0)</f>
        <v>0.23605714704961514</v>
      </c>
      <c r="M12" s="55"/>
      <c r="N12" s="47">
        <f>IFERROR(AVERAGE(C12:L12),0)</f>
        <v>0.21800981799164604</v>
      </c>
      <c r="O12" s="47">
        <f>IFERROR(MEDIAN(C12:L12),0)</f>
        <v>0.21727688151354163</v>
      </c>
    </row>
    <row r="13" spans="1:15" x14ac:dyDescent="0.35">
      <c r="B13" t="s">
        <v>127</v>
      </c>
      <c r="C13" s="44">
        <f>IFERROR(HistoricalFS!C21,0)</f>
        <v>0.14910625508580397</v>
      </c>
      <c r="D13" s="44">
        <f>IFERROR(HistoricalFS!D21,0)</f>
        <v>0.14061845347443788</v>
      </c>
      <c r="E13" s="44">
        <f>IFERROR(HistoricalFS!E21,0)</f>
        <v>0.10971268723777329</v>
      </c>
      <c r="F13" s="44">
        <f>IFERROR(HistoricalFS!F21,0)</f>
        <v>0.10789788444182975</v>
      </c>
      <c r="G13" s="44">
        <f>IFERROR(HistoricalFS!G21,0)</f>
        <v>8.1686628795807431E-2</v>
      </c>
      <c r="H13" s="44">
        <f>IFERROR(HistoricalFS!H21,0)</f>
        <v>6.8898034485042198E-2</v>
      </c>
      <c r="I13" s="44">
        <f>IFERROR(HistoricalFS!I21,0)</f>
        <v>0.12925583904385496</v>
      </c>
      <c r="J13" s="44">
        <f>IFERROR(HistoricalFS!J21,0)</f>
        <v>8.877632835227646E-2</v>
      </c>
      <c r="K13" s="44">
        <f>IFERROR(HistoricalFS!K21,0)</f>
        <v>9.1961958102532049E-2</v>
      </c>
      <c r="L13" s="44">
        <f>IFERROR(HistoricalFS!L21,0)</f>
        <v>0.13595470321509878</v>
      </c>
      <c r="N13" s="44">
        <f t="shared" ref="N13:N41" si="2">IFERROR(AVERAGE(C13:L13),0)</f>
        <v>0.11038687722344567</v>
      </c>
      <c r="O13" s="44">
        <f t="shared" ref="O13:O41" si="3">IFERROR(MEDIAN(C13:L13),0)</f>
        <v>0.10880528583980152</v>
      </c>
    </row>
    <row r="14" spans="1:15" x14ac:dyDescent="0.35">
      <c r="B14" t="s">
        <v>128</v>
      </c>
      <c r="C14" s="44">
        <f>IFERROR((HistoricalFS!C20-HistoricalFS!C26)/HistoricalFS!C8,0)</f>
        <v>9.8229670900837146E-2</v>
      </c>
      <c r="D14" s="44">
        <f>IFERROR((HistoricalFS!D20-HistoricalFS!D26)/HistoricalFS!D8,0)</f>
        <v>7.941702777851016E-2</v>
      </c>
      <c r="E14" s="44">
        <f>IFERROR((HistoricalFS!E20-HistoricalFS!E26)/HistoricalFS!E8,0)</f>
        <v>4.3322300645279484E-2</v>
      </c>
      <c r="F14" s="44">
        <f>IFERROR((HistoricalFS!F20-HistoricalFS!F26)/HistoricalFS!F8,0)</f>
        <v>3.3970412259310953E-2</v>
      </c>
      <c r="G14" s="44">
        <f>IFERROR((HistoricalFS!G20-HistoricalFS!G26)/HistoricalFS!G8,0)</f>
        <v>3.5560233478087663E-3</v>
      </c>
      <c r="H14" s="44">
        <f>IFERROR((HistoricalFS!H20-HistoricalFS!H26)/HistoricalFS!H8,0)</f>
        <v>-1.3170363258273456E-2</v>
      </c>
      <c r="I14" s="44">
        <f>IFERROR((HistoricalFS!I20-HistoricalFS!I26)/HistoricalFS!I8,0)</f>
        <v>3.4991608110258483E-2</v>
      </c>
      <c r="J14" s="44">
        <f>IFERROR((HistoricalFS!J20-HistoricalFS!J26)/HistoricalFS!J8,0)</f>
        <v>-4.1514992694289269E-4</v>
      </c>
      <c r="K14" s="44">
        <f>IFERROR((HistoricalFS!K20-HistoricalFS!K26)/HistoricalFS!K8,0)</f>
        <v>2.0104346955433228E-2</v>
      </c>
      <c r="L14" s="44">
        <f>IFERROR((HistoricalFS!L20-HistoricalFS!L26)/HistoricalFS!L8,0)</f>
        <v>7.3683863437114389E-2</v>
      </c>
      <c r="N14" s="44">
        <f t="shared" si="2"/>
        <v>3.7368974024933624E-2</v>
      </c>
      <c r="O14" s="44">
        <f t="shared" si="3"/>
        <v>3.4481010184784722E-2</v>
      </c>
    </row>
    <row r="15" spans="1:15" x14ac:dyDescent="0.35">
      <c r="B15" t="s">
        <v>129</v>
      </c>
      <c r="C15" s="44">
        <f>IFERROR(HistoricalFS!C30,0)</f>
        <v>7.9756085085905037E-2</v>
      </c>
      <c r="D15" s="44">
        <f>IFERROR(HistoricalFS!D30,0)</f>
        <v>6.1511300676516931E-2</v>
      </c>
      <c r="E15" s="44">
        <f>IFERROR(HistoricalFS!E30,0)</f>
        <v>2.7608071132565179E-2</v>
      </c>
      <c r="F15" s="44">
        <f>IFERROR(HistoricalFS!F30,0)</f>
        <v>1.7912163958707913E-2</v>
      </c>
      <c r="G15" s="44">
        <f>IFERROR(HistoricalFS!G30,0)</f>
        <v>-1.5516078776333117E-2</v>
      </c>
      <c r="H15" s="44">
        <f>IFERROR(HistoricalFS!H30,0)</f>
        <v>-4.0915360088026265E-2</v>
      </c>
      <c r="I15" s="44">
        <f>IFERROR(HistoricalFS!I30,0)</f>
        <v>2.5763151547420113E-3</v>
      </c>
      <c r="J15" s="44">
        <f>IFERROR(HistoricalFS!J30,0)</f>
        <v>-3.3856482095653805E-2</v>
      </c>
      <c r="K15" s="44">
        <f>IFERROR(HistoricalFS!K30,0)</f>
        <v>-9.4518849588445895E-3</v>
      </c>
      <c r="L15" s="44">
        <f>IFERROR(HistoricalFS!L30,0)</f>
        <v>5.0881564327377643E-2</v>
      </c>
      <c r="N15" s="44">
        <f t="shared" si="2"/>
        <v>1.4050569441695698E-2</v>
      </c>
      <c r="O15" s="44">
        <f t="shared" si="3"/>
        <v>1.0244239556724962E-2</v>
      </c>
    </row>
    <row r="16" spans="1:15" x14ac:dyDescent="0.35">
      <c r="B16" s="45" t="s">
        <v>130</v>
      </c>
      <c r="C16" s="46">
        <f>IFERROR(HistoricalFS!C36,0)</f>
        <v>5.0713146858982282E-2</v>
      </c>
      <c r="D16" s="46">
        <f>IFERROR(HistoricalFS!D36,0)</f>
        <v>5.0432381990407359E-2</v>
      </c>
      <c r="E16" s="46">
        <f>IFERROR(HistoricalFS!E36,0)</f>
        <v>1.5552749314395296E-2</v>
      </c>
      <c r="F16" s="46">
        <f>IFERROR(HistoricalFS!F36,0)</f>
        <v>3.01961430487095E-3</v>
      </c>
      <c r="G16" s="46">
        <f>IFERROR(HistoricalFS!G36,0)</f>
        <v>-7.4434056747998256E-3</v>
      </c>
      <c r="H16" s="46">
        <f>IFERROR(HistoricalFS!H36,0)</f>
        <v>-4.2429333632923408E-2</v>
      </c>
      <c r="I16" s="46">
        <f>IFERROR(HistoricalFS!I36,0)</f>
        <v>-7.5994791724005731E-3</v>
      </c>
      <c r="J16" s="46">
        <f>IFERROR(HistoricalFS!J36,0)</f>
        <v>-4.9052154538339235E-2</v>
      </c>
      <c r="K16" s="46">
        <f>IFERROR(HistoricalFS!K36,0)</f>
        <v>-1.1486934720964945E-2</v>
      </c>
      <c r="L16" s="46">
        <f>IFERROR(HistoricalFS!L36,0)</f>
        <v>5.9676713353894045E-2</v>
      </c>
      <c r="M16" s="56"/>
      <c r="N16" s="46">
        <f t="shared" si="2"/>
        <v>6.1383298083121946E-3</v>
      </c>
      <c r="O16" s="46">
        <f t="shared" si="3"/>
        <v>-2.2118956849644378E-3</v>
      </c>
    </row>
    <row r="17" spans="1:15" x14ac:dyDescent="0.35">
      <c r="N17" s="22"/>
      <c r="O17" s="22"/>
    </row>
    <row r="18" spans="1:15" x14ac:dyDescent="0.35">
      <c r="A18" t="s">
        <v>57</v>
      </c>
      <c r="B18" s="42" t="s">
        <v>131</v>
      </c>
      <c r="C18" s="47">
        <f>IFERROR(HistoricalFS!C18,0)</f>
        <v>8.0040779911823637E-2</v>
      </c>
      <c r="D18" s="47">
        <f>IFERROR(HistoricalFS!D18,0)</f>
        <v>0.10672678849247161</v>
      </c>
      <c r="E18" s="47">
        <f>IFERROR(HistoricalFS!E18,0)</f>
        <v>0.12847809529452636</v>
      </c>
      <c r="F18" s="47">
        <f>IFERROR(HistoricalFS!F18,0)</f>
        <v>0.10860201636437025</v>
      </c>
      <c r="G18" s="47">
        <f>IFERROR(HistoricalFS!G18,0)</f>
        <v>0.11402504616835751</v>
      </c>
      <c r="H18" s="47">
        <f>IFERROR(HistoricalFS!H18,0)</f>
        <v>0.12527323822987554</v>
      </c>
      <c r="I18" s="47">
        <f>IFERROR(HistoricalFS!I18,0)</f>
        <v>8.8798023177028354E-2</v>
      </c>
      <c r="J18" s="47">
        <f>IFERROR(HistoricalFS!J18,0)</f>
        <v>0.10929475436519734</v>
      </c>
      <c r="K18" s="47">
        <f>IFERROR(HistoricalFS!K18,0)</f>
        <v>0.11488822184383672</v>
      </c>
      <c r="L18" s="47">
        <f>IFERROR(HistoricalFS!L18,0)</f>
        <v>0.10010244383451636</v>
      </c>
      <c r="M18" s="55"/>
      <c r="N18" s="47">
        <f t="shared" si="2"/>
        <v>0.10762294076820036</v>
      </c>
      <c r="O18" s="47">
        <f t="shared" si="3"/>
        <v>0.1089483853647838</v>
      </c>
    </row>
    <row r="19" spans="1:15" x14ac:dyDescent="0.35">
      <c r="B19" t="s">
        <v>132</v>
      </c>
      <c r="C19" s="44">
        <f>IFERROR(HistoricalFS!C27,0)</f>
        <v>5.0876584184966822E-2</v>
      </c>
      <c r="D19" s="44">
        <f>IFERROR(HistoricalFS!D27,0)</f>
        <v>6.1201425695927715E-2</v>
      </c>
      <c r="E19" s="44">
        <f>IFERROR(HistoricalFS!E27,0)</f>
        <v>6.63903865924938E-2</v>
      </c>
      <c r="F19" s="44">
        <f>IFERROR(HistoricalFS!F27,0)</f>
        <v>7.3927472182518786E-2</v>
      </c>
      <c r="G19" s="44">
        <f>IFERROR(HistoricalFS!G27,0)</f>
        <v>7.8130605447998658E-2</v>
      </c>
      <c r="H19" s="44">
        <f>IFERROR(HistoricalFS!H27,0)</f>
        <v>8.206839774331566E-2</v>
      </c>
      <c r="I19" s="44">
        <f>IFERROR(HistoricalFS!I27,0)</f>
        <v>9.4264230933596482E-2</v>
      </c>
      <c r="J19" s="44">
        <f>IFERROR(HistoricalFS!J27,0)</f>
        <v>8.9191478279219347E-2</v>
      </c>
      <c r="K19" s="44">
        <f>IFERROR(HistoricalFS!K27,0)</f>
        <v>7.1857611147098821E-2</v>
      </c>
      <c r="L19" s="44">
        <f>IFERROR(HistoricalFS!L27,0)</f>
        <v>6.2270839777984394E-2</v>
      </c>
      <c r="N19" s="44">
        <f t="shared" si="2"/>
        <v>7.3017903198512063E-2</v>
      </c>
      <c r="O19" s="44">
        <f t="shared" si="3"/>
        <v>7.2892541664808796E-2</v>
      </c>
    </row>
    <row r="20" spans="1:15" x14ac:dyDescent="0.35">
      <c r="B20" s="45" t="s">
        <v>133</v>
      </c>
      <c r="C20" s="46">
        <f>IFERROR(C14,0)</f>
        <v>9.8229670900837146E-2</v>
      </c>
      <c r="D20" s="46">
        <f t="shared" ref="D20:L20" si="4">IFERROR(D14,0)</f>
        <v>7.941702777851016E-2</v>
      </c>
      <c r="E20" s="46">
        <f t="shared" si="4"/>
        <v>4.3322300645279484E-2</v>
      </c>
      <c r="F20" s="46">
        <f t="shared" si="4"/>
        <v>3.3970412259310953E-2</v>
      </c>
      <c r="G20" s="46">
        <f t="shared" si="4"/>
        <v>3.5560233478087663E-3</v>
      </c>
      <c r="H20" s="46">
        <f t="shared" si="4"/>
        <v>-1.3170363258273456E-2</v>
      </c>
      <c r="I20" s="46">
        <f t="shared" si="4"/>
        <v>3.4991608110258483E-2</v>
      </c>
      <c r="J20" s="46">
        <f t="shared" si="4"/>
        <v>-4.1514992694289269E-4</v>
      </c>
      <c r="K20" s="46">
        <f t="shared" si="4"/>
        <v>2.0104346955433228E-2</v>
      </c>
      <c r="L20" s="46">
        <f t="shared" si="4"/>
        <v>7.3683863437114389E-2</v>
      </c>
      <c r="M20" s="56"/>
      <c r="N20" s="46">
        <f t="shared" si="2"/>
        <v>3.7368974024933624E-2</v>
      </c>
      <c r="O20" s="46">
        <f t="shared" si="3"/>
        <v>3.4481010184784722E-2</v>
      </c>
    </row>
    <row r="21" spans="1:15" x14ac:dyDescent="0.35">
      <c r="N21" s="22"/>
      <c r="O21" s="22"/>
    </row>
    <row r="22" spans="1:15" x14ac:dyDescent="0.35">
      <c r="A22" t="s">
        <v>57</v>
      </c>
      <c r="B22" s="42" t="s">
        <v>134</v>
      </c>
      <c r="C22" s="47">
        <f>IFERROR((HistoricalFS!C20-HistoricalFS!C26)/(SUM(HistoricalFS!C50:C52)),0)</f>
        <v>0.19904181268509033</v>
      </c>
      <c r="D22" s="47">
        <f>IFERROR((HistoricalFS!D20-HistoricalFS!D26)/(SUM(HistoricalFS!D50:D52)),0)</f>
        <v>0.1462081011853561</v>
      </c>
      <c r="E22" s="47">
        <f>IFERROR((HistoricalFS!E20-HistoricalFS!E26)/(SUM(HistoricalFS!E50:E52)),0)</f>
        <v>8.5490986154773282E-2</v>
      </c>
      <c r="F22" s="47">
        <f>IFERROR((HistoricalFS!F20-HistoricalFS!F26)/(SUM(HistoricalFS!F50:F52)),0)</f>
        <v>5.3716113570365424E-2</v>
      </c>
      <c r="G22" s="47">
        <f>IFERROR((HistoricalFS!G20-HistoricalFS!G26)/(SUM(HistoricalFS!G50:G52)),0)</f>
        <v>6.4542733637543747E-3</v>
      </c>
      <c r="H22" s="47">
        <f>IFERROR((HistoricalFS!H20-HistoricalFS!H26)/(SUM(HistoricalFS!H50:H52)),0)</f>
        <v>-1.8387082646096023E-2</v>
      </c>
      <c r="I22" s="47">
        <f>IFERROR((HistoricalFS!I20-HistoricalFS!I26)/(SUM(HistoricalFS!I50:I52)),0)</f>
        <v>4.4284324706251613E-2</v>
      </c>
      <c r="J22" s="47">
        <f>IFERROR((HistoricalFS!J20-HistoricalFS!J26)/(SUM(HistoricalFS!J50:J52)),0)</f>
        <v>-6.0520306054739361E-4</v>
      </c>
      <c r="K22" s="47">
        <f>IFERROR((HistoricalFS!K20-HistoricalFS!K26)/(SUM(HistoricalFS!K50:K52)),0)</f>
        <v>3.8762956416083731E-2</v>
      </c>
      <c r="L22" s="47">
        <f>IFERROR((HistoricalFS!L20-HistoricalFS!L26)/(SUM(HistoricalFS!L50:L52)),0)</f>
        <v>0.16790572738589757</v>
      </c>
      <c r="M22" s="55"/>
      <c r="N22" s="47">
        <f t="shared" si="2"/>
        <v>7.2287200976092911E-2</v>
      </c>
      <c r="O22" s="47">
        <f t="shared" si="3"/>
        <v>4.9000219138308515E-2</v>
      </c>
    </row>
    <row r="23" spans="1:15" x14ac:dyDescent="0.35">
      <c r="B23" t="s">
        <v>135</v>
      </c>
      <c r="C23" s="44">
        <f>IFERROR(HistoricalFS!C46,0)</f>
        <v>1</v>
      </c>
      <c r="D23" s="44">
        <f>IFERROR(HistoricalFS!D46,0)</f>
        <v>0.99506765991253665</v>
      </c>
      <c r="E23" s="44">
        <f>IFERROR(HistoricalFS!E46,0)</f>
        <v>1</v>
      </c>
      <c r="F23" s="44">
        <f>IFERROR(HistoricalFS!F46,0)</f>
        <v>1</v>
      </c>
      <c r="G23" s="44">
        <f>IFERROR(HistoricalFS!G46,0)</f>
        <v>0</v>
      </c>
      <c r="H23" s="44">
        <f>IFERROR(HistoricalFS!H46,0)</f>
        <v>0</v>
      </c>
      <c r="I23" s="44">
        <f>IFERROR(HistoricalFS!I46,0)</f>
        <v>0</v>
      </c>
      <c r="J23" s="44">
        <f>IFERROR(HistoricalFS!J46,0)</f>
        <v>0</v>
      </c>
      <c r="K23" s="44">
        <f>IFERROR(HistoricalFS!K46,0)</f>
        <v>0</v>
      </c>
      <c r="L23" s="44">
        <f>IFERROR(HistoricalFS!L46,0)</f>
        <v>0.82109000160327028</v>
      </c>
      <c r="N23" s="44">
        <f t="shared" si="2"/>
        <v>0.48161576615158069</v>
      </c>
      <c r="O23" s="44">
        <f t="shared" si="3"/>
        <v>0.41054500080163514</v>
      </c>
    </row>
    <row r="24" spans="1:15" x14ac:dyDescent="0.35">
      <c r="B24" t="s">
        <v>136</v>
      </c>
      <c r="C24" s="44">
        <f>IFERROR(HistoricalFS!C35/(SUM(HistoricalFS!C50:C51)),0)</f>
        <v>0.2372052002491202</v>
      </c>
      <c r="D24" s="44">
        <f>IFERROR(HistoricalFS!D35/(SUM(HistoricalFS!D50:D51)),0)</f>
        <v>0.17441316864171685</v>
      </c>
      <c r="E24" s="44">
        <f>IFERROR(HistoricalFS!E35/(SUM(HistoricalFS!E50:E51)),0)</f>
        <v>7.2241189530689517E-2</v>
      </c>
      <c r="F24" s="44">
        <f>IFERROR(HistoricalFS!F35/(SUM(HistoricalFS!F50:F51)),0)</f>
        <v>9.2254980749341738E-3</v>
      </c>
      <c r="G24" s="44">
        <f>IFERROR(HistoricalFS!G35/(SUM(HistoricalFS!G50:G51)),0)</f>
        <v>-3.7345736658758885E-2</v>
      </c>
      <c r="H24" s="44">
        <f>IFERROR(HistoricalFS!H35/(SUM(HistoricalFS!H50:H51)),0)</f>
        <v>-0.1780542775131683</v>
      </c>
      <c r="I24" s="44">
        <f>IFERROR(HistoricalFS!I35/(SUM(HistoricalFS!I50:I51)),0)</f>
        <v>-3.4360591904822733E-2</v>
      </c>
      <c r="J24" s="44">
        <f>IFERROR(HistoricalFS!J35/(SUM(HistoricalFS!J50:J51)),0)</f>
        <v>-0.30651638060341208</v>
      </c>
      <c r="K24" s="44">
        <f>IFERROR(HistoricalFS!K35/(SUM(HistoricalFS!K50:K51)),0)</f>
        <v>-8.7686298356707396E-2</v>
      </c>
      <c r="L24" s="44">
        <f>IFERROR(HistoricalFS!L35/(SUM(HistoricalFS!L50:L51)),0)</f>
        <v>0.30775670464290195</v>
      </c>
      <c r="N24" s="44">
        <f t="shared" si="2"/>
        <v>1.5687847610249321E-2</v>
      </c>
      <c r="O24" s="44">
        <f t="shared" si="3"/>
        <v>-1.2567546914944279E-2</v>
      </c>
    </row>
    <row r="25" spans="1:15" x14ac:dyDescent="0.35">
      <c r="B25" t="s">
        <v>137</v>
      </c>
      <c r="C25" s="44">
        <f>IFERROR(C23*C24,0)</f>
        <v>0.2372052002491202</v>
      </c>
      <c r="D25" s="44">
        <f t="shared" ref="D25:L25" si="5">IFERROR(D23*D24,0)</f>
        <v>0.17355290357824379</v>
      </c>
      <c r="E25" s="44">
        <f t="shared" si="5"/>
        <v>7.2241189530689517E-2</v>
      </c>
      <c r="F25" s="44">
        <f t="shared" si="5"/>
        <v>9.2254980749341738E-3</v>
      </c>
      <c r="G25" s="44">
        <f t="shared" si="5"/>
        <v>0</v>
      </c>
      <c r="H25" s="44">
        <f t="shared" si="5"/>
        <v>0</v>
      </c>
      <c r="I25" s="44">
        <f t="shared" si="5"/>
        <v>0</v>
      </c>
      <c r="J25" s="44">
        <f t="shared" si="5"/>
        <v>0</v>
      </c>
      <c r="K25" s="44">
        <f t="shared" si="5"/>
        <v>0</v>
      </c>
      <c r="L25" s="44">
        <f t="shared" si="5"/>
        <v>0.25269595310865756</v>
      </c>
      <c r="N25" s="44">
        <f t="shared" si="2"/>
        <v>7.4492074454164531E-2</v>
      </c>
      <c r="O25" s="44">
        <f t="shared" si="3"/>
        <v>4.6127490374670869E-3</v>
      </c>
    </row>
    <row r="26" spans="1:15" x14ac:dyDescent="0.35">
      <c r="B26" s="45" t="s">
        <v>138</v>
      </c>
      <c r="C26" s="48">
        <f>IFERROR((HistoricalFS!C20-HistoricalFS!C26)/HistoricalFS!C23,0)</f>
        <v>5.3173039541375138</v>
      </c>
      <c r="D26" s="48">
        <f>IFERROR((HistoricalFS!D20-HistoricalFS!D26)/HistoricalFS!D23,0)</f>
        <v>4.4352863933500721</v>
      </c>
      <c r="E26" s="48">
        <f>IFERROR((HistoricalFS!E20-HistoricalFS!E26)/HistoricalFS!E23,0)</f>
        <v>2.7568835373205922</v>
      </c>
      <c r="F26" s="48">
        <f>IFERROR((HistoricalFS!F20-HistoricalFS!F26)/HistoricalFS!F23,0)</f>
        <v>2.1154494328024094</v>
      </c>
      <c r="G26" s="48">
        <f>IFERROR((HistoricalFS!G20-HistoricalFS!G26)/HistoricalFS!G23,0)</f>
        <v>0.18645156808947008</v>
      </c>
      <c r="H26" s="48">
        <f>IFERROR((HistoricalFS!H20-HistoricalFS!H26)/HistoricalFS!H23,0)</f>
        <v>-0.47469326953211261</v>
      </c>
      <c r="I26" s="48">
        <f>IFERROR((HistoricalFS!I20-HistoricalFS!I26)/HistoricalFS!I23,0)</f>
        <v>1.079478385658198</v>
      </c>
      <c r="J26" s="48">
        <f>IFERROR((HistoricalFS!J20-HistoricalFS!J26)/HistoricalFS!J23,0)</f>
        <v>-1.2414275987824557E-2</v>
      </c>
      <c r="K26" s="48">
        <f>IFERROR((HistoricalFS!K20-HistoricalFS!K26)/HistoricalFS!K23,0)</f>
        <v>0.68020669934320532</v>
      </c>
      <c r="L26" s="48">
        <f>IFERROR((HistoricalFS!L20-HistoricalFS!L26)/HistoricalFS!L23,0)</f>
        <v>3.231422545705088</v>
      </c>
      <c r="M26" s="56"/>
      <c r="N26" s="48">
        <f t="shared" si="2"/>
        <v>1.9315374970886612</v>
      </c>
      <c r="O26" s="48">
        <f t="shared" si="3"/>
        <v>1.5974639092303038</v>
      </c>
    </row>
    <row r="27" spans="1:15" x14ac:dyDescent="0.35">
      <c r="N27" s="22"/>
      <c r="O27" s="22"/>
    </row>
    <row r="28" spans="1:15" x14ac:dyDescent="0.35">
      <c r="A28" t="s">
        <v>57</v>
      </c>
      <c r="B28" s="42" t="s">
        <v>139</v>
      </c>
      <c r="C28" s="49">
        <f>IFERROR(HistoricalFS!C8/HistoricalFS!C62,0)</f>
        <v>20.92016821419486</v>
      </c>
      <c r="D28" s="49">
        <f>IFERROR(HistoricalFS!D8/HistoricalFS!D62,0)</f>
        <v>20.119918266350599</v>
      </c>
      <c r="E28" s="49">
        <f>IFERROR(HistoricalFS!E8/HistoricalFS!E62,0)</f>
        <v>19.160353236640844</v>
      </c>
      <c r="F28" s="49">
        <f>IFERROR(HistoricalFS!F8/HistoricalFS!F62,0)</f>
        <v>14.655712224718874</v>
      </c>
      <c r="G28" s="49">
        <f>IFERROR(HistoricalFS!G8/HistoricalFS!G62,0)</f>
        <v>15.894698773489607</v>
      </c>
      <c r="H28" s="49">
        <f>IFERROR(HistoricalFS!H8/HistoricalFS!H62,0)</f>
        <v>23.366617170976728</v>
      </c>
      <c r="I28" s="49">
        <f>IFERROR(HistoricalFS!I8/HistoricalFS!I62,0)</f>
        <v>19.701330853658153</v>
      </c>
      <c r="J28" s="49">
        <f>IFERROR(HistoricalFS!J8/HistoricalFS!J62,0)</f>
        <v>22.379917570317598</v>
      </c>
      <c r="K28" s="49">
        <f>IFERROR(HistoricalFS!K8/HistoricalFS!K62,0)</f>
        <v>21.982947610142858</v>
      </c>
      <c r="L28" s="49">
        <f>IFERROR(HistoricalFS!L8/HistoricalFS!L62,0)</f>
        <v>25.833687966063799</v>
      </c>
      <c r="M28" s="55"/>
      <c r="N28" s="50">
        <f t="shared" si="2"/>
        <v>20.401535188655391</v>
      </c>
      <c r="O28" s="50">
        <f t="shared" si="3"/>
        <v>20.520043240272727</v>
      </c>
    </row>
    <row r="29" spans="1:15" x14ac:dyDescent="0.35">
      <c r="B29" t="s">
        <v>140</v>
      </c>
      <c r="C29" s="50">
        <f>IFERROR(HistoricalFS!C11/HistoricalFS!C53,0)</f>
        <v>1.8880509831865386</v>
      </c>
      <c r="D29" s="50">
        <f>IFERROR(HistoricalFS!D11/HistoricalFS!D53,0)</f>
        <v>1.7890305492864869</v>
      </c>
      <c r="E29" s="50">
        <f>IFERROR(HistoricalFS!E11/HistoricalFS!E53,0)</f>
        <v>1.5116433869560191</v>
      </c>
      <c r="F29" s="50">
        <f>IFERROR(HistoricalFS!F11/HistoricalFS!F53,0)</f>
        <v>1.5994982404666003</v>
      </c>
      <c r="G29" s="50">
        <f>IFERROR(HistoricalFS!G11/HistoricalFS!G53,0)</f>
        <v>1.7427196787567065</v>
      </c>
      <c r="H29" s="50">
        <f>IFERROR(HistoricalFS!H11/HistoricalFS!H53,0)</f>
        <v>1.5796285678587714</v>
      </c>
      <c r="I29" s="50">
        <f>IFERROR(HistoricalFS!I11/HistoricalFS!I53,0)</f>
        <v>1.3546188424899972</v>
      </c>
      <c r="J29" s="50">
        <f>IFERROR(HistoricalFS!J11/HistoricalFS!J53,0)</f>
        <v>1.617515658318702</v>
      </c>
      <c r="K29" s="50">
        <f>IFERROR(HistoricalFS!K11/HistoricalFS!K53,0)</f>
        <v>1.767618230446949</v>
      </c>
      <c r="L29" s="50">
        <f>IFERROR(HistoricalFS!L11/HistoricalFS!L53,0)</f>
        <v>1.8864983659363204</v>
      </c>
      <c r="N29" s="50">
        <f t="shared" si="2"/>
        <v>1.6736822503703088</v>
      </c>
      <c r="O29" s="50">
        <f t="shared" si="3"/>
        <v>1.6801176685377044</v>
      </c>
    </row>
    <row r="30" spans="1:15" x14ac:dyDescent="0.35">
      <c r="B30" t="s">
        <v>141</v>
      </c>
      <c r="C30" s="50">
        <f>IFERROR(HistoricalFS!C11/HistoricalFS!C63,0)</f>
        <v>6.9299850985606204</v>
      </c>
      <c r="D30" s="50">
        <f>IFERROR(HistoricalFS!D11/HistoricalFS!D63,0)</f>
        <v>6.2932009175725057</v>
      </c>
      <c r="E30" s="50">
        <f>IFERROR(HistoricalFS!E11/HistoricalFS!E63,0)</f>
        <v>5.8558479317982366</v>
      </c>
      <c r="F30" s="50">
        <f>IFERROR(HistoricalFS!F11/HistoricalFS!F63,0)</f>
        <v>5.4210412403355388</v>
      </c>
      <c r="G30" s="50">
        <f>IFERROR(HistoricalFS!G11/HistoricalFS!G63,0)</f>
        <v>6.2246170771161839</v>
      </c>
      <c r="H30" s="50">
        <f>IFERROR(HistoricalFS!H11/HistoricalFS!H63,0)</f>
        <v>5.6164867442242938</v>
      </c>
      <c r="I30" s="50">
        <f>IFERROR(HistoricalFS!I11/HistoricalFS!I63,0)</f>
        <v>5.4124043083977522</v>
      </c>
      <c r="J30" s="50">
        <f>IFERROR(HistoricalFS!J11/HistoricalFS!J63,0)</f>
        <v>6.3364885242310374</v>
      </c>
      <c r="K30" s="50">
        <f>IFERROR(HistoricalFS!K11/HistoricalFS!K63,0)</f>
        <v>6.73294109073671</v>
      </c>
      <c r="L30" s="50">
        <f>IFERROR(HistoricalFS!L11/HistoricalFS!L63,0)</f>
        <v>7.0007064492159055</v>
      </c>
      <c r="N30" s="50">
        <f t="shared" si="2"/>
        <v>6.1823719382188793</v>
      </c>
      <c r="O30" s="50">
        <f t="shared" si="3"/>
        <v>6.2589089973443448</v>
      </c>
    </row>
    <row r="31" spans="1:15" x14ac:dyDescent="0.35">
      <c r="B31" t="s">
        <v>142</v>
      </c>
      <c r="C31" s="50">
        <f>IFERROR(HistoricalFS!C8/HistoricalFS!C56,0)</f>
        <v>2.9742370802544178</v>
      </c>
      <c r="D31" s="50">
        <f>IFERROR(HistoricalFS!D8/HistoricalFS!D56,0)</f>
        <v>2.546312771514708</v>
      </c>
      <c r="E31" s="50">
        <f>IFERROR(HistoricalFS!E8/HistoricalFS!E56,0)</f>
        <v>2.8109343484246239</v>
      </c>
      <c r="F31" s="50">
        <f>IFERROR(HistoricalFS!F8/HistoricalFS!F56,0)</f>
        <v>2.4012948768781421</v>
      </c>
      <c r="G31" s="50">
        <f>IFERROR(HistoricalFS!G8/HistoricalFS!G56,0)</f>
        <v>2.7144319562092578</v>
      </c>
      <c r="H31" s="50">
        <f>IFERROR(HistoricalFS!H8/HistoricalFS!H56,0)</f>
        <v>2.0539205744067566</v>
      </c>
      <c r="I31" s="50">
        <f>IFERROR(HistoricalFS!I8/HistoricalFS!I56,0)</f>
        <v>1.8008727134726064</v>
      </c>
      <c r="J31" s="50">
        <f>IFERROR(HistoricalFS!J8/HistoricalFS!J56,0)</f>
        <v>2.0053488717943728</v>
      </c>
      <c r="K31" s="50">
        <f>IFERROR(HistoricalFS!K8/HistoricalFS!K56,0)</f>
        <v>2.6193791539294131</v>
      </c>
      <c r="L31" s="50">
        <f>IFERROR(HistoricalFS!L8/HistoricalFS!L56,0)</f>
        <v>3.6107194547475023</v>
      </c>
      <c r="N31" s="50">
        <f t="shared" si="2"/>
        <v>2.5537451801631801</v>
      </c>
      <c r="O31" s="50">
        <f t="shared" si="3"/>
        <v>2.5828459627220606</v>
      </c>
    </row>
    <row r="32" spans="1:15" x14ac:dyDescent="0.35">
      <c r="B32" s="45" t="s">
        <v>143</v>
      </c>
      <c r="C32" s="48">
        <f>IFERROR(HistoricalFS!C8/(SUM(HistoricalFS!C50:C51)),0)</f>
        <v>4.6773906756114965</v>
      </c>
      <c r="D32" s="48">
        <f>IFERROR(HistoricalFS!D8/(SUM(HistoricalFS!D50:D51)),0)</f>
        <v>3.4583567493379874</v>
      </c>
      <c r="E32" s="48">
        <f>IFERROR(HistoricalFS!E8/(SUM(HistoricalFS!E50:E51)),0)</f>
        <v>4.6449144180459854</v>
      </c>
      <c r="F32" s="48">
        <f>IFERROR(HistoricalFS!F8/(SUM(HistoricalFS!F50:F51)),0)</f>
        <v>3.0551908765475422</v>
      </c>
      <c r="G32" s="48">
        <f>IFERROR(HistoricalFS!G8/(SUM(HistoricalFS!G50:G51)),0)</f>
        <v>5.0172915853821474</v>
      </c>
      <c r="H32" s="48">
        <f>IFERROR(HistoricalFS!H8/(SUM(HistoricalFS!H50:H51)),0)</f>
        <v>4.196490075795241</v>
      </c>
      <c r="I32" s="48">
        <f>IFERROR(HistoricalFS!I8/(SUM(HistoricalFS!I50:I51)),0)</f>
        <v>4.5214403678625628</v>
      </c>
      <c r="J32" s="48">
        <f>IFERROR(HistoricalFS!J8/(SUM(HistoricalFS!J50:J51)),0)</f>
        <v>6.2487852671963351</v>
      </c>
      <c r="K32" s="48">
        <f>IFERROR(HistoricalFS!K8/(SUM(HistoricalFS!K50:K51)),0)</f>
        <v>7.6335680916398054</v>
      </c>
      <c r="L32" s="48">
        <f>IFERROR(HistoricalFS!L8/(SUM(HistoricalFS!L50:L51)),0)</f>
        <v>5.1570652495194773</v>
      </c>
      <c r="M32" s="56"/>
      <c r="N32" s="50">
        <f t="shared" si="2"/>
        <v>4.861049335693858</v>
      </c>
      <c r="O32" s="50">
        <f t="shared" si="3"/>
        <v>4.6611525468287409</v>
      </c>
    </row>
    <row r="33" spans="1:15" x14ac:dyDescent="0.35">
      <c r="N33" s="22"/>
      <c r="O33" s="22"/>
    </row>
    <row r="34" spans="1:15" x14ac:dyDescent="0.35">
      <c r="A34" t="s">
        <v>57</v>
      </c>
      <c r="B34" s="42" t="s">
        <v>144</v>
      </c>
      <c r="C34" s="51">
        <f>IFERROR(365/C28,0)</f>
        <v>17.447278447423685</v>
      </c>
      <c r="D34" s="51">
        <f t="shared" ref="D34:L34" si="6">IFERROR(365/D28,0)</f>
        <v>18.141226776772818</v>
      </c>
      <c r="E34" s="51">
        <f t="shared" si="6"/>
        <v>19.049753180019717</v>
      </c>
      <c r="F34" s="51">
        <f t="shared" si="6"/>
        <v>24.904964999543136</v>
      </c>
      <c r="G34" s="51">
        <f t="shared" si="6"/>
        <v>22.963631157878556</v>
      </c>
      <c r="H34" s="51">
        <f t="shared" si="6"/>
        <v>15.620575170519771</v>
      </c>
      <c r="I34" s="51">
        <f t="shared" si="6"/>
        <v>18.52666719376608</v>
      </c>
      <c r="J34" s="51">
        <f t="shared" si="6"/>
        <v>16.309264717046954</v>
      </c>
      <c r="K34" s="51">
        <f t="shared" si="6"/>
        <v>16.603778823163378</v>
      </c>
      <c r="L34" s="51">
        <f t="shared" si="6"/>
        <v>14.128838301348189</v>
      </c>
      <c r="M34" s="55"/>
      <c r="N34" s="51">
        <f t="shared" si="2"/>
        <v>18.369597876748227</v>
      </c>
      <c r="O34" s="51">
        <f t="shared" si="3"/>
        <v>17.794252612098251</v>
      </c>
    </row>
    <row r="35" spans="1:15" x14ac:dyDescent="0.35">
      <c r="B35" t="s">
        <v>145</v>
      </c>
      <c r="C35" s="52">
        <f>IFERROR(365/C29,0)</f>
        <v>193.32105078220664</v>
      </c>
      <c r="D35" s="52">
        <f t="shared" ref="D35:L35" si="7">IFERROR(365/D29,0)</f>
        <v>204.02111084440216</v>
      </c>
      <c r="E35" s="52">
        <f t="shared" si="7"/>
        <v>241.45906577542524</v>
      </c>
      <c r="F35" s="52">
        <f t="shared" si="7"/>
        <v>228.19656237541307</v>
      </c>
      <c r="G35" s="52">
        <f t="shared" si="7"/>
        <v>209.44274885356134</v>
      </c>
      <c r="H35" s="52">
        <f t="shared" si="7"/>
        <v>231.06697829273068</v>
      </c>
      <c r="I35" s="52">
        <f t="shared" si="7"/>
        <v>269.44848879340407</v>
      </c>
      <c r="J35" s="52">
        <f t="shared" si="7"/>
        <v>225.65469343239172</v>
      </c>
      <c r="K35" s="52">
        <f t="shared" si="7"/>
        <v>206.49255235827047</v>
      </c>
      <c r="L35" s="52">
        <f t="shared" si="7"/>
        <v>193.48015698854877</v>
      </c>
      <c r="N35" s="52">
        <f t="shared" si="2"/>
        <v>220.25834084963543</v>
      </c>
      <c r="O35" s="52">
        <f t="shared" si="3"/>
        <v>217.54872114297655</v>
      </c>
    </row>
    <row r="36" spans="1:15" x14ac:dyDescent="0.35">
      <c r="B36" t="s">
        <v>146</v>
      </c>
      <c r="C36" s="52">
        <f>IFERROR(365/C30,0)</f>
        <v>52.66966592407416</v>
      </c>
      <c r="D36" s="52">
        <f t="shared" ref="D36:L36" si="8">IFERROR(365/D30,0)</f>
        <v>57.999101694149068</v>
      </c>
      <c r="E36" s="52">
        <f t="shared" si="8"/>
        <v>62.330853575959303</v>
      </c>
      <c r="F36" s="52">
        <f t="shared" si="8"/>
        <v>67.330238568229021</v>
      </c>
      <c r="G36" s="52">
        <f t="shared" si="8"/>
        <v>58.638145202837379</v>
      </c>
      <c r="H36" s="52">
        <f t="shared" si="8"/>
        <v>64.987244984660066</v>
      </c>
      <c r="I36" s="52">
        <f t="shared" si="8"/>
        <v>67.437681888190625</v>
      </c>
      <c r="J36" s="52">
        <f t="shared" si="8"/>
        <v>57.602881880748683</v>
      </c>
      <c r="K36" s="52">
        <f t="shared" si="8"/>
        <v>54.211078796185063</v>
      </c>
      <c r="L36" s="52">
        <f t="shared" si="8"/>
        <v>52.137595348092447</v>
      </c>
      <c r="N36" s="52">
        <f t="shared" si="2"/>
        <v>59.534448786312581</v>
      </c>
      <c r="O36" s="52">
        <f t="shared" si="3"/>
        <v>58.318623448493227</v>
      </c>
    </row>
    <row r="37" spans="1:15" x14ac:dyDescent="0.35">
      <c r="B37" s="45" t="s">
        <v>147</v>
      </c>
      <c r="C37" s="53">
        <f>IFERROR(SUM(C34,C36)-C35,0)</f>
        <v>-123.20410641070879</v>
      </c>
      <c r="D37" s="53">
        <f t="shared" ref="D37:L37" si="9">IFERROR(SUM(D34,D36)-D35,0)</f>
        <v>-127.88078237348027</v>
      </c>
      <c r="E37" s="53">
        <f t="shared" si="9"/>
        <v>-160.07845901944623</v>
      </c>
      <c r="F37" s="53">
        <f t="shared" si="9"/>
        <v>-135.96135880764092</v>
      </c>
      <c r="G37" s="53">
        <f t="shared" si="9"/>
        <v>-127.84097249284541</v>
      </c>
      <c r="H37" s="53">
        <f t="shared" si="9"/>
        <v>-150.45915813755084</v>
      </c>
      <c r="I37" s="53">
        <f t="shared" si="9"/>
        <v>-183.48413971144737</v>
      </c>
      <c r="J37" s="53">
        <f t="shared" si="9"/>
        <v>-151.74254683459608</v>
      </c>
      <c r="K37" s="53">
        <f t="shared" si="9"/>
        <v>-135.67769473892201</v>
      </c>
      <c r="L37" s="53">
        <f t="shared" si="9"/>
        <v>-127.21372333910813</v>
      </c>
      <c r="M37" s="56"/>
      <c r="N37" s="53">
        <f t="shared" si="2"/>
        <v>-142.35429418657458</v>
      </c>
      <c r="O37" s="53">
        <f t="shared" si="3"/>
        <v>-135.81952677328147</v>
      </c>
    </row>
    <row r="38" spans="1:15" x14ac:dyDescent="0.35">
      <c r="N38" s="22"/>
      <c r="O38" s="22"/>
    </row>
    <row r="39" spans="1:15" x14ac:dyDescent="0.35">
      <c r="A39" t="s">
        <v>57</v>
      </c>
      <c r="B39" s="42" t="s">
        <v>148</v>
      </c>
      <c r="C39" s="47">
        <f>IFERROR(HistoricalFS!C81/HistoricalFS!C8,0)</f>
        <v>0.12106750071762705</v>
      </c>
      <c r="D39" s="47">
        <f>IFERROR(HistoricalFS!D81/HistoricalFS!D8,0)</f>
        <v>0.14360971207739662</v>
      </c>
      <c r="E39" s="47">
        <f>IFERROR(HistoricalFS!E81/HistoricalFS!E8,0)</f>
        <v>0.12404497255040564</v>
      </c>
      <c r="F39" s="47">
        <f>IFERROR(HistoricalFS!F81/HistoricalFS!F8,0)</f>
        <v>5.9759805574664121E-2</v>
      </c>
      <c r="G39" s="47">
        <f>IFERROR(HistoricalFS!G81/HistoricalFS!G8,0)</f>
        <v>3.8653579670555313E-2</v>
      </c>
      <c r="H39" s="47">
        <f>IFERROR(HistoricalFS!H81/HistoricalFS!H8,0)</f>
        <v>0.12141665635964458</v>
      </c>
      <c r="I39" s="47">
        <f>IFERROR(HistoricalFS!I81/HistoricalFS!I8,0)</f>
        <v>0.11572300859005244</v>
      </c>
      <c r="J39" s="47">
        <f>IFERROR(HistoricalFS!J81/HistoricalFS!J8,0)</f>
        <v>1.2684338598291522E-2</v>
      </c>
      <c r="K39" s="47">
        <f>IFERROR(HistoricalFS!K81/HistoricalFS!K8,0)</f>
        <v>9.3248786148573667E-2</v>
      </c>
      <c r="L39" s="47">
        <f>IFERROR(HistoricalFS!L81/HistoricalFS!L8,0)</f>
        <v>0.17181143821959496</v>
      </c>
      <c r="M39" s="55"/>
      <c r="N39" s="47">
        <f t="shared" si="2"/>
        <v>0.10020197985068061</v>
      </c>
      <c r="O39" s="47">
        <f t="shared" si="3"/>
        <v>0.11839525465383974</v>
      </c>
    </row>
    <row r="40" spans="1:15" x14ac:dyDescent="0.35">
      <c r="B40" t="s">
        <v>149</v>
      </c>
      <c r="C40" s="44">
        <f>IFERROR(HistoricalFS!C81/HistoricalFS!C67,0)</f>
        <v>0.1342520624188657</v>
      </c>
      <c r="D40" s="44">
        <f>IFERROR(HistoricalFS!D81/HistoricalFS!D67,0)</f>
        <v>0.14899075217760099</v>
      </c>
      <c r="E40" s="44">
        <f>IFERROR(HistoricalFS!E81/HistoricalFS!E67,0)</f>
        <v>0.12273077928285075</v>
      </c>
      <c r="F40" s="44">
        <f>IFERROR(HistoricalFS!F81/HistoricalFS!F67,0)</f>
        <v>5.3250110386320486E-2</v>
      </c>
      <c r="G40" s="44">
        <f>IFERROR(HistoricalFS!G81/HistoricalFS!G67,0)</f>
        <v>3.8177516390146542E-2</v>
      </c>
      <c r="H40" s="44">
        <f>IFERROR(HistoricalFS!H81/HistoricalFS!H67,0)</f>
        <v>9.9000750797857404E-2</v>
      </c>
      <c r="I40" s="44">
        <f>IFERROR(HistoricalFS!I81/HistoricalFS!I67,0)</f>
        <v>8.4629819997903213E-2</v>
      </c>
      <c r="J40" s="44">
        <f>IFERROR(HistoricalFS!J81/HistoricalFS!J67,0)</f>
        <v>1.073355621163692E-2</v>
      </c>
      <c r="K40" s="44">
        <f>IFERROR(HistoricalFS!K81/HistoricalFS!K67,0)</f>
        <v>9.639517425935408E-2</v>
      </c>
      <c r="L40" s="44">
        <f>IFERROR(HistoricalFS!L81/HistoricalFS!L67,0)</f>
        <v>0.2036178712738107</v>
      </c>
      <c r="N40" s="44">
        <f t="shared" si="2"/>
        <v>9.9177839319634684E-2</v>
      </c>
      <c r="O40" s="44">
        <f t="shared" si="3"/>
        <v>9.7697962528605742E-2</v>
      </c>
    </row>
    <row r="41" spans="1:15" x14ac:dyDescent="0.35">
      <c r="B41" s="45" t="s">
        <v>150</v>
      </c>
      <c r="C41" s="46">
        <f>IFERROR(HistoricalFS!C81/HistoricalFS!C52,0)</f>
        <v>0.43281933433581865</v>
      </c>
      <c r="D41" s="46">
        <f>IFERROR(HistoricalFS!D81/HistoricalFS!D52,0)</f>
        <v>0.56534057978118779</v>
      </c>
      <c r="E41" s="46">
        <f>IFERROR(HistoricalFS!E81/HistoricalFS!E52,0)</f>
        <v>0.42560185883717339</v>
      </c>
      <c r="F41" s="46">
        <f>IFERROR(HistoricalFS!F81/HistoricalFS!F52,0)</f>
        <v>0.19587305159826587</v>
      </c>
      <c r="G41" s="46">
        <f>IFERROR(HistoricalFS!G81/HistoricalFS!G52,0)</f>
        <v>0.1099219460940742</v>
      </c>
      <c r="H41" s="46">
        <f>IFERROR(HistoricalFS!H81/HistoricalFS!H52,0)</f>
        <v>0.25401554192386361</v>
      </c>
      <c r="I41" s="46">
        <f>IFERROR(HistoricalFS!I81/HistoricalFS!I52,0)</f>
        <v>0.20338341005738594</v>
      </c>
      <c r="J41" s="46">
        <f>IFERROR(HistoricalFS!J81/HistoricalFS!J52,0)</f>
        <v>2.4117605968438302E-2</v>
      </c>
      <c r="K41" s="46">
        <f>IFERROR(HistoricalFS!K81/HistoricalFS!K52,0)</f>
        <v>0.24055008953614193</v>
      </c>
      <c r="L41" s="46">
        <f>IFERROR(HistoricalFS!L81/HistoricalFS!L52,0)</f>
        <v>0.70146602960027971</v>
      </c>
      <c r="M41" s="56"/>
      <c r="N41" s="46">
        <f t="shared" si="2"/>
        <v>0.31530894477326293</v>
      </c>
      <c r="O41" s="46">
        <f t="shared" si="3"/>
        <v>0.24728281573000277</v>
      </c>
    </row>
  </sheetData>
  <sheetProtection algorithmName="SHA-512" hashValue="DdmflKbDsJ/hPxCrDVHG/8g77x4bjxkXdkkJcMZjoyDTnrpqMmHuQUV2eNur9Y2jYL2upNSCWzz9RMfRQJV6rA==" saltValue="JsB1MLmgaaTppSGx4sz0qw==" spinCount="100000" sheet="1" objects="1" scenarios="1"/>
  <mergeCells count="1">
    <mergeCell ref="B3:O3"/>
  </mergeCells>
  <pageMargins left="0.7" right="0.7" top="0.75" bottom="0.75" header="0.3" footer="0.3"/>
  <pageSetup paperSize="9" scale="82" fitToHeight="0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8C24379-4A4D-4665-8048-1CC3415A44C6}">
          <x14:colorSeries theme="3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xr2:uid="{117EDA30-B8BE-4A88-8239-742931DE5C3F}">
          <x14:colorSeries theme="3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EA62-48D6-4E90-8E8B-B8D88D48AA99}">
  <sheetPr>
    <pageSetUpPr fitToPage="1"/>
  </sheetPr>
  <dimension ref="B2:O18"/>
  <sheetViews>
    <sheetView showGridLines="0" topLeftCell="B1" workbookViewId="0">
      <selection activeCell="O5" sqref="O5"/>
    </sheetView>
  </sheetViews>
  <sheetFormatPr defaultRowHeight="14.5" x14ac:dyDescent="0.35"/>
  <cols>
    <col min="1" max="1" width="1.81640625" customWidth="1"/>
    <col min="2" max="2" width="14.54296875" style="61" customWidth="1"/>
    <col min="3" max="3" width="9.54296875" style="59" bestFit="1" customWidth="1"/>
    <col min="4" max="4" width="13.7265625" style="59" customWidth="1"/>
    <col min="5" max="5" width="11.81640625" bestFit="1" customWidth="1"/>
    <col min="6" max="6" width="2.6328125" customWidth="1"/>
    <col min="7" max="7" width="14.54296875" customWidth="1"/>
    <col min="8" max="8" width="9.54296875" customWidth="1"/>
    <col min="9" max="10" width="13.6328125" customWidth="1"/>
    <col min="11" max="11" width="2.6328125" customWidth="1"/>
    <col min="12" max="12" width="19.1796875" customWidth="1"/>
    <col min="13" max="13" width="6" bestFit="1" customWidth="1"/>
    <col min="14" max="14" width="12.26953125" customWidth="1"/>
    <col min="15" max="15" width="14.453125" customWidth="1"/>
  </cols>
  <sheetData>
    <row r="2" spans="2:15" x14ac:dyDescent="0.35">
      <c r="B2" s="69" t="str">
        <f>'Data Sheet'!B1&amp;" - "&amp;'Data Sheet'!A17&amp;" FORECASTING"</f>
        <v>TATA MOTORS LTD - Sales FORECASTING</v>
      </c>
      <c r="C2" s="69"/>
      <c r="D2" s="69"/>
      <c r="E2" s="69"/>
      <c r="G2" s="69" t="str">
        <f>'Data Sheet'!B1&amp;" - "&amp;HistoricalFS!B20&amp;" FORECASTING"</f>
        <v>TATA MOTORS LTD - EBITDA FORECASTING</v>
      </c>
      <c r="H2" s="69"/>
      <c r="I2" s="69"/>
      <c r="J2" s="69"/>
      <c r="L2" s="69" t="str">
        <f>'Data Sheet'!B1&amp;" - "&amp;HistoricalFS!B40&amp;" FORECASTING"</f>
        <v>TATA MOTORS LTD - Earnings per Share FORECASTING</v>
      </c>
      <c r="M2" s="69"/>
      <c r="N2" s="69"/>
      <c r="O2" s="69"/>
    </row>
    <row r="3" spans="2:15" x14ac:dyDescent="0.35">
      <c r="B3" s="60" t="s">
        <v>154</v>
      </c>
      <c r="C3" s="58" t="s">
        <v>155</v>
      </c>
      <c r="D3" s="58" t="s">
        <v>33</v>
      </c>
      <c r="E3" s="58" t="s">
        <v>58</v>
      </c>
      <c r="G3" s="60" t="s">
        <v>154</v>
      </c>
      <c r="H3" s="58" t="s">
        <v>155</v>
      </c>
      <c r="I3" s="58" t="s">
        <v>64</v>
      </c>
      <c r="J3" s="58" t="s">
        <v>124</v>
      </c>
      <c r="L3" s="60" t="s">
        <v>154</v>
      </c>
      <c r="M3" s="58" t="s">
        <v>155</v>
      </c>
      <c r="N3" s="58" t="s">
        <v>156</v>
      </c>
      <c r="O3" s="58" t="s">
        <v>157</v>
      </c>
    </row>
    <row r="4" spans="2:15" x14ac:dyDescent="0.35">
      <c r="B4" s="61">
        <v>1</v>
      </c>
      <c r="C4" s="62">
        <f>'Data Sheet'!$B$16</f>
        <v>42094</v>
      </c>
      <c r="D4" s="63">
        <f t="array" ref="D4:D13">IFERROR(TRANSPOSE('Data Sheet'!B17:K17),0)</f>
        <v>263158.98</v>
      </c>
      <c r="G4" s="61">
        <v>1</v>
      </c>
      <c r="H4" s="62">
        <f>'Data Sheet'!$B$16</f>
        <v>42094</v>
      </c>
      <c r="I4" s="63">
        <f t="array" ref="I4:I13">IFERROR(TRANSPOSE(HistoricalFS!C20:L20),0)</f>
        <v>39238.64999999998</v>
      </c>
      <c r="L4" s="61">
        <v>1</v>
      </c>
      <c r="M4" s="62">
        <f>'Data Sheet'!$B$16</f>
        <v>42094</v>
      </c>
      <c r="N4" s="63">
        <f t="array" ref="N4:N13">IFERROR(TRANSPOSE(HistoricalFS!C40:L40),0)</f>
        <v>46.220198102098706</v>
      </c>
      <c r="O4" t="s">
        <v>158</v>
      </c>
    </row>
    <row r="5" spans="2:15" x14ac:dyDescent="0.35">
      <c r="B5" s="61">
        <f>B4+1</f>
        <v>2</v>
      </c>
      <c r="C5" s="62">
        <f>C4+365</f>
        <v>42459</v>
      </c>
      <c r="D5" s="63">
        <v>273045.59999999998</v>
      </c>
      <c r="E5" s="22">
        <f>IFERROR(D5/D4-1,0)</f>
        <v>3.75690010654397E-2</v>
      </c>
      <c r="G5" s="61">
        <f>G4+1</f>
        <v>2</v>
      </c>
      <c r="H5" s="62">
        <f>H4+365</f>
        <v>42459</v>
      </c>
      <c r="I5" s="63">
        <v>38395.249999999971</v>
      </c>
      <c r="J5" s="22">
        <f>IFERROR(I5/I4-1,0)</f>
        <v>-2.1494113584437979E-2</v>
      </c>
      <c r="L5" s="61">
        <f>L4+1</f>
        <v>2</v>
      </c>
      <c r="M5" s="62">
        <f>M4+365</f>
        <v>42459</v>
      </c>
      <c r="N5" s="63">
        <v>47.694444444444336</v>
      </c>
      <c r="O5" s="22">
        <f>IFERROR(N5/N4-1,0)</f>
        <v>3.189614936502605E-2</v>
      </c>
    </row>
    <row r="6" spans="2:15" x14ac:dyDescent="0.35">
      <c r="B6" s="61">
        <f t="shared" ref="B6:B18" si="0">B5+1</f>
        <v>3</v>
      </c>
      <c r="C6" s="62">
        <f t="shared" ref="C6:C18" si="1">C5+365</f>
        <v>42824</v>
      </c>
      <c r="D6" s="63">
        <v>269692.51</v>
      </c>
      <c r="E6" s="22">
        <f t="shared" ref="E6:E18" si="2">IFERROR(D6/D5-1,0)</f>
        <v>-1.2280329732469508E-2</v>
      </c>
      <c r="G6" s="61">
        <f t="shared" ref="G6:G18" si="3">G5+1</f>
        <v>3</v>
      </c>
      <c r="H6" s="62">
        <f t="shared" ref="H6:H18" si="4">H5+365</f>
        <v>42824</v>
      </c>
      <c r="I6" s="63">
        <v>29588.690000000046</v>
      </c>
      <c r="J6" s="22">
        <f t="shared" ref="J6:J18" si="5">IFERROR(I6/I5-1,0)</f>
        <v>-0.22936587208052905</v>
      </c>
      <c r="L6" s="61">
        <f t="shared" ref="L6:L18" si="6">L5+1</f>
        <v>3</v>
      </c>
      <c r="M6" s="62">
        <f t="shared" ref="M6:M18" si="7">M5+365</f>
        <v>42824</v>
      </c>
      <c r="N6" s="63">
        <v>14.527274616423808</v>
      </c>
      <c r="O6" s="22">
        <f>IFERROR(N6/N5-1,0)</f>
        <v>-0.69540950134463697</v>
      </c>
    </row>
    <row r="7" spans="2:15" x14ac:dyDescent="0.35">
      <c r="B7" s="61">
        <f t="shared" si="0"/>
        <v>4</v>
      </c>
      <c r="C7" s="62">
        <f t="shared" si="1"/>
        <v>43189</v>
      </c>
      <c r="D7" s="63">
        <v>291550.48</v>
      </c>
      <c r="E7" s="22">
        <f t="shared" si="2"/>
        <v>8.104774581985974E-2</v>
      </c>
      <c r="G7" s="61">
        <f t="shared" si="3"/>
        <v>4</v>
      </c>
      <c r="H7" s="62">
        <f t="shared" si="4"/>
        <v>43189</v>
      </c>
      <c r="I7" s="63">
        <v>31457.679999999993</v>
      </c>
      <c r="J7" s="22">
        <f t="shared" si="5"/>
        <v>6.3165689322506102E-2</v>
      </c>
      <c r="L7" s="61">
        <f t="shared" si="6"/>
        <v>4</v>
      </c>
      <c r="M7" s="62">
        <f t="shared" si="7"/>
        <v>43189</v>
      </c>
      <c r="N7" s="63">
        <v>3.049111626779315</v>
      </c>
      <c r="O7" s="22">
        <f t="shared" ref="O7:O18" si="8">IFERROR(N7/N6-1,0)</f>
        <v>-0.79011124197155724</v>
      </c>
    </row>
    <row r="8" spans="2:15" x14ac:dyDescent="0.35">
      <c r="B8" s="61">
        <f t="shared" si="0"/>
        <v>5</v>
      </c>
      <c r="C8" s="62">
        <f t="shared" si="1"/>
        <v>43554</v>
      </c>
      <c r="D8" s="63">
        <v>301938.40000000002</v>
      </c>
      <c r="E8" s="22">
        <f t="shared" si="2"/>
        <v>3.5629919045237157E-2</v>
      </c>
      <c r="G8" s="61">
        <f t="shared" si="3"/>
        <v>5</v>
      </c>
      <c r="H8" s="62">
        <f t="shared" si="4"/>
        <v>43554</v>
      </c>
      <c r="I8" s="63">
        <v>24664.330000000024</v>
      </c>
      <c r="J8" s="22">
        <f t="shared" si="5"/>
        <v>-0.21595203460649259</v>
      </c>
      <c r="L8" s="61">
        <f t="shared" si="6"/>
        <v>5</v>
      </c>
      <c r="M8" s="62">
        <f t="shared" si="7"/>
        <v>43554</v>
      </c>
      <c r="N8" s="63">
        <v>-7.7839157690575265</v>
      </c>
      <c r="O8" s="22">
        <f t="shared" si="8"/>
        <v>-3.5528470983790919</v>
      </c>
    </row>
    <row r="9" spans="2:15" x14ac:dyDescent="0.35">
      <c r="B9" s="61">
        <f t="shared" si="0"/>
        <v>6</v>
      </c>
      <c r="C9" s="62">
        <f t="shared" si="1"/>
        <v>43919</v>
      </c>
      <c r="D9" s="63">
        <v>261067.97</v>
      </c>
      <c r="E9" s="22">
        <f t="shared" si="2"/>
        <v>-0.135360159555724</v>
      </c>
      <c r="G9" s="61">
        <f t="shared" si="3"/>
        <v>6</v>
      </c>
      <c r="H9" s="62">
        <f t="shared" si="4"/>
        <v>43919</v>
      </c>
      <c r="I9" s="63">
        <v>17987.069999999963</v>
      </c>
      <c r="J9" s="22">
        <f t="shared" si="5"/>
        <v>-0.27072537547138131</v>
      </c>
      <c r="L9" s="61">
        <f t="shared" si="6"/>
        <v>6</v>
      </c>
      <c r="M9" s="62">
        <f t="shared" si="7"/>
        <v>43919</v>
      </c>
      <c r="N9" s="63">
        <v>-35.859307219164904</v>
      </c>
      <c r="O9" s="22">
        <f t="shared" si="8"/>
        <v>3.6068467700681115</v>
      </c>
    </row>
    <row r="10" spans="2:15" x14ac:dyDescent="0.35">
      <c r="B10" s="61">
        <f t="shared" si="0"/>
        <v>7</v>
      </c>
      <c r="C10" s="62">
        <f t="shared" si="1"/>
        <v>44284</v>
      </c>
      <c r="D10" s="63">
        <v>249794.75</v>
      </c>
      <c r="E10" s="22">
        <f t="shared" si="2"/>
        <v>-4.3181168490336042E-2</v>
      </c>
      <c r="G10" s="61">
        <f t="shared" si="3"/>
        <v>7</v>
      </c>
      <c r="H10" s="62">
        <f t="shared" si="4"/>
        <v>44284</v>
      </c>
      <c r="I10" s="63">
        <v>32287.429999999989</v>
      </c>
      <c r="J10" s="22">
        <f t="shared" si="5"/>
        <v>0.79503554497758966</v>
      </c>
      <c r="L10" s="61">
        <f t="shared" si="6"/>
        <v>7</v>
      </c>
      <c r="M10" s="62">
        <f t="shared" si="7"/>
        <v>44284</v>
      </c>
      <c r="N10" s="63">
        <v>-5.7172845827184542</v>
      </c>
      <c r="O10" s="22">
        <f t="shared" si="8"/>
        <v>-0.84056344011958861</v>
      </c>
    </row>
    <row r="11" spans="2:15" x14ac:dyDescent="0.35">
      <c r="B11" s="61">
        <f t="shared" si="0"/>
        <v>8</v>
      </c>
      <c r="C11" s="62">
        <f t="shared" si="1"/>
        <v>44649</v>
      </c>
      <c r="D11" s="63">
        <v>278453.62</v>
      </c>
      <c r="E11" s="22">
        <f t="shared" si="2"/>
        <v>0.11472967306158344</v>
      </c>
      <c r="G11" s="61">
        <f t="shared" si="3"/>
        <v>8</v>
      </c>
      <c r="H11" s="62">
        <f t="shared" si="4"/>
        <v>44649</v>
      </c>
      <c r="I11" s="63">
        <v>24720.090000000015</v>
      </c>
      <c r="J11" s="22">
        <f t="shared" si="5"/>
        <v>-0.234374182150762</v>
      </c>
      <c r="L11" s="61">
        <f t="shared" si="6"/>
        <v>8</v>
      </c>
      <c r="M11" s="62">
        <f t="shared" si="7"/>
        <v>44649</v>
      </c>
      <c r="N11" s="63">
        <v>-41.132140813683833</v>
      </c>
      <c r="O11" s="22">
        <f t="shared" si="8"/>
        <v>6.194349033807641</v>
      </c>
    </row>
    <row r="12" spans="2:15" x14ac:dyDescent="0.35">
      <c r="B12" s="61">
        <f t="shared" si="0"/>
        <v>9</v>
      </c>
      <c r="C12" s="62">
        <f t="shared" si="1"/>
        <v>45014</v>
      </c>
      <c r="D12" s="63">
        <v>345966.97</v>
      </c>
      <c r="E12" s="22">
        <f t="shared" si="2"/>
        <v>0.24245815155859707</v>
      </c>
      <c r="G12" s="61">
        <f t="shared" si="3"/>
        <v>9</v>
      </c>
      <c r="H12" s="62">
        <f t="shared" si="4"/>
        <v>45014</v>
      </c>
      <c r="I12" s="63">
        <v>31815.799999999959</v>
      </c>
      <c r="J12" s="22">
        <f t="shared" si="5"/>
        <v>0.28704223973294352</v>
      </c>
      <c r="L12" s="61">
        <f t="shared" si="6"/>
        <v>9</v>
      </c>
      <c r="M12" s="62">
        <f t="shared" si="7"/>
        <v>45014</v>
      </c>
      <c r="N12" s="63">
        <v>-11.965495438533218</v>
      </c>
      <c r="O12" s="22">
        <f t="shared" si="8"/>
        <v>-0.70909621522659627</v>
      </c>
    </row>
    <row r="13" spans="2:15" x14ac:dyDescent="0.35">
      <c r="B13" s="61">
        <f t="shared" si="0"/>
        <v>10</v>
      </c>
      <c r="C13" s="62">
        <f t="shared" si="1"/>
        <v>45379</v>
      </c>
      <c r="D13" s="63">
        <v>437927.77</v>
      </c>
      <c r="E13" s="22">
        <f t="shared" si="2"/>
        <v>0.26580803363974326</v>
      </c>
      <c r="G13" s="61">
        <f t="shared" si="3"/>
        <v>10</v>
      </c>
      <c r="H13" s="62">
        <f t="shared" si="4"/>
        <v>45379</v>
      </c>
      <c r="I13" s="63">
        <v>59538.34000000004</v>
      </c>
      <c r="J13" s="22">
        <f t="shared" si="5"/>
        <v>0.87134505497269021</v>
      </c>
      <c r="L13" s="61">
        <f t="shared" si="6"/>
        <v>10</v>
      </c>
      <c r="M13" s="62">
        <f t="shared" si="7"/>
        <v>45379</v>
      </c>
      <c r="N13" s="63">
        <v>78.629509281824596</v>
      </c>
      <c r="O13" s="22">
        <f t="shared" si="8"/>
        <v>-7.5713542482001346</v>
      </c>
    </row>
    <row r="14" spans="2:15" x14ac:dyDescent="0.35">
      <c r="B14" s="64">
        <f t="shared" si="0"/>
        <v>11</v>
      </c>
      <c r="C14" s="65">
        <f t="shared" si="1"/>
        <v>45744</v>
      </c>
      <c r="D14" s="66">
        <f>IFERROR(FORECAST(B14,$D$4:$D$13,$B$4:$B$13),0)</f>
        <v>362627.59266666661</v>
      </c>
      <c r="E14" s="67">
        <f t="shared" si="2"/>
        <v>-0.17194656857073354</v>
      </c>
      <c r="G14" s="64">
        <f t="shared" si="3"/>
        <v>11</v>
      </c>
      <c r="H14" s="65">
        <f t="shared" si="4"/>
        <v>45744</v>
      </c>
      <c r="I14" s="66">
        <f>IFERROR(FORECAST(G14,$I$4:$I$13,$G$4:$G$13),0)</f>
        <v>36573.001333333334</v>
      </c>
      <c r="J14" s="67">
        <f>IFERROR(I14/I13-1,0)</f>
        <v>-0.38572352985767977</v>
      </c>
      <c r="L14" s="64">
        <f t="shared" si="6"/>
        <v>11</v>
      </c>
      <c r="M14" s="65">
        <f t="shared" si="7"/>
        <v>45744</v>
      </c>
      <c r="N14" s="66">
        <f>IFERROR(FORECAST(L14,$N$4:$N$13,$L$4:$L$13),0)</f>
        <v>-6.520675101573687</v>
      </c>
      <c r="O14" s="67">
        <f>IFERROR(N14/N13-1,0)</f>
        <v>-1.082929108436913</v>
      </c>
    </row>
    <row r="15" spans="2:15" x14ac:dyDescent="0.35">
      <c r="B15" s="64">
        <f t="shared" si="0"/>
        <v>12</v>
      </c>
      <c r="C15" s="65">
        <f t="shared" si="1"/>
        <v>46109</v>
      </c>
      <c r="D15" s="66">
        <f t="shared" ref="D15:D18" si="9">IFERROR(FORECAST(B15,$D$4:$D$13,$B$4:$B$13),0)</f>
        <v>374512.66315151507</v>
      </c>
      <c r="E15" s="67">
        <f t="shared" si="2"/>
        <v>3.2774865247977569E-2</v>
      </c>
      <c r="G15" s="64">
        <f t="shared" si="3"/>
        <v>12</v>
      </c>
      <c r="H15" s="65">
        <f t="shared" si="4"/>
        <v>46109</v>
      </c>
      <c r="I15" s="66">
        <f t="shared" ref="I15:I18" si="10">IFERROR(FORECAST(G15,$I$4:$I$13,$G$4:$G$13),0)</f>
        <v>37228.213757575766</v>
      </c>
      <c r="J15" s="67">
        <f t="shared" si="5"/>
        <v>1.7915194278716795E-2</v>
      </c>
      <c r="L15" s="64">
        <f t="shared" si="6"/>
        <v>12</v>
      </c>
      <c r="M15" s="65">
        <f t="shared" si="7"/>
        <v>46109</v>
      </c>
      <c r="N15" s="66">
        <f t="shared" ref="N15:N18" si="11">IFERROR(FORECAST(L15,$N$4:$N$13,$L$4:$L$13),0)</f>
        <v>-9.3001141063764052</v>
      </c>
      <c r="O15" s="67">
        <f t="shared" si="8"/>
        <v>0.42625019058715763</v>
      </c>
    </row>
    <row r="16" spans="2:15" x14ac:dyDescent="0.35">
      <c r="B16" s="64">
        <f t="shared" si="0"/>
        <v>13</v>
      </c>
      <c r="C16" s="65">
        <f t="shared" si="1"/>
        <v>46474</v>
      </c>
      <c r="D16" s="66">
        <f t="shared" si="9"/>
        <v>386397.73363636358</v>
      </c>
      <c r="E16" s="67">
        <f t="shared" si="2"/>
        <v>3.1734762677544603E-2</v>
      </c>
      <c r="G16" s="64">
        <f t="shared" si="3"/>
        <v>13</v>
      </c>
      <c r="H16" s="65">
        <f t="shared" si="4"/>
        <v>46474</v>
      </c>
      <c r="I16" s="66">
        <f t="shared" si="10"/>
        <v>37883.426181818184</v>
      </c>
      <c r="J16" s="67">
        <f t="shared" si="5"/>
        <v>1.7599888850672762E-2</v>
      </c>
      <c r="L16" s="64">
        <f t="shared" si="6"/>
        <v>13</v>
      </c>
      <c r="M16" s="65">
        <f t="shared" si="7"/>
        <v>46474</v>
      </c>
      <c r="N16" s="66">
        <f t="shared" si="11"/>
        <v>-12.079553111179131</v>
      </c>
      <c r="O16" s="67">
        <f t="shared" si="8"/>
        <v>0.29886074224584713</v>
      </c>
    </row>
    <row r="17" spans="2:15" x14ac:dyDescent="0.35">
      <c r="B17" s="64">
        <f t="shared" si="0"/>
        <v>14</v>
      </c>
      <c r="C17" s="65">
        <f t="shared" si="1"/>
        <v>46839</v>
      </c>
      <c r="D17" s="66">
        <f t="shared" si="9"/>
        <v>398282.8041212121</v>
      </c>
      <c r="E17" s="67">
        <f t="shared" si="2"/>
        <v>3.0758644397312906E-2</v>
      </c>
      <c r="F17" s="57"/>
      <c r="G17" s="64">
        <f t="shared" si="3"/>
        <v>14</v>
      </c>
      <c r="H17" s="65">
        <f t="shared" si="4"/>
        <v>46839</v>
      </c>
      <c r="I17" s="66">
        <f t="shared" si="10"/>
        <v>38538.638606060616</v>
      </c>
      <c r="J17" s="67">
        <f t="shared" si="5"/>
        <v>1.7295490146477244E-2</v>
      </c>
      <c r="K17" s="57"/>
      <c r="L17" s="64">
        <f t="shared" si="6"/>
        <v>14</v>
      </c>
      <c r="M17" s="65">
        <f t="shared" si="7"/>
        <v>46839</v>
      </c>
      <c r="N17" s="66">
        <f t="shared" si="11"/>
        <v>-14.858992115981849</v>
      </c>
      <c r="O17" s="67">
        <f t="shared" si="8"/>
        <v>0.23009452247289364</v>
      </c>
    </row>
    <row r="18" spans="2:15" x14ac:dyDescent="0.35">
      <c r="B18" s="64">
        <f t="shared" si="0"/>
        <v>15</v>
      </c>
      <c r="C18" s="65">
        <f t="shared" si="1"/>
        <v>47204</v>
      </c>
      <c r="D18" s="66">
        <f t="shared" si="9"/>
        <v>410167.87460606056</v>
      </c>
      <c r="E18" s="67">
        <f t="shared" si="2"/>
        <v>2.9840782383442788E-2</v>
      </c>
      <c r="G18" s="64">
        <f t="shared" si="3"/>
        <v>15</v>
      </c>
      <c r="H18" s="65">
        <f t="shared" si="4"/>
        <v>47204</v>
      </c>
      <c r="I18" s="66">
        <f t="shared" si="10"/>
        <v>39193.851030303042</v>
      </c>
      <c r="J18" s="67">
        <f t="shared" si="5"/>
        <v>1.7001441876034251E-2</v>
      </c>
      <c r="L18" s="64">
        <f t="shared" si="6"/>
        <v>15</v>
      </c>
      <c r="M18" s="65">
        <f t="shared" si="7"/>
        <v>47204</v>
      </c>
      <c r="N18" s="66">
        <f t="shared" si="11"/>
        <v>-17.638431120784574</v>
      </c>
      <c r="O18" s="67">
        <f t="shared" si="8"/>
        <v>0.18705434279174638</v>
      </c>
    </row>
  </sheetData>
  <sheetProtection algorithmName="SHA-512" hashValue="91bXhp/70u9bHSpDi6mrI2jyWvP73FCxhrRyyg+HBe3QiIbZ2YVugqLn7NLh1aCt5Ef4r0I8fpT3Sb3NcASCPQ==" saltValue="a7gOWpunHq6pQLiEIuET0A==" spinCount="100000" sheet="1" objects="1" scenarios="1"/>
  <mergeCells count="3">
    <mergeCell ref="B2:E2"/>
    <mergeCell ref="G2:J2"/>
    <mergeCell ref="L2:O2"/>
  </mergeCells>
  <pageMargins left="0.7" right="0.7" top="0.75" bottom="0.75" header="0.3" footer="0.3"/>
  <pageSetup paperSize="9" scale="8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A3D6-18AE-48DC-874A-DC9D4140B509}">
  <sheetPr>
    <tabColor theme="8" tint="-0.499984740745262"/>
  </sheetPr>
  <dimension ref="A1"/>
  <sheetViews>
    <sheetView workbookViewId="0"/>
  </sheetViews>
  <sheetFormatPr defaultRowHeight="14.5" x14ac:dyDescent="0.35"/>
  <sheetData/>
  <sheetProtection algorithmName="SHA-512" hashValue="WmsF+ioUdJMk7vQ7n3Sf+v2NkqIYkZC1ErqBUGgyDnS3iAq5znwupoOrnoNI8xhjPU6UechIaFafQF+xiRiKYA==" saltValue="zDrulaamxkHAVhIBAVDfM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4CB-50E9-47E3-84AD-F290F655A23E}">
  <sheetPr>
    <tabColor rgb="FFFF0000"/>
  </sheetPr>
  <dimension ref="A1:K93"/>
  <sheetViews>
    <sheetView zoomScaleNormal="70" zoomScalePageLayoutView="120" workbookViewId="0">
      <pane xSplit="1" ySplit="1" topLeftCell="B10" activePane="bottomRight" state="frozen"/>
      <selection activeCell="C4" sqref="C4"/>
      <selection pane="topRight" activeCell="C4" sqref="C4"/>
      <selection pane="bottomLeft" activeCell="C4" sqref="C4"/>
      <selection pane="bottomRight" activeCell="B17" sqref="B17"/>
    </sheetView>
  </sheetViews>
  <sheetFormatPr defaultColWidth="8.81640625" defaultRowHeight="14.5" x14ac:dyDescent="0.35"/>
  <cols>
    <col min="1" max="1" width="27.6328125" style="1" bestFit="1" customWidth="1"/>
    <col min="2" max="11" width="13.453125" style="1" bestFit="1" customWidth="1"/>
    <col min="12" max="16384" width="8.81640625" style="1"/>
  </cols>
  <sheetData>
    <row r="1" spans="1:11" s="3" customFormat="1" x14ac:dyDescent="0.35">
      <c r="A1" s="3" t="s">
        <v>53</v>
      </c>
      <c r="B1" s="3" t="s">
        <v>52</v>
      </c>
      <c r="E1" s="70" t="str">
        <f>IF(B2&lt;&gt;B3, "A NEW VERSION OF THE WORKSHEET IS AVAILABLE", "")</f>
        <v/>
      </c>
      <c r="F1" s="70"/>
      <c r="G1" s="70"/>
      <c r="H1" s="70"/>
      <c r="I1" s="70"/>
      <c r="J1" s="70"/>
      <c r="K1" s="70"/>
    </row>
    <row r="2" spans="1:11" x14ac:dyDescent="0.35">
      <c r="A2" s="3" t="s">
        <v>51</v>
      </c>
      <c r="B2" s="1">
        <v>2.1</v>
      </c>
      <c r="E2" s="71" t="s">
        <v>50</v>
      </c>
      <c r="F2" s="71"/>
      <c r="G2" s="71"/>
      <c r="H2" s="71"/>
      <c r="I2" s="71"/>
      <c r="J2" s="71"/>
      <c r="K2" s="71"/>
    </row>
    <row r="3" spans="1:11" x14ac:dyDescent="0.35">
      <c r="A3" s="3" t="s">
        <v>49</v>
      </c>
      <c r="B3" s="1">
        <v>2.1</v>
      </c>
    </row>
    <row r="4" spans="1:11" x14ac:dyDescent="0.35">
      <c r="A4" s="3"/>
    </row>
    <row r="5" spans="1:11" x14ac:dyDescent="0.35">
      <c r="A5" s="3" t="s">
        <v>48</v>
      </c>
    </row>
    <row r="6" spans="1:11" x14ac:dyDescent="0.35">
      <c r="A6" s="1" t="s">
        <v>47</v>
      </c>
      <c r="B6" s="1">
        <f>IF(B9&gt;0, B9/B8, 0)</f>
        <v>368.31095264966916</v>
      </c>
    </row>
    <row r="7" spans="1:11" x14ac:dyDescent="0.35">
      <c r="A7" s="1" t="s">
        <v>46</v>
      </c>
      <c r="B7">
        <v>2</v>
      </c>
    </row>
    <row r="8" spans="1:11" x14ac:dyDescent="0.35">
      <c r="A8" s="1" t="s">
        <v>45</v>
      </c>
      <c r="B8">
        <v>974.65</v>
      </c>
    </row>
    <row r="9" spans="1:11" x14ac:dyDescent="0.35">
      <c r="A9" s="1" t="s">
        <v>44</v>
      </c>
      <c r="B9">
        <v>358974.27</v>
      </c>
    </row>
    <row r="15" spans="1:11" x14ac:dyDescent="0.35">
      <c r="A15" s="3" t="s">
        <v>43</v>
      </c>
    </row>
    <row r="16" spans="1:11" s="5" customFormat="1" x14ac:dyDescent="0.35">
      <c r="A16" s="7" t="s">
        <v>7</v>
      </c>
      <c r="B16" s="6">
        <v>42094</v>
      </c>
      <c r="C16" s="6">
        <v>42460</v>
      </c>
      <c r="D16" s="6">
        <v>42825</v>
      </c>
      <c r="E16" s="6">
        <v>43190</v>
      </c>
      <c r="F16" s="6">
        <v>43555</v>
      </c>
      <c r="G16" s="6">
        <v>43921</v>
      </c>
      <c r="H16" s="6">
        <v>44286</v>
      </c>
      <c r="I16" s="6">
        <v>44651</v>
      </c>
      <c r="J16" s="6">
        <v>45016</v>
      </c>
      <c r="K16" s="6">
        <v>45382</v>
      </c>
    </row>
    <row r="17" spans="1:11" s="4" customFormat="1" x14ac:dyDescent="0.35">
      <c r="A17" s="4" t="s">
        <v>33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4" customFormat="1" x14ac:dyDescent="0.35">
      <c r="A18" s="1" t="s">
        <v>42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4" customFormat="1" x14ac:dyDescent="0.35">
      <c r="A19" s="1" t="s">
        <v>41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4" customFormat="1" x14ac:dyDescent="0.35">
      <c r="A20" s="1" t="s">
        <v>40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4" customFormat="1" x14ac:dyDescent="0.35">
      <c r="A21" s="1" t="s">
        <v>39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4" customFormat="1" x14ac:dyDescent="0.35">
      <c r="A22" s="1" t="s">
        <v>38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4" customFormat="1" x14ac:dyDescent="0.35">
      <c r="A23" s="1" t="s">
        <v>37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4" customFormat="1" x14ac:dyDescent="0.35">
      <c r="A24" s="1" t="s">
        <v>36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4" customFormat="1" x14ac:dyDescent="0.35">
      <c r="A25" s="4" t="s">
        <v>31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4" customFormat="1" x14ac:dyDescent="0.35">
      <c r="A26" s="4" t="s">
        <v>30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4" customFormat="1" x14ac:dyDescent="0.35">
      <c r="A27" s="4" t="s">
        <v>29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4" customFormat="1" x14ac:dyDescent="0.35">
      <c r="A28" s="4" t="s">
        <v>28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4" customFormat="1" x14ac:dyDescent="0.35">
      <c r="A29" s="4" t="s">
        <v>27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4" customFormat="1" x14ac:dyDescent="0.35">
      <c r="A30" s="4" t="s">
        <v>26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4" customFormat="1" x14ac:dyDescent="0.35">
      <c r="A31" s="4" t="s">
        <v>35</v>
      </c>
      <c r="C31">
        <v>67.92</v>
      </c>
      <c r="J31">
        <v>766.02</v>
      </c>
      <c r="K31">
        <v>4675.6499999999996</v>
      </c>
    </row>
    <row r="32" spans="1:11" s="4" customFormat="1" x14ac:dyDescent="0.35"/>
    <row r="33" spans="1:11" x14ac:dyDescent="0.35">
      <c r="A33" s="4"/>
    </row>
    <row r="34" spans="1:11" x14ac:dyDescent="0.35">
      <c r="A34" s="4"/>
    </row>
    <row r="35" spans="1:11" x14ac:dyDescent="0.35">
      <c r="A35" s="4"/>
    </row>
    <row r="36" spans="1:11" x14ac:dyDescent="0.35">
      <c r="A36" s="4"/>
    </row>
    <row r="37" spans="1:11" x14ac:dyDescent="0.35">
      <c r="A37" s="4"/>
    </row>
    <row r="38" spans="1:11" x14ac:dyDescent="0.35">
      <c r="A38" s="4"/>
    </row>
    <row r="39" spans="1:11" x14ac:dyDescent="0.35">
      <c r="A39" s="4"/>
    </row>
    <row r="40" spans="1:11" x14ac:dyDescent="0.35">
      <c r="A40" s="3" t="s">
        <v>34</v>
      </c>
    </row>
    <row r="41" spans="1:11" s="5" customFormat="1" x14ac:dyDescent="0.35">
      <c r="A41" s="7" t="s">
        <v>7</v>
      </c>
      <c r="B41" s="6">
        <v>44651</v>
      </c>
      <c r="C41" s="6">
        <v>44742</v>
      </c>
      <c r="D41" s="6">
        <v>44834</v>
      </c>
      <c r="E41" s="6">
        <v>44926</v>
      </c>
      <c r="F41" s="6">
        <v>45016</v>
      </c>
      <c r="G41" s="6">
        <v>45107</v>
      </c>
      <c r="H41" s="6">
        <v>45199</v>
      </c>
      <c r="I41" s="6">
        <v>45291</v>
      </c>
      <c r="J41" s="6">
        <v>45382</v>
      </c>
      <c r="K41" s="6">
        <v>45473</v>
      </c>
    </row>
    <row r="42" spans="1:11" s="4" customFormat="1" x14ac:dyDescent="0.35">
      <c r="A42" s="4" t="s">
        <v>33</v>
      </c>
      <c r="B42">
        <v>78439.06</v>
      </c>
      <c r="C42">
        <v>71934.66</v>
      </c>
      <c r="D42">
        <v>79611.37</v>
      </c>
      <c r="E42">
        <v>88488.59</v>
      </c>
      <c r="F42">
        <v>105932.35</v>
      </c>
      <c r="G42">
        <v>102236</v>
      </c>
      <c r="H42">
        <v>105128.24</v>
      </c>
      <c r="I42">
        <v>110577.14</v>
      </c>
      <c r="J42">
        <v>119986</v>
      </c>
      <c r="K42">
        <v>108048</v>
      </c>
    </row>
    <row r="43" spans="1:11" s="4" customFormat="1" x14ac:dyDescent="0.35">
      <c r="A43" s="4" t="s">
        <v>32</v>
      </c>
      <c r="B43">
        <v>70156.27</v>
      </c>
      <c r="C43">
        <v>69521.929999999993</v>
      </c>
      <c r="D43">
        <v>74039.06</v>
      </c>
      <c r="E43">
        <v>77668.350000000006</v>
      </c>
      <c r="F43">
        <v>92817.95</v>
      </c>
      <c r="G43">
        <v>89019</v>
      </c>
      <c r="H43">
        <v>91361.3</v>
      </c>
      <c r="I43">
        <v>95158.77</v>
      </c>
      <c r="J43">
        <v>102851</v>
      </c>
      <c r="K43">
        <v>92263</v>
      </c>
    </row>
    <row r="44" spans="1:11" s="4" customFormat="1" x14ac:dyDescent="0.35">
      <c r="A44" s="4" t="s">
        <v>31</v>
      </c>
      <c r="B44">
        <v>188.74</v>
      </c>
      <c r="C44">
        <v>2380.98</v>
      </c>
      <c r="D44">
        <v>1351.14</v>
      </c>
      <c r="E44">
        <v>1129.98</v>
      </c>
      <c r="F44">
        <v>1452.86</v>
      </c>
      <c r="G44">
        <v>895</v>
      </c>
      <c r="H44">
        <v>1507.05</v>
      </c>
      <c r="I44">
        <v>1603.76</v>
      </c>
      <c r="J44">
        <v>1619</v>
      </c>
      <c r="K44">
        <v>1747</v>
      </c>
    </row>
    <row r="45" spans="1:11" s="4" customFormat="1" x14ac:dyDescent="0.35">
      <c r="A45" s="4" t="s">
        <v>30</v>
      </c>
      <c r="B45">
        <v>6432.11</v>
      </c>
      <c r="C45">
        <v>5841.04</v>
      </c>
      <c r="D45">
        <v>5897.34</v>
      </c>
      <c r="E45">
        <v>6071.78</v>
      </c>
      <c r="F45">
        <v>7050.2</v>
      </c>
      <c r="G45">
        <v>6633</v>
      </c>
      <c r="H45">
        <v>6636.42</v>
      </c>
      <c r="I45">
        <v>6850</v>
      </c>
      <c r="J45">
        <v>7151</v>
      </c>
      <c r="K45">
        <v>6574</v>
      </c>
    </row>
    <row r="46" spans="1:11" s="4" customFormat="1" x14ac:dyDescent="0.35">
      <c r="A46" s="4" t="s">
        <v>29</v>
      </c>
      <c r="B46">
        <v>2380.52</v>
      </c>
      <c r="C46">
        <v>2420.7199999999998</v>
      </c>
      <c r="D46">
        <v>2487.2600000000002</v>
      </c>
      <c r="E46">
        <v>2675.83</v>
      </c>
      <c r="F46">
        <v>2641.67</v>
      </c>
      <c r="G46">
        <v>2615</v>
      </c>
      <c r="H46">
        <v>2651.69</v>
      </c>
      <c r="I46">
        <v>2484.91</v>
      </c>
      <c r="J46">
        <v>2234</v>
      </c>
      <c r="K46">
        <v>2088</v>
      </c>
    </row>
    <row r="47" spans="1:11" s="4" customFormat="1" x14ac:dyDescent="0.35">
      <c r="A47" s="4" t="s">
        <v>28</v>
      </c>
      <c r="B47">
        <v>-341.1</v>
      </c>
      <c r="C47">
        <v>-3468.05</v>
      </c>
      <c r="D47">
        <v>-1461.15</v>
      </c>
      <c r="E47">
        <v>3202.61</v>
      </c>
      <c r="F47">
        <v>4875.3900000000003</v>
      </c>
      <c r="G47">
        <v>4864</v>
      </c>
      <c r="H47">
        <v>5985.88</v>
      </c>
      <c r="I47">
        <v>7687.22</v>
      </c>
      <c r="J47">
        <v>9369</v>
      </c>
      <c r="K47">
        <v>8870</v>
      </c>
    </row>
    <row r="48" spans="1:11" s="4" customFormat="1" x14ac:dyDescent="0.35">
      <c r="A48" s="4" t="s">
        <v>27</v>
      </c>
      <c r="B48">
        <v>758.22</v>
      </c>
      <c r="C48">
        <v>1518.96</v>
      </c>
      <c r="D48">
        <v>-457.08</v>
      </c>
      <c r="E48">
        <v>262.83</v>
      </c>
      <c r="F48">
        <v>-620.65</v>
      </c>
      <c r="G48">
        <v>1563</v>
      </c>
      <c r="H48">
        <v>2202.84</v>
      </c>
      <c r="I48">
        <v>541.79</v>
      </c>
      <c r="J48">
        <v>-8160</v>
      </c>
      <c r="K48">
        <v>3178</v>
      </c>
    </row>
    <row r="49" spans="1:11" s="4" customFormat="1" x14ac:dyDescent="0.35">
      <c r="A49" s="4" t="s">
        <v>26</v>
      </c>
      <c r="B49">
        <v>-1032.8399999999999</v>
      </c>
      <c r="C49">
        <v>-5006.6000000000004</v>
      </c>
      <c r="D49">
        <v>-944.61</v>
      </c>
      <c r="E49">
        <v>2957.71</v>
      </c>
      <c r="F49">
        <v>5407.79</v>
      </c>
      <c r="G49">
        <v>3203</v>
      </c>
      <c r="H49">
        <v>3764</v>
      </c>
      <c r="I49">
        <v>7025.11</v>
      </c>
      <c r="J49">
        <v>17407</v>
      </c>
      <c r="K49">
        <v>5566</v>
      </c>
    </row>
    <row r="50" spans="1:11" x14ac:dyDescent="0.35">
      <c r="A50" s="4" t="s">
        <v>25</v>
      </c>
      <c r="B50">
        <v>8282.7900000000009</v>
      </c>
      <c r="C50">
        <v>2412.73</v>
      </c>
      <c r="D50">
        <v>5572.31</v>
      </c>
      <c r="E50">
        <v>10820.24</v>
      </c>
      <c r="F50">
        <v>13114.4</v>
      </c>
      <c r="G50">
        <v>13217</v>
      </c>
      <c r="H50">
        <v>13766.94</v>
      </c>
      <c r="I50">
        <v>15418.37</v>
      </c>
      <c r="J50">
        <v>17135</v>
      </c>
      <c r="K50">
        <v>15785</v>
      </c>
    </row>
    <row r="51" spans="1:11" x14ac:dyDescent="0.35">
      <c r="A51" s="4"/>
    </row>
    <row r="52" spans="1:11" x14ac:dyDescent="0.35">
      <c r="A52" s="4"/>
    </row>
    <row r="53" spans="1:11" x14ac:dyDescent="0.35">
      <c r="A53" s="4"/>
    </row>
    <row r="54" spans="1:11" x14ac:dyDescent="0.35">
      <c r="A54" s="4"/>
    </row>
    <row r="55" spans="1:11" x14ac:dyDescent="0.35">
      <c r="A55" s="3" t="s">
        <v>24</v>
      </c>
    </row>
    <row r="56" spans="1:11" s="5" customFormat="1" x14ac:dyDescent="0.35">
      <c r="A56" s="7" t="s">
        <v>7</v>
      </c>
      <c r="B56" s="6">
        <v>42094</v>
      </c>
      <c r="C56" s="6">
        <v>42460</v>
      </c>
      <c r="D56" s="6">
        <v>42825</v>
      </c>
      <c r="E56" s="6">
        <v>43190</v>
      </c>
      <c r="F56" s="6">
        <v>43555</v>
      </c>
      <c r="G56" s="6">
        <v>43921</v>
      </c>
      <c r="H56" s="6">
        <v>44286</v>
      </c>
      <c r="I56" s="6">
        <v>44651</v>
      </c>
      <c r="J56" s="6">
        <v>45016</v>
      </c>
      <c r="K56" s="6">
        <v>45382</v>
      </c>
    </row>
    <row r="57" spans="1:11" x14ac:dyDescent="0.35">
      <c r="A57" s="4" t="s">
        <v>23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5">
      <c r="A58" s="4" t="s">
        <v>22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5">
      <c r="A59" s="4" t="s">
        <v>21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5">
      <c r="A60" s="4" t="s">
        <v>20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3" customFormat="1" x14ac:dyDescent="0.35">
      <c r="A61" s="3" t="s">
        <v>15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5">
      <c r="A62" s="4" t="s">
        <v>19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5">
      <c r="A63" s="4" t="s">
        <v>18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5">
      <c r="A64" s="4" t="s">
        <v>17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5">
      <c r="A65" s="4" t="s">
        <v>16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3" customFormat="1" x14ac:dyDescent="0.35">
      <c r="A66" s="3" t="s">
        <v>15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4" customFormat="1" x14ac:dyDescent="0.35">
      <c r="A67" s="4" t="s">
        <v>14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5">
      <c r="A68" s="4" t="s">
        <v>13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5">
      <c r="A69" s="1" t="s">
        <v>12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5">
      <c r="A70" s="1" t="s">
        <v>11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5">
      <c r="A71" s="1" t="s">
        <v>10</v>
      </c>
    </row>
    <row r="72" spans="1:11" x14ac:dyDescent="0.35">
      <c r="A72" s="1" t="s">
        <v>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4"/>
    </row>
    <row r="75" spans="1:11" x14ac:dyDescent="0.35">
      <c r="A75" s="4"/>
    </row>
    <row r="76" spans="1:11" x14ac:dyDescent="0.35">
      <c r="A76" s="4"/>
    </row>
    <row r="77" spans="1:11" x14ac:dyDescent="0.35">
      <c r="A77" s="4"/>
    </row>
    <row r="78" spans="1:11" x14ac:dyDescent="0.35">
      <c r="A78" s="4"/>
    </row>
    <row r="79" spans="1:11" x14ac:dyDescent="0.35">
      <c r="A79" s="4"/>
    </row>
    <row r="80" spans="1:11" x14ac:dyDescent="0.35">
      <c r="A80" s="3" t="s">
        <v>8</v>
      </c>
    </row>
    <row r="81" spans="1:11" s="5" customFormat="1" x14ac:dyDescent="0.35">
      <c r="A81" s="7" t="s">
        <v>7</v>
      </c>
      <c r="B81" s="6">
        <v>42094</v>
      </c>
      <c r="C81" s="6">
        <v>42460</v>
      </c>
      <c r="D81" s="6">
        <v>42825</v>
      </c>
      <c r="E81" s="6">
        <v>43190</v>
      </c>
      <c r="F81" s="6">
        <v>43555</v>
      </c>
      <c r="G81" s="6">
        <v>43921</v>
      </c>
      <c r="H81" s="6">
        <v>44286</v>
      </c>
      <c r="I81" s="6">
        <v>44651</v>
      </c>
      <c r="J81" s="6">
        <v>45016</v>
      </c>
      <c r="K81" s="6">
        <v>45382</v>
      </c>
    </row>
    <row r="82" spans="1:11" s="3" customFormat="1" x14ac:dyDescent="0.35">
      <c r="A82" s="4" t="s">
        <v>6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4" customFormat="1" x14ac:dyDescent="0.35">
      <c r="A83" s="4" t="s">
        <v>5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4" customFormat="1" x14ac:dyDescent="0.35">
      <c r="A84" s="4" t="s">
        <v>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3" customFormat="1" x14ac:dyDescent="0.35">
      <c r="A85" s="4" t="s">
        <v>3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5">
      <c r="A86" s="4"/>
    </row>
    <row r="87" spans="1:11" x14ac:dyDescent="0.35">
      <c r="A87" s="4"/>
    </row>
    <row r="88" spans="1:11" x14ac:dyDescent="0.35">
      <c r="A88" s="4"/>
    </row>
    <row r="89" spans="1:11" x14ac:dyDescent="0.35">
      <c r="A89" s="4"/>
    </row>
    <row r="90" spans="1:11" s="3" customFormat="1" x14ac:dyDescent="0.35">
      <c r="A90" s="3" t="s">
        <v>2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3" customFormat="1" x14ac:dyDescent="0.35">
      <c r="A92" s="3" t="s">
        <v>1</v>
      </c>
    </row>
    <row r="93" spans="1:11" x14ac:dyDescent="0.35">
      <c r="A93" s="1" t="s">
        <v>0</v>
      </c>
      <c r="B93" s="2">
        <v>288.74</v>
      </c>
      <c r="C93" s="2">
        <v>288.72000000000003</v>
      </c>
      <c r="D93" s="2">
        <v>288.73</v>
      </c>
      <c r="E93" s="2">
        <v>288.73</v>
      </c>
      <c r="F93" s="2">
        <v>288.73</v>
      </c>
      <c r="G93" s="2">
        <v>308.89999999999998</v>
      </c>
      <c r="H93" s="2">
        <v>332.03</v>
      </c>
      <c r="I93" s="2">
        <v>332.07</v>
      </c>
      <c r="J93" s="2">
        <v>332.13</v>
      </c>
      <c r="K93" s="2">
        <v>332.37</v>
      </c>
    </row>
  </sheetData>
  <sheetProtection algorithmName="SHA-512" hashValue="2lp6TJKHsd+r//MA9b1yFzXa4pU9JIu0dLLNoMZNGqITQ4R6O07bTQa5+/mG4USEAMgntRZ2dJJCbz7XQdAFFQ==" saltValue="q1vNl5nfb3AfNflcEMg8jg==" spinCount="100000"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7AC43BE3-6206-4CFF-8126-9B193E2C14D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7FAF-5167-4B6B-940B-A7C33FC5D2A0}">
  <sheetPr>
    <tabColor rgb="FFFF0000"/>
  </sheetPr>
  <dimension ref="B2:L33"/>
  <sheetViews>
    <sheetView workbookViewId="0">
      <selection activeCell="E33" sqref="E33"/>
    </sheetView>
  </sheetViews>
  <sheetFormatPr defaultRowHeight="14.5" x14ac:dyDescent="0.35"/>
  <cols>
    <col min="2" max="2" width="26" bestFit="1" customWidth="1"/>
  </cols>
  <sheetData>
    <row r="2" spans="2:12" x14ac:dyDescent="0.35">
      <c r="C2" s="8">
        <v>42064</v>
      </c>
      <c r="D2" s="8">
        <v>42430</v>
      </c>
      <c r="E2" s="8">
        <v>42795</v>
      </c>
      <c r="F2" s="8">
        <v>43160</v>
      </c>
      <c r="G2" s="8">
        <v>43525</v>
      </c>
      <c r="H2" s="8">
        <v>43891</v>
      </c>
      <c r="I2" s="8">
        <v>44256</v>
      </c>
      <c r="J2" s="8">
        <v>44621</v>
      </c>
      <c r="K2" s="8">
        <v>44986</v>
      </c>
      <c r="L2" s="8">
        <v>45352</v>
      </c>
    </row>
    <row r="3" spans="2:12" x14ac:dyDescent="0.35">
      <c r="B3" t="s">
        <v>90</v>
      </c>
      <c r="C3" s="34">
        <v>35531</v>
      </c>
      <c r="D3" s="34">
        <v>37900</v>
      </c>
      <c r="E3" s="34">
        <v>30199</v>
      </c>
      <c r="F3" s="34">
        <v>23857</v>
      </c>
      <c r="G3" s="34">
        <v>18891</v>
      </c>
      <c r="H3" s="34">
        <v>26633</v>
      </c>
      <c r="I3" s="34">
        <v>29001</v>
      </c>
      <c r="J3" s="34">
        <v>14283</v>
      </c>
      <c r="K3" s="34">
        <v>35388</v>
      </c>
      <c r="L3" s="34">
        <v>67915</v>
      </c>
    </row>
    <row r="4" spans="2:12" x14ac:dyDescent="0.35">
      <c r="B4" t="s">
        <v>91</v>
      </c>
      <c r="C4" s="34">
        <v>43397</v>
      </c>
      <c r="D4" s="34">
        <v>38626</v>
      </c>
      <c r="E4" s="34">
        <v>28840</v>
      </c>
      <c r="F4" s="34">
        <v>33312</v>
      </c>
      <c r="G4" s="34">
        <v>28771</v>
      </c>
      <c r="H4" s="34">
        <v>23352</v>
      </c>
      <c r="I4" s="34">
        <v>31198</v>
      </c>
      <c r="J4" s="34">
        <v>26943</v>
      </c>
      <c r="K4" s="34">
        <v>41694</v>
      </c>
      <c r="L4" s="34">
        <v>65106</v>
      </c>
    </row>
    <row r="5" spans="2:12" x14ac:dyDescent="0.35">
      <c r="B5" t="s">
        <v>14</v>
      </c>
      <c r="C5" s="34">
        <v>-3179</v>
      </c>
      <c r="D5" s="34">
        <v>-2223</v>
      </c>
      <c r="E5" s="34">
        <v>-4152</v>
      </c>
      <c r="F5" s="34">
        <v>-10688</v>
      </c>
      <c r="G5" s="34">
        <v>-9109</v>
      </c>
      <c r="H5" s="34">
        <v>9950</v>
      </c>
      <c r="I5" s="34">
        <v>-5505</v>
      </c>
      <c r="J5">
        <v>185</v>
      </c>
      <c r="K5" s="34">
        <v>-2213</v>
      </c>
      <c r="L5" s="34">
        <v>-1875</v>
      </c>
    </row>
    <row r="6" spans="2:12" x14ac:dyDescent="0.35">
      <c r="B6" t="s">
        <v>13</v>
      </c>
      <c r="C6" s="34">
        <v>-3692</v>
      </c>
      <c r="D6" s="34">
        <v>-5743</v>
      </c>
      <c r="E6" s="34">
        <v>-6621</v>
      </c>
      <c r="F6" s="34">
        <v>-3560</v>
      </c>
      <c r="G6" s="34">
        <v>2069</v>
      </c>
      <c r="H6" s="34">
        <v>2326</v>
      </c>
      <c r="I6" s="34">
        <v>3814</v>
      </c>
      <c r="J6">
        <v>472</v>
      </c>
      <c r="K6" s="34">
        <v>-5665</v>
      </c>
      <c r="L6" s="34">
        <v>-7265</v>
      </c>
    </row>
    <row r="7" spans="2:12" x14ac:dyDescent="0.35">
      <c r="B7" t="s">
        <v>92</v>
      </c>
      <c r="C7" s="34">
        <v>3598</v>
      </c>
      <c r="D7" s="34">
        <v>3947</v>
      </c>
      <c r="E7" s="34">
        <v>9301</v>
      </c>
      <c r="F7" s="34">
        <v>7320</v>
      </c>
      <c r="G7" s="34">
        <v>-4692</v>
      </c>
      <c r="H7" s="34">
        <v>-8085</v>
      </c>
      <c r="I7" s="34">
        <v>5748</v>
      </c>
      <c r="J7" s="34">
        <v>-7012</v>
      </c>
      <c r="K7" s="34">
        <v>6945</v>
      </c>
      <c r="L7" s="34">
        <v>13706</v>
      </c>
    </row>
    <row r="8" spans="2:12" x14ac:dyDescent="0.35">
      <c r="B8" t="s">
        <v>93</v>
      </c>
      <c r="C8">
        <v>0</v>
      </c>
      <c r="D8">
        <v>-520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5">
      <c r="B9" t="s">
        <v>94</v>
      </c>
      <c r="C9">
        <v>-398</v>
      </c>
      <c r="D9" s="34">
        <v>5852</v>
      </c>
      <c r="E9" s="34">
        <v>4727</v>
      </c>
      <c r="F9">
        <v>494</v>
      </c>
      <c r="G9" s="34">
        <v>4512</v>
      </c>
      <c r="H9">
        <v>875</v>
      </c>
      <c r="I9" s="34">
        <v>-4150</v>
      </c>
      <c r="J9" s="34">
        <v>-4396</v>
      </c>
      <c r="K9" s="34">
        <v>-2194</v>
      </c>
      <c r="L9" s="34">
        <v>2760</v>
      </c>
    </row>
    <row r="10" spans="2:12" x14ac:dyDescent="0.35">
      <c r="B10" t="s">
        <v>95</v>
      </c>
      <c r="C10" s="34">
        <v>-3672</v>
      </c>
      <c r="D10" s="34">
        <v>1313</v>
      </c>
      <c r="E10" s="34">
        <v>3254</v>
      </c>
      <c r="F10" s="34">
        <v>-6434</v>
      </c>
      <c r="G10" s="34">
        <v>-7221</v>
      </c>
      <c r="H10" s="34">
        <v>5065</v>
      </c>
      <c r="I10">
        <v>-93</v>
      </c>
      <c r="J10" s="34">
        <v>-10750</v>
      </c>
      <c r="K10" s="34">
        <v>-3127</v>
      </c>
      <c r="L10" s="34">
        <v>7325</v>
      </c>
    </row>
    <row r="11" spans="2:12" x14ac:dyDescent="0.35">
      <c r="B11" t="s">
        <v>96</v>
      </c>
      <c r="C11" s="34">
        <v>-4194</v>
      </c>
      <c r="D11" s="34">
        <v>-2040</v>
      </c>
      <c r="E11" s="34">
        <v>-1895</v>
      </c>
      <c r="F11" s="34">
        <v>-3021</v>
      </c>
      <c r="G11" s="34">
        <v>-2659</v>
      </c>
      <c r="H11" s="34">
        <v>-1785</v>
      </c>
      <c r="I11" s="34">
        <v>-2105</v>
      </c>
      <c r="J11" s="34">
        <v>-1910</v>
      </c>
      <c r="K11" s="34">
        <v>-3179</v>
      </c>
      <c r="L11" s="34">
        <v>-4516</v>
      </c>
    </row>
    <row r="12" spans="2:12" x14ac:dyDescent="0.35">
      <c r="B12" t="s">
        <v>97</v>
      </c>
      <c r="C12" s="34">
        <v>-36232</v>
      </c>
      <c r="D12" s="34">
        <v>-36694</v>
      </c>
      <c r="E12" s="34">
        <v>-39571</v>
      </c>
      <c r="F12" s="34">
        <v>-25139</v>
      </c>
      <c r="G12" s="34">
        <v>-20878</v>
      </c>
      <c r="H12" s="34">
        <v>-33115</v>
      </c>
      <c r="I12" s="34">
        <v>-25672</v>
      </c>
      <c r="J12" s="34">
        <v>-4444</v>
      </c>
      <c r="K12" s="34">
        <v>-15417</v>
      </c>
      <c r="L12" s="34">
        <v>-22782</v>
      </c>
    </row>
    <row r="13" spans="2:12" x14ac:dyDescent="0.35">
      <c r="B13" t="s">
        <v>98</v>
      </c>
      <c r="C13" s="34">
        <v>-31962</v>
      </c>
      <c r="D13" s="34">
        <v>-31503</v>
      </c>
      <c r="E13" s="34">
        <v>-16072</v>
      </c>
      <c r="F13" s="34">
        <v>-35079</v>
      </c>
      <c r="G13" s="34">
        <v>-35304</v>
      </c>
      <c r="H13" s="34">
        <v>-29702</v>
      </c>
      <c r="I13" s="34">
        <v>-20205</v>
      </c>
      <c r="J13" s="34">
        <v>-15168</v>
      </c>
      <c r="K13" s="34">
        <v>-19230</v>
      </c>
      <c r="L13" s="34">
        <v>-31414</v>
      </c>
    </row>
    <row r="14" spans="2:12" x14ac:dyDescent="0.35">
      <c r="B14" t="s">
        <v>99</v>
      </c>
      <c r="C14">
        <v>74</v>
      </c>
      <c r="D14">
        <v>59</v>
      </c>
      <c r="E14">
        <v>53</v>
      </c>
      <c r="F14">
        <v>30</v>
      </c>
      <c r="G14">
        <v>67</v>
      </c>
      <c r="H14">
        <v>171</v>
      </c>
      <c r="I14">
        <v>351</v>
      </c>
      <c r="J14">
        <v>230</v>
      </c>
      <c r="K14">
        <v>285</v>
      </c>
      <c r="L14">
        <v>231</v>
      </c>
    </row>
    <row r="15" spans="2:12" x14ac:dyDescent="0.35">
      <c r="B15" t="s">
        <v>100</v>
      </c>
      <c r="C15" s="34">
        <v>-5461</v>
      </c>
      <c r="D15" s="34">
        <v>-4728</v>
      </c>
      <c r="E15">
        <v>-6</v>
      </c>
      <c r="F15">
        <v>-329</v>
      </c>
      <c r="G15">
        <v>-130</v>
      </c>
      <c r="H15" s="34">
        <v>-1439</v>
      </c>
      <c r="I15" s="34">
        <v>-7530</v>
      </c>
      <c r="J15" s="34">
        <v>-3008</v>
      </c>
      <c r="K15">
        <v>-50</v>
      </c>
      <c r="L15">
        <v>-74</v>
      </c>
    </row>
    <row r="16" spans="2:12" x14ac:dyDescent="0.35">
      <c r="B16" t="s">
        <v>101</v>
      </c>
      <c r="C16">
        <v>42</v>
      </c>
      <c r="D16">
        <v>89</v>
      </c>
      <c r="E16" s="34">
        <v>1965</v>
      </c>
      <c r="F16" s="34">
        <v>2381</v>
      </c>
      <c r="G16" s="34">
        <v>5644</v>
      </c>
      <c r="H16">
        <v>21</v>
      </c>
      <c r="I16">
        <v>226</v>
      </c>
      <c r="J16">
        <v>104</v>
      </c>
      <c r="K16" s="34">
        <v>6895</v>
      </c>
      <c r="L16" s="34">
        <v>10820</v>
      </c>
    </row>
    <row r="17" spans="2:12" x14ac:dyDescent="0.35">
      <c r="B17" t="s">
        <v>102</v>
      </c>
      <c r="C17">
        <v>698</v>
      </c>
      <c r="D17">
        <v>731</v>
      </c>
      <c r="E17">
        <v>638</v>
      </c>
      <c r="F17">
        <v>690</v>
      </c>
      <c r="G17">
        <v>761</v>
      </c>
      <c r="H17" s="34">
        <v>1104</v>
      </c>
      <c r="I17">
        <v>428</v>
      </c>
      <c r="J17">
        <v>653</v>
      </c>
      <c r="K17">
        <v>973</v>
      </c>
      <c r="L17" s="34">
        <v>2493</v>
      </c>
    </row>
    <row r="18" spans="2:12" x14ac:dyDescent="0.35">
      <c r="B18" t="s">
        <v>103</v>
      </c>
      <c r="C18">
        <v>80</v>
      </c>
      <c r="D18">
        <v>58</v>
      </c>
      <c r="E18">
        <v>620</v>
      </c>
      <c r="F18" s="34">
        <v>1797</v>
      </c>
      <c r="G18">
        <v>232</v>
      </c>
      <c r="H18">
        <v>21</v>
      </c>
      <c r="I18">
        <v>18</v>
      </c>
      <c r="J18">
        <v>32</v>
      </c>
      <c r="K18">
        <v>46</v>
      </c>
      <c r="L18">
        <v>47</v>
      </c>
    </row>
    <row r="19" spans="2:12" x14ac:dyDescent="0.35">
      <c r="B19" t="s">
        <v>104</v>
      </c>
      <c r="C19">
        <v>-160</v>
      </c>
      <c r="D19">
        <v>0</v>
      </c>
      <c r="E19">
        <v>-107</v>
      </c>
      <c r="F19">
        <v>-4</v>
      </c>
      <c r="G19">
        <v>-9</v>
      </c>
      <c r="H19">
        <v>-606</v>
      </c>
      <c r="I19">
        <v>-10</v>
      </c>
      <c r="J19">
        <v>0</v>
      </c>
      <c r="K19">
        <v>0</v>
      </c>
      <c r="L19">
        <v>-150</v>
      </c>
    </row>
    <row r="20" spans="2:12" x14ac:dyDescent="0.35">
      <c r="B20" t="s">
        <v>105</v>
      </c>
      <c r="C20">
        <v>0</v>
      </c>
      <c r="D20">
        <v>0</v>
      </c>
      <c r="E20">
        <v>0</v>
      </c>
      <c r="F20">
        <v>14</v>
      </c>
      <c r="G20">
        <v>533</v>
      </c>
      <c r="H20">
        <v>0</v>
      </c>
      <c r="I20">
        <v>0</v>
      </c>
      <c r="J20">
        <v>0</v>
      </c>
      <c r="K20">
        <v>19</v>
      </c>
      <c r="L20">
        <v>108</v>
      </c>
    </row>
    <row r="21" spans="2:12" x14ac:dyDescent="0.35">
      <c r="B21" t="s">
        <v>106</v>
      </c>
      <c r="C21">
        <v>0</v>
      </c>
      <c r="D21">
        <v>-111</v>
      </c>
      <c r="E21">
        <v>0</v>
      </c>
      <c r="F21">
        <v>0</v>
      </c>
      <c r="G21">
        <v>-8</v>
      </c>
      <c r="H21">
        <v>-27</v>
      </c>
      <c r="I21">
        <v>0</v>
      </c>
      <c r="J21">
        <v>-98</v>
      </c>
      <c r="K21">
        <v>0</v>
      </c>
      <c r="L21">
        <v>0</v>
      </c>
    </row>
    <row r="22" spans="2:12" x14ac:dyDescent="0.35"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</v>
      </c>
    </row>
    <row r="23" spans="2:12" x14ac:dyDescent="0.35">
      <c r="B23" t="s">
        <v>108</v>
      </c>
      <c r="C23">
        <v>456</v>
      </c>
      <c r="D23" s="34">
        <v>-1289</v>
      </c>
      <c r="E23" s="34">
        <v>-26663</v>
      </c>
      <c r="F23" s="34">
        <v>5360</v>
      </c>
      <c r="G23" s="34">
        <v>7335</v>
      </c>
      <c r="H23" s="34">
        <v>-2659</v>
      </c>
      <c r="I23" s="34">
        <v>1051</v>
      </c>
      <c r="J23" s="34">
        <v>12813</v>
      </c>
      <c r="K23" s="34">
        <v>-4357</v>
      </c>
      <c r="L23" s="34">
        <v>-4817</v>
      </c>
    </row>
    <row r="24" spans="2:12" x14ac:dyDescent="0.35">
      <c r="B24" t="s">
        <v>109</v>
      </c>
      <c r="C24" s="34">
        <v>5201</v>
      </c>
      <c r="D24" s="34">
        <v>-3795</v>
      </c>
      <c r="E24" s="34">
        <v>6205</v>
      </c>
      <c r="F24" s="34">
        <v>2012</v>
      </c>
      <c r="G24" s="34">
        <v>8830</v>
      </c>
      <c r="H24" s="34">
        <v>3390</v>
      </c>
      <c r="I24" s="34">
        <v>9904</v>
      </c>
      <c r="J24" s="34">
        <v>-3380</v>
      </c>
      <c r="K24" s="34">
        <v>-26243</v>
      </c>
      <c r="L24" s="34">
        <v>-37006</v>
      </c>
    </row>
    <row r="25" spans="2:12" x14ac:dyDescent="0.35">
      <c r="B25" t="s">
        <v>110</v>
      </c>
      <c r="C25">
        <v>0</v>
      </c>
      <c r="D25" s="34">
        <v>7433</v>
      </c>
      <c r="E25">
        <v>5</v>
      </c>
      <c r="F25">
        <v>0</v>
      </c>
      <c r="G25">
        <v>0</v>
      </c>
      <c r="H25" s="34">
        <v>3889</v>
      </c>
      <c r="I25" s="34">
        <v>2603</v>
      </c>
      <c r="J25">
        <v>19</v>
      </c>
      <c r="K25">
        <v>20</v>
      </c>
      <c r="L25">
        <v>82</v>
      </c>
    </row>
    <row r="26" spans="2:12" x14ac:dyDescent="0.35">
      <c r="B26" t="s">
        <v>111</v>
      </c>
      <c r="C26">
        <v>-744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35">
      <c r="B27" t="s">
        <v>112</v>
      </c>
      <c r="C27" s="34">
        <v>36363</v>
      </c>
      <c r="D27" s="34">
        <v>19519</v>
      </c>
      <c r="E27" s="34">
        <v>33390</v>
      </c>
      <c r="F27" s="34">
        <v>37482</v>
      </c>
      <c r="G27" s="34">
        <v>51128</v>
      </c>
      <c r="H27" s="34">
        <v>38297</v>
      </c>
      <c r="I27" s="34">
        <v>46641</v>
      </c>
      <c r="J27" s="34">
        <v>46578</v>
      </c>
      <c r="K27" s="34">
        <v>43934</v>
      </c>
      <c r="L27" s="34">
        <v>18747</v>
      </c>
    </row>
    <row r="28" spans="2:12" x14ac:dyDescent="0.35">
      <c r="B28" t="s">
        <v>113</v>
      </c>
      <c r="C28" s="34">
        <v>-23332</v>
      </c>
      <c r="D28" s="34">
        <v>-24924</v>
      </c>
      <c r="E28" s="34">
        <v>-21732</v>
      </c>
      <c r="F28" s="34">
        <v>-29964</v>
      </c>
      <c r="G28" s="34">
        <v>-35198</v>
      </c>
      <c r="H28" s="34">
        <v>-29847</v>
      </c>
      <c r="I28" s="34">
        <v>-29709</v>
      </c>
      <c r="J28" s="34">
        <v>-42816</v>
      </c>
      <c r="K28" s="34">
        <v>-62557</v>
      </c>
      <c r="L28" s="34">
        <v>-47332</v>
      </c>
    </row>
    <row r="29" spans="2:12" x14ac:dyDescent="0.35">
      <c r="B29" t="s">
        <v>114</v>
      </c>
      <c r="C29" s="34">
        <v>-6307</v>
      </c>
      <c r="D29" s="34">
        <v>-5716</v>
      </c>
      <c r="E29" s="34">
        <v>-5336</v>
      </c>
      <c r="F29" s="34">
        <v>-5411</v>
      </c>
      <c r="G29" s="34">
        <v>-7005</v>
      </c>
      <c r="H29" s="34">
        <v>-7518</v>
      </c>
      <c r="I29" s="34">
        <v>-8123</v>
      </c>
      <c r="J29" s="34">
        <v>-9251</v>
      </c>
      <c r="K29" s="34">
        <v>-9336</v>
      </c>
      <c r="L29" s="34">
        <v>-9332</v>
      </c>
    </row>
    <row r="30" spans="2:12" x14ac:dyDescent="0.35">
      <c r="B30" t="s">
        <v>115</v>
      </c>
      <c r="C30">
        <v>-720</v>
      </c>
      <c r="D30">
        <v>-108</v>
      </c>
      <c r="E30">
        <v>-121</v>
      </c>
      <c r="F30">
        <v>-96</v>
      </c>
      <c r="G30">
        <v>-95</v>
      </c>
      <c r="H30">
        <v>-57</v>
      </c>
      <c r="I30">
        <v>-30</v>
      </c>
      <c r="J30">
        <v>-100</v>
      </c>
      <c r="K30">
        <v>-141</v>
      </c>
      <c r="L30" s="34">
        <v>-1059</v>
      </c>
    </row>
    <row r="31" spans="2:12" x14ac:dyDescent="0.35">
      <c r="B31" t="s">
        <v>116</v>
      </c>
      <c r="C31">
        <v>0</v>
      </c>
      <c r="D31">
        <v>0</v>
      </c>
      <c r="E31">
        <v>0</v>
      </c>
      <c r="F31">
        <v>0</v>
      </c>
      <c r="G31">
        <v>0</v>
      </c>
      <c r="H31" s="34">
        <v>-1346</v>
      </c>
      <c r="I31" s="34">
        <v>-1477</v>
      </c>
      <c r="J31" s="34">
        <v>-1559</v>
      </c>
      <c r="K31" s="34">
        <v>-1517</v>
      </c>
      <c r="L31" s="34">
        <v>-1924</v>
      </c>
    </row>
    <row r="32" spans="2:12" x14ac:dyDescent="0.35">
      <c r="B32" t="s">
        <v>117</v>
      </c>
      <c r="C32">
        <v>-57</v>
      </c>
      <c r="D32">
        <v>0</v>
      </c>
      <c r="E32">
        <v>0</v>
      </c>
      <c r="F32">
        <v>0</v>
      </c>
      <c r="G32">
        <v>0</v>
      </c>
      <c r="H32">
        <v>-29</v>
      </c>
      <c r="I32">
        <v>0</v>
      </c>
      <c r="J32" s="34">
        <v>3750</v>
      </c>
      <c r="K32" s="34">
        <v>3355</v>
      </c>
      <c r="L32" s="34">
        <v>3812</v>
      </c>
    </row>
    <row r="33" spans="2:12" x14ac:dyDescent="0.35">
      <c r="B33" t="s">
        <v>3</v>
      </c>
      <c r="C33" s="34">
        <v>4500</v>
      </c>
      <c r="D33" s="34">
        <v>-2589</v>
      </c>
      <c r="E33" s="34">
        <v>-3167</v>
      </c>
      <c r="F33">
        <v>730</v>
      </c>
      <c r="G33" s="34">
        <v>6843</v>
      </c>
      <c r="H33" s="34">
        <v>-3092</v>
      </c>
      <c r="I33" s="34">
        <v>13232</v>
      </c>
      <c r="J33" s="34">
        <v>6459</v>
      </c>
      <c r="K33" s="34">
        <v>-6272</v>
      </c>
      <c r="L33" s="34">
        <v>8128</v>
      </c>
    </row>
  </sheetData>
  <sheetProtection algorithmName="SHA-512" hashValue="EJrP+6WXiIK8kUwi/g9ZYfzcS3W9rVO5pNr4abalZeGbqWOfIr4cHCMRSNAd45oOIjkO65PsrPl8aVsrS45ZXQ==" saltValue="X39SslbarhVHRh/OTZsz7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Guide</vt:lpstr>
      <vt:lpstr>Financials&gt;</vt:lpstr>
      <vt:lpstr>HistoricalFS</vt:lpstr>
      <vt:lpstr>Ratio Analysis</vt:lpstr>
      <vt:lpstr>Forecasting</vt:lpstr>
      <vt:lpstr>Data&gt;</vt:lpstr>
      <vt:lpstr>Data Sheet</vt:lpstr>
      <vt:lpstr>Cash Flow Data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 Shah</dc:creator>
  <cp:lastModifiedBy>Shah K (FCI)</cp:lastModifiedBy>
  <cp:lastPrinted>2024-10-05T14:41:22Z</cp:lastPrinted>
  <dcterms:created xsi:type="dcterms:W3CDTF">2015-06-05T18:17:20Z</dcterms:created>
  <dcterms:modified xsi:type="dcterms:W3CDTF">2024-10-05T14:53:59Z</dcterms:modified>
</cp:coreProperties>
</file>