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Merge_April9\erthosmerged\Materials_Information\"/>
    </mc:Choice>
  </mc:AlternateContent>
  <xr:revisionPtr revIDLastSave="0" documentId="13_ncr:1_{12304072-0214-4FB3-A666-8DA17E323A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D50" i="2"/>
  <c r="E50" i="2"/>
  <c r="F50" i="2"/>
  <c r="G50" i="2"/>
  <c r="H50" i="2"/>
  <c r="I50" i="2"/>
  <c r="J50" i="2"/>
  <c r="B50" i="2"/>
  <c r="C49" i="2"/>
  <c r="D49" i="2"/>
  <c r="E49" i="2"/>
  <c r="F49" i="2"/>
  <c r="G49" i="2"/>
  <c r="H49" i="2"/>
  <c r="I49" i="2"/>
  <c r="J49" i="2"/>
  <c r="B49" i="2"/>
  <c r="J48" i="2"/>
  <c r="I48" i="2"/>
  <c r="E48" i="2"/>
  <c r="C48" i="2"/>
  <c r="D48" i="2"/>
  <c r="F48" i="2"/>
  <c r="G48" i="2"/>
  <c r="H48" i="2"/>
  <c r="B48" i="2"/>
  <c r="J47" i="2"/>
  <c r="I47" i="2"/>
  <c r="E47" i="2"/>
  <c r="C47" i="2"/>
  <c r="D47" i="2"/>
  <c r="F47" i="2"/>
  <c r="G47" i="2"/>
  <c r="H47" i="2"/>
  <c r="B47" i="2"/>
  <c r="I46" i="2"/>
  <c r="E46" i="2"/>
  <c r="C46" i="2"/>
  <c r="D46" i="2"/>
  <c r="F46" i="2"/>
  <c r="G46" i="2"/>
  <c r="H46" i="2"/>
  <c r="B46" i="2"/>
  <c r="D43" i="2"/>
  <c r="E43" i="2"/>
  <c r="F43" i="2"/>
  <c r="G43" i="2"/>
  <c r="H43" i="2"/>
  <c r="I43" i="2"/>
  <c r="C43" i="2"/>
  <c r="D42" i="2"/>
  <c r="E42" i="2"/>
  <c r="F42" i="2"/>
  <c r="G42" i="2"/>
  <c r="H42" i="2"/>
  <c r="I42" i="2"/>
  <c r="J42" i="2"/>
  <c r="C42" i="2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E44" i="1"/>
  <c r="D44" i="1"/>
  <c r="C44" i="1"/>
  <c r="B44" i="1"/>
  <c r="K43" i="1"/>
  <c r="J43" i="1"/>
  <c r="E43" i="1"/>
  <c r="B43" i="1"/>
  <c r="K42" i="1"/>
  <c r="J42" i="1"/>
  <c r="I42" i="1"/>
  <c r="H42" i="1"/>
  <c r="E42" i="1"/>
  <c r="D42" i="1"/>
  <c r="C42" i="1"/>
  <c r="B42" i="1"/>
  <c r="K41" i="1"/>
  <c r="I41" i="1"/>
  <c r="H41" i="1"/>
  <c r="G41" i="1"/>
  <c r="E41" i="1"/>
  <c r="D41" i="1"/>
  <c r="C41" i="1"/>
  <c r="B41" i="1"/>
  <c r="K40" i="1"/>
  <c r="K39" i="1"/>
  <c r="I39" i="1"/>
  <c r="H39" i="1"/>
  <c r="E39" i="1"/>
  <c r="D39" i="1"/>
  <c r="C39" i="1"/>
  <c r="B39" i="1"/>
  <c r="K36" i="1"/>
  <c r="I36" i="1"/>
  <c r="H36" i="1"/>
  <c r="E36" i="1"/>
  <c r="D36" i="1"/>
  <c r="C36" i="1"/>
  <c r="B36" i="1"/>
  <c r="K35" i="1"/>
  <c r="I35" i="1"/>
  <c r="H35" i="1"/>
  <c r="E35" i="1"/>
  <c r="D35" i="1"/>
  <c r="C35" i="1"/>
  <c r="B35" i="1"/>
  <c r="K34" i="1"/>
  <c r="I34" i="1"/>
  <c r="H34" i="1"/>
  <c r="E34" i="1"/>
  <c r="D34" i="1"/>
  <c r="C34" i="1"/>
  <c r="B34" i="1"/>
  <c r="K33" i="1"/>
  <c r="I33" i="1"/>
  <c r="H33" i="1"/>
  <c r="E33" i="1"/>
  <c r="D33" i="1"/>
  <c r="C33" i="1"/>
  <c r="B33" i="1"/>
  <c r="K32" i="1"/>
  <c r="I32" i="1"/>
  <c r="H32" i="1"/>
  <c r="G32" i="1"/>
  <c r="F32" i="1"/>
  <c r="E32" i="1"/>
  <c r="D32" i="1"/>
  <c r="C32" i="1"/>
  <c r="B32" i="1"/>
  <c r="K31" i="1"/>
  <c r="I31" i="1"/>
  <c r="H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E29" i="1"/>
  <c r="D29" i="1"/>
  <c r="C29" i="1"/>
  <c r="B29" i="1"/>
  <c r="G28" i="1"/>
  <c r="G36" i="1" s="1"/>
  <c r="F28" i="1"/>
  <c r="F43" i="1" s="1"/>
  <c r="K18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I13" i="1"/>
  <c r="C13" i="1"/>
  <c r="C10" i="1"/>
  <c r="I9" i="1"/>
  <c r="H9" i="1"/>
  <c r="C9" i="1"/>
  <c r="F42" i="1" l="1"/>
  <c r="G42" i="1"/>
  <c r="G33" i="1"/>
  <c r="F44" i="1"/>
  <c r="G31" i="1"/>
  <c r="G39" i="1"/>
  <c r="G44" i="1"/>
  <c r="G29" i="1"/>
  <c r="F33" i="1"/>
  <c r="F35" i="1"/>
  <c r="G35" i="1"/>
  <c r="F39" i="1"/>
  <c r="G34" i="1"/>
  <c r="F36" i="1"/>
  <c r="F34" i="1"/>
  <c r="F29" i="1"/>
  <c r="F31" i="1"/>
  <c r="F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tc={86162661-88A6-4A6B-987A-7A6CBF43EA78}</author>
  </authors>
  <commentList>
    <comment ref="A42" authorId="0" shapeId="0" xr:uid="{86162661-88A6-4A6B-987A-7A6CBF43EA7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BDCC57D3-A0D2-4E88-8F0F-16C5CCD200B4}">
      <text>
        <r>
          <rPr>
            <sz val="10"/>
            <color rgb="FF000000"/>
            <rFont val="Calibri"/>
            <family val="2"/>
            <scheme val="minor"/>
          </rPr>
          <t>MW of HO divided by the repeating unit. In case of cellulose the repeating unit MW is 324
	-Kaveh Abdi</t>
        </r>
      </text>
    </comment>
    <comment ref="G1" authorId="0" shapeId="0" xr:uid="{7B8063F4-0207-475F-A3D2-6FE3447F1008}">
      <text>
        <r>
          <rPr>
            <sz val="10"/>
            <color rgb="FF000000"/>
            <rFont val="Calibri"/>
            <family val="2"/>
            <scheme val="minor"/>
          </rPr>
          <t>MW of HCOO divided by the repeating unit. In case of cellulose the repeating unit MW is 324
	-Kaveh Abdi</t>
        </r>
      </text>
    </comment>
    <comment ref="A17" authorId="0" shapeId="0" xr:uid="{015337BC-FDB7-4987-9256-BEC1B5B984E7}">
      <text>
        <r>
          <rPr>
            <sz val="10"/>
            <color rgb="FF000000"/>
            <rFont val="Calibri"/>
            <family val="2"/>
            <scheme val="minor"/>
          </rPr>
          <t>Polymer Part
	-Kaveh Abdi</t>
        </r>
      </text>
    </comment>
    <comment ref="A18" authorId="0" shapeId="0" xr:uid="{80806878-4148-475D-9837-DADA377F97A8}">
      <text>
        <r>
          <rPr>
            <sz val="10"/>
            <color rgb="FF000000"/>
            <rFont val="Calibri"/>
            <family val="2"/>
            <scheme val="minor"/>
          </rPr>
          <t>This is the polymer part from
ThermalandcompostingdegradationofEVA/Thermoplasticstarch blendsandtheirnanocomposites
	-Kaveh Abdi</t>
        </r>
      </text>
    </comment>
    <comment ref="A40" authorId="0" shapeId="0" xr:uid="{79E90236-C22E-4EEC-90A3-B1BE3714F0BA}">
      <text>
        <r>
          <rPr>
            <sz val="10"/>
            <color rgb="FF000000"/>
            <rFont val="Calibri"/>
            <family val="2"/>
            <scheme val="minor"/>
          </rPr>
          <t>Polymer Part
	-Kaveh Abdi
Assumed that the treated molecule which has a weight percentage of 1 % does not affect the disintegration properties
	-Kaveh Abdi</t>
        </r>
      </text>
    </comment>
    <comment ref="A46" authorId="0" shapeId="0" xr:uid="{566931D0-BC67-4A02-B558-78D48C3BE489}">
      <text>
        <r>
          <rPr>
            <sz val="10"/>
            <color rgb="FF000000"/>
            <rFont val="Calibri"/>
            <family val="2"/>
            <scheme val="minor"/>
          </rPr>
          <t>88% of this material is lignin
	-Kaveh Abdi</t>
        </r>
      </text>
    </comment>
  </commentList>
</comments>
</file>

<file path=xl/sharedStrings.xml><?xml version="1.0" encoding="utf-8"?>
<sst xmlns="http://schemas.openxmlformats.org/spreadsheetml/2006/main" count="122" uniqueCount="83">
  <si>
    <t>Cellulose Nanocrystals</t>
  </si>
  <si>
    <t>Cellulose</t>
  </si>
  <si>
    <t>Cellulose Nanocrystals from Phormium Tenax Leaves</t>
  </si>
  <si>
    <t>Natural Rubber</t>
  </si>
  <si>
    <t>Potato Starch</t>
  </si>
  <si>
    <t>Starch Nanocrystals</t>
  </si>
  <si>
    <t>Cellulose Nanocrystals from Hemp Fibres</t>
  </si>
  <si>
    <t>Maleic-Anhydride-grafted PBAT</t>
  </si>
  <si>
    <t>Poly(adipate diethylene)</t>
  </si>
  <si>
    <t>Bacterial cellulose</t>
  </si>
  <si>
    <t>Chitosan</t>
  </si>
  <si>
    <t>PBS grafted with maleic anhydride</t>
  </si>
  <si>
    <t>Cassava Starch</t>
  </si>
  <si>
    <t>Dry Heated (2 hrs) Cassava Starch</t>
  </si>
  <si>
    <t>Dry Heated (4 hrs) Cassava Starch</t>
  </si>
  <si>
    <t>Thermoplastic Wheat Flour</t>
  </si>
  <si>
    <t>Thermoplastic starch (TPS)</t>
  </si>
  <si>
    <t>Pea Starch</t>
  </si>
  <si>
    <t>Polyvinyl alcohol</t>
  </si>
  <si>
    <t>P(BS-co-2,5-furandicarboxylic acid) (PBS97.3/FA2.7)</t>
  </si>
  <si>
    <t>P(BS-co-2,5-furandicarboxylic acid) (PBS91.9/FA8.1)</t>
  </si>
  <si>
    <t>P(BS-co-2,5-furandicarboxylic acid) (PBS85/FA15)</t>
  </si>
  <si>
    <t>Kombucha Bacterial Cellulose from Coeffee</t>
  </si>
  <si>
    <t>Kombucha Bacterial Cellulose from Spent Coeffee</t>
  </si>
  <si>
    <t>Lignin</t>
  </si>
  <si>
    <t>Hemicellulose</t>
  </si>
  <si>
    <t>Almond Shell Powder</t>
  </si>
  <si>
    <t>Wheat Straw</t>
  </si>
  <si>
    <t>Pistachio Shell Flour</t>
  </si>
  <si>
    <t>Soy Straw</t>
  </si>
  <si>
    <t>Hazelnut Shell Flour</t>
  </si>
  <si>
    <t>Sawdust</t>
  </si>
  <si>
    <t>Hemp</t>
  </si>
  <si>
    <t>Spent Coeffee Ground</t>
  </si>
  <si>
    <t>Mantegna Wheat Flour</t>
  </si>
  <si>
    <t>Wood Flour</t>
  </si>
  <si>
    <t>Treated Chia Seed Flour</t>
  </si>
  <si>
    <t>Mango Kernel Seed Flour</t>
  </si>
  <si>
    <t>Orange Peel Flour</t>
  </si>
  <si>
    <t>Tangerine Peel Flour</t>
  </si>
  <si>
    <t>Seagrass</t>
  </si>
  <si>
    <t>Oryzite</t>
  </si>
  <si>
    <t>Renol</t>
  </si>
  <si>
    <t>Purified Alpha-cellulose Fibers</t>
  </si>
  <si>
    <t>Materials</t>
  </si>
  <si>
    <t>Weight_fraction_amine</t>
  </si>
  <si>
    <t>Weight_fraction_ester</t>
  </si>
  <si>
    <t>Weight_fraction_ether</t>
  </si>
  <si>
    <t>Weight_fraction_carbonyl</t>
  </si>
  <si>
    <t>Weight_fraction_hydroxyl</t>
  </si>
  <si>
    <t>Weight_fraction_ketal</t>
  </si>
  <si>
    <t>Weight_fraction_BenzeneCycle</t>
  </si>
  <si>
    <t>Weight_fraction_cyclic_dicarboxylic_anhydride</t>
  </si>
  <si>
    <t>Weight_fraction_carboxylic_acid</t>
  </si>
  <si>
    <t>Part of structure polymer and known</t>
  </si>
  <si>
    <t>Lignin Nanoparticles</t>
  </si>
  <si>
    <t>Rice Husk</t>
  </si>
  <si>
    <t>Weight_fraction_amine_Natural</t>
  </si>
  <si>
    <t>Weight_fraction_ether_Natural</t>
  </si>
  <si>
    <t>Weight_fraction_carbonyl_Natural</t>
  </si>
  <si>
    <t>Weight_fraction_hydroxyl_Natural</t>
  </si>
  <si>
    <t>Weight_fraction_ketal_Natural</t>
  </si>
  <si>
    <t>Weight_fraction_BenzeneCycle_Natural</t>
  </si>
  <si>
    <t>Weight_fraction_carboxylic_acid_Natural</t>
  </si>
  <si>
    <t>Surface-to-volume ratio Natural</t>
  </si>
  <si>
    <t>Corn Starch</t>
  </si>
  <si>
    <t>Lignin-coated Cellulose</t>
  </si>
  <si>
    <t>Cellulose Acetate</t>
  </si>
  <si>
    <t>Weight_fraction_ester_Natural</t>
  </si>
  <si>
    <t>Algae Biomass</t>
  </si>
  <si>
    <t>Starch</t>
  </si>
  <si>
    <t>Soy Meal</t>
  </si>
  <si>
    <t>Canola Meal</t>
  </si>
  <si>
    <t>Corn Gluten Meal</t>
  </si>
  <si>
    <t>Switchgrass</t>
  </si>
  <si>
    <t>Eucalyptus</t>
  </si>
  <si>
    <t>Acetylated Starch</t>
  </si>
  <si>
    <t>Hydroxypropylated Starch</t>
  </si>
  <si>
    <t>Spent Coffee Ground</t>
  </si>
  <si>
    <t>Kombucha Bacterial Cellulose from Coffee</t>
  </si>
  <si>
    <t>Kombucha Bacterial Cellulose from Spent Coffee</t>
  </si>
  <si>
    <t>E-Mateirial-1-Natural_Polymer</t>
  </si>
  <si>
    <t>E-Elastomer-2_Natural_Polymers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</si>
</sst>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&quot;Space Grotesk&quot;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&quot;docs-Space Grotesk&quot;"/>
    </font>
    <font>
      <sz val="11"/>
      <color rgb="FF000000"/>
      <name val="Space Grotesk"/>
    </font>
    <font>
      <sz val="11"/>
      <color theme="1"/>
      <name val="Calibri"/>
      <family val="2"/>
    </font>
    <font>
      <sz val="9"/>
      <color rgb="FF000000"/>
      <name val="&quot;Google Sans Mono&quot;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/>
      <name val="&quot;Space Grotesk&quot;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B8DC"/>
        <bgColor rgb="FFB6B8D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7" fillId="3" borderId="0" xfId="0" applyFont="1" applyFill="1" applyAlignment="1">
      <alignment horizontal="left"/>
    </xf>
    <xf numFmtId="0" fontId="8" fillId="0" borderId="0" xfId="0" applyFont="1"/>
    <xf numFmtId="0" fontId="10" fillId="4" borderId="0" xfId="0" applyFont="1" applyFill="1"/>
    <xf numFmtId="0" fontId="11" fillId="0" borderId="0" xfId="0" applyFont="1"/>
    <xf numFmtId="0" fontId="12" fillId="0" borderId="0" xfId="0" applyFont="1"/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right" wrapText="1"/>
    </xf>
    <xf numFmtId="0" fontId="13" fillId="5" borderId="1" xfId="0" applyFont="1" applyFill="1" applyBorder="1" applyAlignment="1">
      <alignment wrapText="1"/>
    </xf>
    <xf numFmtId="0" fontId="1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veh Abdi" id="{C2C5321A-213E-475F-8343-CBD0F9ECA862}" userId="S::18ka11@queensu.ca::e7249012-5214-405b-a3c6-069db44509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2" dT="2024-02-28T20:03:40.76" personId="{C2C5321A-213E-475F-8343-CBD0F9ECA862}" id="{86162661-88A6-4A6B-987A-7A6CBF43EA78}">
    <text>Assumed 10% Lignin coated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8D69-DA6C-40BD-A7A3-1B36969C1B74}">
  <dimension ref="A1:K54"/>
  <sheetViews>
    <sheetView tabSelected="1" topLeftCell="A37" workbookViewId="0">
      <selection activeCell="A54" sqref="A54"/>
    </sheetView>
  </sheetViews>
  <sheetFormatPr defaultRowHeight="15"/>
  <cols>
    <col min="1" max="1" width="48.85546875" bestFit="1" customWidth="1"/>
    <col min="2" max="2" width="48.85546875" customWidth="1"/>
    <col min="3" max="3" width="30.28515625" bestFit="1" customWidth="1"/>
    <col min="4" max="4" width="29.42578125" bestFit="1" customWidth="1"/>
    <col min="5" max="5" width="32.28515625" bestFit="1" customWidth="1"/>
    <col min="6" max="6" width="32.42578125" bestFit="1" customWidth="1"/>
    <col min="7" max="7" width="29" bestFit="1" customWidth="1"/>
    <col min="8" max="8" width="37.28515625" bestFit="1" customWidth="1"/>
    <col min="9" max="9" width="38.42578125" bestFit="1" customWidth="1"/>
    <col min="10" max="10" width="34.140625" bestFit="1" customWidth="1"/>
  </cols>
  <sheetData>
    <row r="1" spans="1:11">
      <c r="A1" s="10" t="s">
        <v>44</v>
      </c>
      <c r="B1" s="10" t="s">
        <v>68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54</v>
      </c>
      <c r="K1" s="10" t="s">
        <v>64</v>
      </c>
    </row>
    <row r="2" spans="1:11">
      <c r="A2" t="s">
        <v>0</v>
      </c>
      <c r="B2">
        <v>0</v>
      </c>
      <c r="C2">
        <v>0</v>
      </c>
      <c r="D2">
        <v>0</v>
      </c>
      <c r="E2">
        <v>0</v>
      </c>
      <c r="F2">
        <v>0.31</v>
      </c>
      <c r="G2">
        <v>0.27</v>
      </c>
      <c r="H2">
        <v>0</v>
      </c>
      <c r="I2">
        <v>0</v>
      </c>
      <c r="J2">
        <v>1</v>
      </c>
    </row>
    <row r="3" spans="1:11">
      <c r="A3" t="s">
        <v>1</v>
      </c>
      <c r="B3">
        <v>0</v>
      </c>
      <c r="C3">
        <v>0</v>
      </c>
      <c r="D3">
        <v>0</v>
      </c>
      <c r="E3">
        <v>0</v>
      </c>
      <c r="F3">
        <v>0.31</v>
      </c>
      <c r="G3">
        <v>0.27</v>
      </c>
      <c r="H3">
        <v>0</v>
      </c>
      <c r="I3">
        <v>0</v>
      </c>
      <c r="J3">
        <v>1</v>
      </c>
    </row>
    <row r="4" spans="1:11">
      <c r="A4" t="s">
        <v>2</v>
      </c>
      <c r="B4">
        <v>0</v>
      </c>
      <c r="C4">
        <v>0</v>
      </c>
      <c r="D4">
        <v>0</v>
      </c>
      <c r="E4">
        <v>0</v>
      </c>
      <c r="F4">
        <v>0.31</v>
      </c>
      <c r="G4">
        <v>0.27</v>
      </c>
      <c r="H4">
        <v>0</v>
      </c>
      <c r="I4">
        <v>0</v>
      </c>
      <c r="J4">
        <v>1</v>
      </c>
    </row>
    <row r="5" spans="1:11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1">
      <c r="A6" t="s">
        <v>4</v>
      </c>
      <c r="B6">
        <v>0</v>
      </c>
      <c r="C6">
        <v>0</v>
      </c>
      <c r="D6">
        <v>0</v>
      </c>
      <c r="E6">
        <v>0</v>
      </c>
      <c r="F6">
        <v>0.31</v>
      </c>
      <c r="G6">
        <v>0.27</v>
      </c>
      <c r="H6">
        <v>0</v>
      </c>
      <c r="I6">
        <v>0</v>
      </c>
      <c r="J6">
        <v>1</v>
      </c>
    </row>
    <row r="7" spans="1:11">
      <c r="A7" t="s">
        <v>5</v>
      </c>
      <c r="B7">
        <v>0</v>
      </c>
      <c r="C7">
        <v>0</v>
      </c>
      <c r="D7">
        <v>0</v>
      </c>
      <c r="E7">
        <v>0</v>
      </c>
      <c r="F7">
        <v>0.31</v>
      </c>
      <c r="G7">
        <v>0.27</v>
      </c>
      <c r="H7">
        <v>0</v>
      </c>
      <c r="I7">
        <v>0</v>
      </c>
      <c r="J7">
        <v>1</v>
      </c>
    </row>
    <row r="8" spans="1:11">
      <c r="A8" t="s">
        <v>6</v>
      </c>
      <c r="B8">
        <v>0</v>
      </c>
      <c r="C8">
        <v>0</v>
      </c>
      <c r="D8">
        <v>0</v>
      </c>
      <c r="E8">
        <v>0</v>
      </c>
      <c r="F8">
        <v>0.31</v>
      </c>
      <c r="G8">
        <v>0.27</v>
      </c>
      <c r="H8">
        <v>0</v>
      </c>
      <c r="I8">
        <v>0</v>
      </c>
      <c r="J8">
        <v>1</v>
      </c>
    </row>
    <row r="9" spans="1:11">
      <c r="A9" t="s">
        <v>9</v>
      </c>
      <c r="B9">
        <v>0</v>
      </c>
      <c r="C9">
        <v>0</v>
      </c>
      <c r="D9">
        <v>0</v>
      </c>
      <c r="E9">
        <v>0</v>
      </c>
      <c r="F9">
        <v>0.31</v>
      </c>
      <c r="G9">
        <v>0.27</v>
      </c>
      <c r="H9">
        <v>0</v>
      </c>
      <c r="I9">
        <v>0</v>
      </c>
      <c r="J9">
        <v>1</v>
      </c>
    </row>
    <row r="10" spans="1:11">
      <c r="A10" t="s">
        <v>10</v>
      </c>
      <c r="B10">
        <v>0</v>
      </c>
      <c r="C10">
        <v>8.648648649E-2</v>
      </c>
      <c r="D10">
        <v>0.44444444440000003</v>
      </c>
      <c r="E10">
        <v>0</v>
      </c>
      <c r="F10">
        <v>0.18378378379999999</v>
      </c>
      <c r="G10">
        <v>0</v>
      </c>
      <c r="H10">
        <v>0</v>
      </c>
      <c r="I10">
        <v>0</v>
      </c>
      <c r="J10">
        <v>1</v>
      </c>
    </row>
    <row r="11" spans="1:11">
      <c r="A11" t="s">
        <v>12</v>
      </c>
      <c r="B11">
        <v>0</v>
      </c>
      <c r="C11">
        <v>0</v>
      </c>
      <c r="D11">
        <v>0</v>
      </c>
      <c r="E11">
        <v>0</v>
      </c>
      <c r="F11">
        <v>0.31</v>
      </c>
      <c r="G11">
        <v>0.27</v>
      </c>
      <c r="H11">
        <v>0</v>
      </c>
      <c r="I11">
        <v>0</v>
      </c>
      <c r="J11">
        <v>1</v>
      </c>
    </row>
    <row r="12" spans="1:11">
      <c r="A12" t="s">
        <v>13</v>
      </c>
      <c r="B12">
        <v>0</v>
      </c>
      <c r="C12">
        <v>0</v>
      </c>
      <c r="D12">
        <v>0</v>
      </c>
      <c r="E12">
        <v>0</v>
      </c>
      <c r="F12">
        <v>0.31</v>
      </c>
      <c r="G12">
        <v>0.27</v>
      </c>
      <c r="H12">
        <v>0</v>
      </c>
      <c r="I12">
        <v>0</v>
      </c>
      <c r="J12">
        <v>1</v>
      </c>
    </row>
    <row r="13" spans="1:11">
      <c r="A13" t="s">
        <v>14</v>
      </c>
      <c r="B13">
        <v>0</v>
      </c>
      <c r="C13">
        <v>0</v>
      </c>
      <c r="D13">
        <v>0</v>
      </c>
      <c r="E13">
        <v>0</v>
      </c>
      <c r="F13">
        <v>0.31</v>
      </c>
      <c r="G13">
        <v>0.27</v>
      </c>
      <c r="H13">
        <v>0</v>
      </c>
      <c r="I13">
        <v>0</v>
      </c>
      <c r="J13">
        <v>1</v>
      </c>
    </row>
    <row r="14" spans="1:11">
      <c r="A14" t="s">
        <v>15</v>
      </c>
      <c r="B14">
        <v>0</v>
      </c>
      <c r="C14">
        <v>1.8559999999990702E-2</v>
      </c>
      <c r="D14">
        <v>0</v>
      </c>
      <c r="E14">
        <v>2.7097810792806938E-2</v>
      </c>
      <c r="F14">
        <v>0.27377062937099661</v>
      </c>
      <c r="G14">
        <v>0.23556923076911274</v>
      </c>
      <c r="H14">
        <v>1.4710240144949895E-2</v>
      </c>
      <c r="I14">
        <v>8.7100106116195682E-3</v>
      </c>
      <c r="J14">
        <v>1</v>
      </c>
    </row>
    <row r="15" spans="1:11">
      <c r="A15" t="s">
        <v>16</v>
      </c>
      <c r="B15">
        <v>0</v>
      </c>
      <c r="C15">
        <v>0</v>
      </c>
      <c r="D15">
        <v>0</v>
      </c>
      <c r="E15">
        <v>0</v>
      </c>
      <c r="F15">
        <v>0.31</v>
      </c>
      <c r="G15">
        <v>0.27</v>
      </c>
      <c r="H15">
        <v>0</v>
      </c>
      <c r="I15">
        <v>0</v>
      </c>
      <c r="J15">
        <v>1</v>
      </c>
    </row>
    <row r="16" spans="1:11">
      <c r="A16" t="s">
        <v>17</v>
      </c>
      <c r="B16">
        <v>0</v>
      </c>
      <c r="C16">
        <v>0</v>
      </c>
      <c r="D16">
        <v>0</v>
      </c>
      <c r="E16">
        <v>0</v>
      </c>
      <c r="F16">
        <v>0.31</v>
      </c>
      <c r="G16">
        <v>0.27</v>
      </c>
      <c r="H16">
        <v>0</v>
      </c>
      <c r="I16">
        <v>0</v>
      </c>
      <c r="J16">
        <v>1</v>
      </c>
    </row>
    <row r="17" spans="1:10">
      <c r="A17" t="s">
        <v>79</v>
      </c>
      <c r="B17">
        <v>0</v>
      </c>
      <c r="C17">
        <v>0</v>
      </c>
      <c r="D17">
        <v>0</v>
      </c>
      <c r="E17">
        <v>0</v>
      </c>
      <c r="F17">
        <v>0.31</v>
      </c>
      <c r="G17">
        <v>0.27</v>
      </c>
      <c r="H17">
        <v>0</v>
      </c>
      <c r="I17">
        <v>0</v>
      </c>
      <c r="J17">
        <v>1</v>
      </c>
    </row>
    <row r="18" spans="1:10">
      <c r="A18" t="s">
        <v>80</v>
      </c>
      <c r="B18">
        <v>0</v>
      </c>
      <c r="C18">
        <v>0</v>
      </c>
      <c r="D18">
        <v>0</v>
      </c>
      <c r="E18">
        <v>0</v>
      </c>
      <c r="F18">
        <v>0.31</v>
      </c>
      <c r="G18">
        <v>0.27</v>
      </c>
      <c r="H18">
        <v>0</v>
      </c>
      <c r="I18">
        <v>0</v>
      </c>
      <c r="J18">
        <v>1</v>
      </c>
    </row>
    <row r="19" spans="1:10">
      <c r="A19" t="s">
        <v>24</v>
      </c>
      <c r="B19">
        <v>0</v>
      </c>
      <c r="C19">
        <v>0</v>
      </c>
      <c r="D19">
        <v>6.7000000000000004E-2</v>
      </c>
      <c r="E19">
        <v>3.8399999999999997E-2</v>
      </c>
      <c r="F19">
        <v>9.5100000000000004E-2</v>
      </c>
      <c r="G19">
        <v>0</v>
      </c>
      <c r="H19">
        <v>0.29699999999999999</v>
      </c>
      <c r="I19">
        <v>0</v>
      </c>
      <c r="J19">
        <v>1</v>
      </c>
    </row>
    <row r="20" spans="1:10">
      <c r="A20" t="s">
        <v>55</v>
      </c>
      <c r="B20">
        <v>0</v>
      </c>
      <c r="C20">
        <v>0</v>
      </c>
      <c r="D20">
        <v>6.7000000000000004E-2</v>
      </c>
      <c r="E20">
        <v>3.8399999999999997E-2</v>
      </c>
      <c r="F20">
        <v>9.5100000000000004E-2</v>
      </c>
      <c r="G20">
        <v>0</v>
      </c>
      <c r="H20">
        <v>0.29699999999999999</v>
      </c>
      <c r="I20">
        <v>0</v>
      </c>
      <c r="J20">
        <v>1</v>
      </c>
    </row>
    <row r="21" spans="1:10">
      <c r="A21" t="s">
        <v>25</v>
      </c>
      <c r="B21">
        <v>0</v>
      </c>
      <c r="C21">
        <v>0</v>
      </c>
      <c r="D21">
        <v>0</v>
      </c>
      <c r="E21">
        <v>0</v>
      </c>
      <c r="F21">
        <v>0.36956521739130432</v>
      </c>
      <c r="G21">
        <v>0.4891304347826087</v>
      </c>
      <c r="H21">
        <v>0</v>
      </c>
      <c r="I21">
        <v>0</v>
      </c>
      <c r="J21">
        <v>1</v>
      </c>
    </row>
    <row r="22" spans="1:10">
      <c r="A22" t="s">
        <v>26</v>
      </c>
      <c r="B22">
        <v>0</v>
      </c>
      <c r="C22">
        <v>0</v>
      </c>
      <c r="D22">
        <v>1.9791800000000002E-2</v>
      </c>
      <c r="E22">
        <v>1.1343359999999999E-2</v>
      </c>
      <c r="F22">
        <v>0.25388923565217392</v>
      </c>
      <c r="G22">
        <v>0.24486339130434781</v>
      </c>
      <c r="H22">
        <v>8.7733800000000001E-2</v>
      </c>
      <c r="I22">
        <v>0</v>
      </c>
      <c r="J22">
        <v>0.96799999999999997</v>
      </c>
    </row>
    <row r="23" spans="1:10">
      <c r="A23" t="s">
        <v>27</v>
      </c>
      <c r="B23">
        <v>0</v>
      </c>
      <c r="C23">
        <v>0</v>
      </c>
      <c r="D23">
        <v>1.3735000000000001E-2</v>
      </c>
      <c r="E23">
        <v>7.8719999999999988E-3</v>
      </c>
      <c r="F23">
        <v>0.2237020217391304</v>
      </c>
      <c r="G23">
        <v>0.21766304347826088</v>
      </c>
      <c r="H23">
        <v>6.0884999999999995E-2</v>
      </c>
      <c r="I23">
        <v>0</v>
      </c>
      <c r="J23">
        <v>0.76</v>
      </c>
    </row>
    <row r="24" spans="1:10">
      <c r="A24" t="s">
        <v>28</v>
      </c>
      <c r="B24">
        <v>0</v>
      </c>
      <c r="C24">
        <v>0</v>
      </c>
      <c r="D24">
        <v>1.09411E-2</v>
      </c>
      <c r="E24">
        <v>6.2707199999999996E-3</v>
      </c>
      <c r="F24">
        <v>0.24257782999999999</v>
      </c>
      <c r="G24">
        <v>0.240066</v>
      </c>
      <c r="H24">
        <v>4.8500099999999997E-2</v>
      </c>
      <c r="I24">
        <v>0</v>
      </c>
      <c r="J24">
        <v>0.84710000000000008</v>
      </c>
    </row>
    <row r="25" spans="1:10">
      <c r="A25" t="s">
        <v>29</v>
      </c>
      <c r="B25">
        <v>0</v>
      </c>
      <c r="C25">
        <v>0</v>
      </c>
      <c r="D25">
        <v>8.5760000000000003E-3</v>
      </c>
      <c r="E25">
        <v>4.9151999999999998E-3</v>
      </c>
      <c r="F25">
        <v>0.21907453913043481</v>
      </c>
      <c r="G25">
        <v>0.21800347826086958</v>
      </c>
      <c r="H25">
        <v>3.8016000000000001E-2</v>
      </c>
      <c r="I25">
        <v>0</v>
      </c>
      <c r="J25">
        <v>0.752</v>
      </c>
    </row>
    <row r="26" spans="1:10">
      <c r="A26" t="s">
        <v>30</v>
      </c>
      <c r="B26">
        <v>0</v>
      </c>
      <c r="C26">
        <v>0</v>
      </c>
      <c r="D26">
        <v>3.0485000000000002E-2</v>
      </c>
      <c r="E26">
        <v>1.7471999999999998E-2</v>
      </c>
      <c r="F26">
        <v>0.19462267391304344</v>
      </c>
      <c r="G26">
        <v>0.16945434782608695</v>
      </c>
      <c r="H26">
        <v>0.13513500000000001</v>
      </c>
      <c r="I26">
        <v>0</v>
      </c>
      <c r="J26">
        <v>0.9</v>
      </c>
    </row>
    <row r="27" spans="1:10">
      <c r="A27" t="s">
        <v>31</v>
      </c>
      <c r="B27">
        <v>0</v>
      </c>
      <c r="C27">
        <v>0</v>
      </c>
      <c r="D27">
        <v>1.7085000000000003E-2</v>
      </c>
      <c r="E27">
        <v>9.7919999999999986E-3</v>
      </c>
      <c r="F27">
        <v>0.25506571739130435</v>
      </c>
      <c r="G27">
        <v>0.25288043478260869</v>
      </c>
      <c r="H27">
        <v>7.5734999999999997E-2</v>
      </c>
      <c r="I27">
        <v>0</v>
      </c>
      <c r="J27">
        <v>0.94000000000000006</v>
      </c>
    </row>
    <row r="28" spans="1:10">
      <c r="A28" t="s">
        <v>32</v>
      </c>
      <c r="B28">
        <v>0</v>
      </c>
      <c r="C28">
        <v>0</v>
      </c>
      <c r="D28">
        <v>1.19595E-2</v>
      </c>
      <c r="E28">
        <v>6.8543999999999992E-3</v>
      </c>
      <c r="F28">
        <v>0.22918491521739129</v>
      </c>
      <c r="G28">
        <v>0.21576913043478263</v>
      </c>
      <c r="H28">
        <v>5.3014499999999992E-2</v>
      </c>
      <c r="I28">
        <v>0</v>
      </c>
      <c r="J28">
        <v>0.82750000000000001</v>
      </c>
    </row>
    <row r="29" spans="1:10">
      <c r="A29" t="s">
        <v>78</v>
      </c>
      <c r="B29">
        <v>0</v>
      </c>
      <c r="C29">
        <v>0</v>
      </c>
      <c r="D29">
        <v>1.6012999999999999E-2</v>
      </c>
      <c r="E29">
        <v>9.1775999999999993E-3</v>
      </c>
      <c r="F29">
        <v>0.20566889999999999</v>
      </c>
      <c r="G29">
        <v>0.22473000000000001</v>
      </c>
      <c r="H29">
        <v>7.0982999999999991E-2</v>
      </c>
      <c r="I29">
        <v>0</v>
      </c>
      <c r="J29">
        <v>0.754</v>
      </c>
    </row>
    <row r="30" spans="1:10">
      <c r="A30" t="s">
        <v>34</v>
      </c>
      <c r="B30">
        <v>0</v>
      </c>
      <c r="C30">
        <v>1.8720000000000001E-2</v>
      </c>
      <c r="D30">
        <v>0</v>
      </c>
      <c r="E30">
        <v>2.7331412610000001E-2</v>
      </c>
      <c r="F30">
        <v>0.27279999999999999</v>
      </c>
      <c r="G30">
        <v>0.23760000000000001</v>
      </c>
      <c r="H30">
        <v>1.4837052559999999E-2</v>
      </c>
      <c r="I30">
        <v>8.7850969099999999E-3</v>
      </c>
      <c r="J30">
        <v>1</v>
      </c>
    </row>
    <row r="31" spans="1:10">
      <c r="A31" t="s">
        <v>35</v>
      </c>
      <c r="B31">
        <v>0</v>
      </c>
      <c r="C31">
        <v>0</v>
      </c>
      <c r="D31">
        <v>1.6080000000000001E-2</v>
      </c>
      <c r="E31">
        <v>9.2159999999999985E-3</v>
      </c>
      <c r="F31">
        <v>0.23802399999999999</v>
      </c>
      <c r="G31">
        <v>0.22589999999999999</v>
      </c>
      <c r="H31">
        <v>7.1279999999999996E-2</v>
      </c>
      <c r="I31">
        <v>0</v>
      </c>
      <c r="J31">
        <v>0.89</v>
      </c>
    </row>
    <row r="32" spans="1:10">
      <c r="A32" t="s">
        <v>36</v>
      </c>
      <c r="B32">
        <v>0</v>
      </c>
      <c r="C32">
        <v>2.7671710749999998E-2</v>
      </c>
      <c r="D32">
        <v>1.168458436E-3</v>
      </c>
      <c r="E32">
        <v>3.0152006849999999E-2</v>
      </c>
      <c r="F32">
        <v>5.7260076190000002E-2</v>
      </c>
      <c r="G32">
        <v>6.7852534209999996E-2</v>
      </c>
      <c r="H32">
        <v>5.1795844100000002E-3</v>
      </c>
      <c r="I32">
        <v>4.2302959280000003E-2</v>
      </c>
      <c r="J32">
        <v>0.56849315068493156</v>
      </c>
    </row>
    <row r="33" spans="1:10">
      <c r="A33" t="s">
        <v>37</v>
      </c>
      <c r="B33">
        <v>0</v>
      </c>
      <c r="C33">
        <v>0</v>
      </c>
      <c r="D33">
        <v>1.005E-2</v>
      </c>
      <c r="E33">
        <v>5.7599999999999995E-3</v>
      </c>
      <c r="F33">
        <v>0.21825891304347825</v>
      </c>
      <c r="G33">
        <v>0.23463782608695655</v>
      </c>
      <c r="H33">
        <v>4.4549999999999999E-2</v>
      </c>
      <c r="I33">
        <v>0</v>
      </c>
      <c r="J33">
        <v>0.74260000000000004</v>
      </c>
    </row>
    <row r="34" spans="1:10">
      <c r="A34" t="s">
        <v>38</v>
      </c>
      <c r="B34">
        <v>0</v>
      </c>
      <c r="C34">
        <v>1.5300000000000001E-2</v>
      </c>
      <c r="D34">
        <v>4.6431000000000007E-3</v>
      </c>
      <c r="E34">
        <v>2.606112E-2</v>
      </c>
      <c r="F34">
        <v>0.14985599521739132</v>
      </c>
      <c r="G34">
        <v>0.14061013043478263</v>
      </c>
      <c r="H34">
        <v>2.0582099999999999E-2</v>
      </c>
      <c r="I34">
        <v>0</v>
      </c>
      <c r="J34">
        <v>0.59899999999999998</v>
      </c>
    </row>
    <row r="35" spans="1:10">
      <c r="A35" t="s">
        <v>39</v>
      </c>
      <c r="B35">
        <v>0</v>
      </c>
      <c r="C35">
        <v>1.6199999999999999E-2</v>
      </c>
      <c r="D35">
        <v>0</v>
      </c>
      <c r="E35">
        <v>2.5521119999999998E-2</v>
      </c>
      <c r="F35">
        <v>0.14956799521739131</v>
      </c>
      <c r="G35">
        <v>0</v>
      </c>
      <c r="H35">
        <v>0</v>
      </c>
      <c r="I35">
        <v>0</v>
      </c>
      <c r="J35">
        <v>0.59899999999999998</v>
      </c>
    </row>
    <row r="36" spans="1:10">
      <c r="A36" t="s">
        <v>40</v>
      </c>
      <c r="B36">
        <v>0</v>
      </c>
      <c r="C36">
        <v>0</v>
      </c>
      <c r="D36">
        <v>5.6950000000000004E-3</v>
      </c>
      <c r="E36">
        <v>3.264E-3</v>
      </c>
      <c r="F36">
        <v>0.26520415217391308</v>
      </c>
      <c r="G36">
        <v>0.26377630434782606</v>
      </c>
      <c r="H36">
        <v>2.5245E-2</v>
      </c>
      <c r="I36">
        <v>0</v>
      </c>
      <c r="J36">
        <v>0.86865999999999999</v>
      </c>
    </row>
    <row r="37" spans="1:10">
      <c r="A37" t="s">
        <v>41</v>
      </c>
      <c r="B37">
        <v>0</v>
      </c>
      <c r="C37">
        <v>0</v>
      </c>
      <c r="D37">
        <v>9.045000000000001E-3</v>
      </c>
      <c r="E37">
        <v>5.1840000000000002E-3</v>
      </c>
      <c r="F37">
        <v>0.12139284782608693</v>
      </c>
      <c r="G37">
        <v>0.11210869565217391</v>
      </c>
      <c r="H37">
        <v>4.0094999999999999E-2</v>
      </c>
      <c r="I37">
        <v>0</v>
      </c>
      <c r="J37">
        <v>0.46499999999999997</v>
      </c>
    </row>
    <row r="38" spans="1:10">
      <c r="A38" t="s">
        <v>42</v>
      </c>
      <c r="B38">
        <v>0</v>
      </c>
      <c r="C38">
        <v>0</v>
      </c>
      <c r="D38">
        <v>6.7000000000000004E-2</v>
      </c>
      <c r="E38">
        <v>3.8399999999999997E-2</v>
      </c>
      <c r="F38">
        <v>9.5100000000000004E-2</v>
      </c>
      <c r="G38">
        <v>0</v>
      </c>
      <c r="H38">
        <v>0.29699999999999999</v>
      </c>
      <c r="I38">
        <v>0</v>
      </c>
      <c r="J38">
        <v>1</v>
      </c>
    </row>
    <row r="39" spans="1:10">
      <c r="A39" t="s">
        <v>43</v>
      </c>
      <c r="B39">
        <v>0</v>
      </c>
      <c r="C39">
        <v>0</v>
      </c>
      <c r="D39">
        <v>0</v>
      </c>
      <c r="E39">
        <v>0</v>
      </c>
      <c r="F39">
        <v>0.31</v>
      </c>
      <c r="G39">
        <v>0.27</v>
      </c>
      <c r="H39">
        <v>0</v>
      </c>
      <c r="I39">
        <v>0</v>
      </c>
      <c r="J39">
        <v>1</v>
      </c>
    </row>
    <row r="40" spans="1:10">
      <c r="A40" t="s">
        <v>56</v>
      </c>
      <c r="B40">
        <v>0</v>
      </c>
      <c r="C40">
        <v>0</v>
      </c>
      <c r="D40">
        <v>1.5075000000000002E-2</v>
      </c>
      <c r="E40">
        <v>8.6400000000000001E-3</v>
      </c>
      <c r="F40">
        <v>0.20232141304347823</v>
      </c>
      <c r="G40">
        <v>0.18684782608695652</v>
      </c>
      <c r="H40">
        <v>6.6824999999999996E-2</v>
      </c>
      <c r="I40">
        <v>0</v>
      </c>
      <c r="J40">
        <v>0.77500000000000002</v>
      </c>
    </row>
    <row r="41" spans="1:10">
      <c r="A41" s="11" t="s">
        <v>65</v>
      </c>
      <c r="B41">
        <v>0</v>
      </c>
      <c r="C41">
        <v>0</v>
      </c>
      <c r="D41">
        <v>0</v>
      </c>
      <c r="E41">
        <v>0</v>
      </c>
      <c r="F41">
        <v>0.31</v>
      </c>
      <c r="G41">
        <v>0.27</v>
      </c>
      <c r="H41">
        <v>0</v>
      </c>
      <c r="I41">
        <v>0</v>
      </c>
      <c r="J41">
        <v>1</v>
      </c>
    </row>
    <row r="42" spans="1:10">
      <c r="A42" t="s">
        <v>66</v>
      </c>
      <c r="B42">
        <v>0</v>
      </c>
      <c r="C42">
        <f>0.1*C19+0.9*C3</f>
        <v>0</v>
      </c>
      <c r="D42">
        <f t="shared" ref="D42:J42" si="0">0.1*D19+0.9*D3</f>
        <v>6.7000000000000011E-3</v>
      </c>
      <c r="E42">
        <f t="shared" si="0"/>
        <v>3.8399999999999997E-3</v>
      </c>
      <c r="F42">
        <f t="shared" si="0"/>
        <v>0.28851000000000004</v>
      </c>
      <c r="G42">
        <f t="shared" si="0"/>
        <v>0.24300000000000002</v>
      </c>
      <c r="H42">
        <f t="shared" si="0"/>
        <v>2.9700000000000001E-2</v>
      </c>
      <c r="I42">
        <f t="shared" si="0"/>
        <v>0</v>
      </c>
      <c r="J42">
        <f t="shared" si="0"/>
        <v>1</v>
      </c>
    </row>
    <row r="43" spans="1:10">
      <c r="A43" t="s">
        <v>67</v>
      </c>
      <c r="B43">
        <v>0.16</v>
      </c>
      <c r="C43">
        <f>0.5*C3</f>
        <v>0</v>
      </c>
      <c r="D43">
        <f t="shared" ref="D43:I43" si="1">0.5*D3</f>
        <v>0</v>
      </c>
      <c r="E43">
        <f t="shared" si="1"/>
        <v>0</v>
      </c>
      <c r="F43">
        <f t="shared" si="1"/>
        <v>0.155</v>
      </c>
      <c r="G43">
        <f t="shared" si="1"/>
        <v>0.13500000000000001</v>
      </c>
      <c r="H43">
        <f t="shared" si="1"/>
        <v>0</v>
      </c>
      <c r="I43">
        <f t="shared" si="1"/>
        <v>0</v>
      </c>
      <c r="J43">
        <v>1</v>
      </c>
    </row>
    <row r="44" spans="1:10">
      <c r="A44" t="s">
        <v>69</v>
      </c>
      <c r="B44">
        <v>0</v>
      </c>
      <c r="C44">
        <v>6.7400000000000002E-2</v>
      </c>
      <c r="D44">
        <v>1.8983333333333333E-3</v>
      </c>
      <c r="E44">
        <v>9.8988000000000007E-2</v>
      </c>
      <c r="F44">
        <v>0.11055884782608696</v>
      </c>
      <c r="G44">
        <v>9.4678695652173919E-2</v>
      </c>
      <c r="H44">
        <v>8.4149999999999989E-3</v>
      </c>
      <c r="I44">
        <v>0.28000000000000003</v>
      </c>
      <c r="J44">
        <v>0.70599999999999996</v>
      </c>
    </row>
    <row r="45" spans="1:10">
      <c r="A45" t="s">
        <v>70</v>
      </c>
      <c r="B45">
        <v>0</v>
      </c>
      <c r="C45">
        <v>0</v>
      </c>
      <c r="D45">
        <v>0</v>
      </c>
      <c r="E45">
        <v>0</v>
      </c>
      <c r="F45">
        <v>0.31</v>
      </c>
      <c r="G45">
        <v>0.27</v>
      </c>
      <c r="H45">
        <v>0</v>
      </c>
      <c r="I45">
        <v>0</v>
      </c>
      <c r="J45">
        <v>1</v>
      </c>
    </row>
    <row r="46" spans="1:10">
      <c r="A46" t="s">
        <v>71</v>
      </c>
      <c r="B46">
        <f>0.06*(B19+B3)+0.33*B21</f>
        <v>0</v>
      </c>
      <c r="C46">
        <f>0.06*(C19+C3)+0.33*C21+0.0838</f>
        <v>8.3799999999999999E-2</v>
      </c>
      <c r="D46">
        <f t="shared" ref="D46:H46" si="2">0.06*(D19+D3)+0.33*D21</f>
        <v>4.0200000000000001E-3</v>
      </c>
      <c r="E46">
        <f>0.06*(E19+E3)+0.33*E21+0.11055</f>
        <v>0.112854</v>
      </c>
      <c r="F46">
        <f t="shared" si="2"/>
        <v>0.14626252173913043</v>
      </c>
      <c r="G46">
        <f t="shared" si="2"/>
        <v>0.17761304347826087</v>
      </c>
      <c r="H46">
        <f t="shared" si="2"/>
        <v>1.7819999999999999E-2</v>
      </c>
      <c r="I46">
        <f>0.06*(I19+I3)+0.33*I21+0.12245</f>
        <v>0.12245</v>
      </c>
      <c r="J46">
        <v>0.95</v>
      </c>
    </row>
    <row r="47" spans="1:10">
      <c r="A47" t="s">
        <v>72</v>
      </c>
      <c r="B47">
        <f>0.093*(B19+B3)+0.104*B21</f>
        <v>0</v>
      </c>
      <c r="C47">
        <f>0.093*(C19+C3)+0.104*C21+0.0838*0.42/0.5</f>
        <v>7.0391999999999996E-2</v>
      </c>
      <c r="D47">
        <f t="shared" ref="D47:H47" si="3">0.093*(D19+D3)+0.104*D21</f>
        <v>6.2310000000000004E-3</v>
      </c>
      <c r="E47">
        <f>0.093*(E19+E3)+0.104*E21+0.11055*0.42/0.5</f>
        <v>9.6433199999999983E-2</v>
      </c>
      <c r="F47">
        <f t="shared" si="3"/>
        <v>7.6109082608695644E-2</v>
      </c>
      <c r="G47">
        <f t="shared" si="3"/>
        <v>7.5979565217391298E-2</v>
      </c>
      <c r="H47">
        <f t="shared" si="3"/>
        <v>2.7621E-2</v>
      </c>
      <c r="I47">
        <f>0.093*(I19+I3)+0.104*I21+0.12245*0.42/0.5</f>
        <v>0.102858</v>
      </c>
      <c r="J47">
        <f>0.093*(J19+J3)+0.104*J21+0.42</f>
        <v>0.71</v>
      </c>
    </row>
    <row r="48" spans="1:10">
      <c r="A48" t="s">
        <v>73</v>
      </c>
      <c r="B48">
        <f>0.002*B19+0.012*B3+0.026*B21+0.17*B6</f>
        <v>0</v>
      </c>
      <c r="C48">
        <f>0.002*C19+0.012*C3+0.026*C21+0.17*C6+0.0838*0.67/0.5</f>
        <v>0.112292</v>
      </c>
      <c r="D48">
        <f t="shared" ref="D48:H48" si="4">0.002*D19+0.012*D3+0.026*D21+0.17*D6</f>
        <v>1.34E-4</v>
      </c>
      <c r="E48">
        <f>0.002*E19+0.012*E3+0.026*E21+0.17*E6+0.1128/0.5*0.67</f>
        <v>0.1512288</v>
      </c>
      <c r="F48">
        <f t="shared" si="4"/>
        <v>6.6218895652173912E-2</v>
      </c>
      <c r="G48">
        <f t="shared" si="4"/>
        <v>6.1857391304347829E-2</v>
      </c>
      <c r="H48">
        <f t="shared" si="4"/>
        <v>5.9400000000000002E-4</v>
      </c>
      <c r="I48">
        <f>0.002*I19+0.012*I3+0.026*I21+0.17*I6+0.12245*0.67/0.5</f>
        <v>0.16408300000000001</v>
      </c>
      <c r="J48">
        <f>0.002*J19+0.012*J3+0.026*J21+0.17*J6+0.67</f>
        <v>0.88000000000000012</v>
      </c>
    </row>
    <row r="49" spans="1:11">
      <c r="A49" t="s">
        <v>74</v>
      </c>
      <c r="B49">
        <f>0.318*B3+0.25*B21+0.312*B19</f>
        <v>0</v>
      </c>
      <c r="C49">
        <f t="shared" ref="C49:J49" si="5">0.318*C3+0.25*C21+0.312*C19</f>
        <v>0</v>
      </c>
      <c r="D49">
        <f t="shared" si="5"/>
        <v>2.0904000000000002E-2</v>
      </c>
      <c r="E49">
        <f t="shared" si="5"/>
        <v>1.19808E-2</v>
      </c>
      <c r="F49">
        <f t="shared" si="5"/>
        <v>0.22064250434782609</v>
      </c>
      <c r="G49">
        <f t="shared" si="5"/>
        <v>0.20814260869565218</v>
      </c>
      <c r="H49">
        <f t="shared" si="5"/>
        <v>9.2663999999999996E-2</v>
      </c>
      <c r="I49">
        <f t="shared" si="5"/>
        <v>0</v>
      </c>
      <c r="J49">
        <f t="shared" si="5"/>
        <v>0.88000000000000012</v>
      </c>
    </row>
    <row r="50" spans="1:11">
      <c r="A50" t="s">
        <v>75</v>
      </c>
      <c r="B50">
        <f>0.479*B3+0.16*B21+0.26*B19</f>
        <v>0</v>
      </c>
      <c r="C50">
        <f t="shared" ref="C50:J50" si="6">0.479*C3+0.16*C21+0.26*C19</f>
        <v>0</v>
      </c>
      <c r="D50">
        <f t="shared" si="6"/>
        <v>1.7420000000000001E-2</v>
      </c>
      <c r="E50">
        <f t="shared" si="6"/>
        <v>9.9839999999999998E-3</v>
      </c>
      <c r="F50">
        <f t="shared" si="6"/>
        <v>0.23234643478260866</v>
      </c>
      <c r="G50">
        <f t="shared" si="6"/>
        <v>0.20759086956521738</v>
      </c>
      <c r="H50">
        <f t="shared" si="6"/>
        <v>7.7219999999999997E-2</v>
      </c>
      <c r="I50">
        <f t="shared" si="6"/>
        <v>0</v>
      </c>
      <c r="J50">
        <f t="shared" si="6"/>
        <v>0.89900000000000002</v>
      </c>
    </row>
    <row r="51" spans="1:11">
      <c r="A51" t="s">
        <v>76</v>
      </c>
      <c r="B51">
        <v>1.4E-2</v>
      </c>
      <c r="C51">
        <v>0</v>
      </c>
      <c r="D51">
        <v>0</v>
      </c>
      <c r="E51">
        <v>0</v>
      </c>
      <c r="F51">
        <v>0.3</v>
      </c>
      <c r="G51">
        <v>0.26700000000000002</v>
      </c>
      <c r="H51">
        <v>0</v>
      </c>
      <c r="I51">
        <v>0</v>
      </c>
      <c r="J51">
        <v>1</v>
      </c>
    </row>
    <row r="52" spans="1:11" ht="15.75" thickBot="1">
      <c r="A52" t="s">
        <v>77</v>
      </c>
      <c r="B52" s="8">
        <v>1.229550901E-2</v>
      </c>
      <c r="C52">
        <v>0</v>
      </c>
      <c r="D52">
        <v>0</v>
      </c>
      <c r="E52">
        <v>0</v>
      </c>
      <c r="F52" s="8">
        <v>0.30910701260000001</v>
      </c>
      <c r="G52" s="8">
        <v>0.28416666670000001</v>
      </c>
      <c r="H52">
        <v>0</v>
      </c>
      <c r="I52">
        <v>0</v>
      </c>
      <c r="J52">
        <v>1</v>
      </c>
    </row>
    <row r="53" spans="1:11" ht="15.75" thickBot="1">
      <c r="A53" s="12" t="s">
        <v>81</v>
      </c>
      <c r="B53" s="12">
        <v>0</v>
      </c>
      <c r="C53" s="12">
        <v>0</v>
      </c>
      <c r="D53" s="13">
        <v>5.9797500000000005E-4</v>
      </c>
      <c r="E53" s="13">
        <v>3.4272000000000003E-4</v>
      </c>
      <c r="F53" s="13">
        <v>2.695924576E-2</v>
      </c>
      <c r="G53" s="13">
        <v>2.4288456520000001E-2</v>
      </c>
      <c r="H53" s="13">
        <v>2.650725E-3</v>
      </c>
      <c r="I53" s="13">
        <v>0</v>
      </c>
      <c r="J53" s="13">
        <v>9.1374999999999998E-2</v>
      </c>
    </row>
    <row r="54" spans="1:11" ht="15.75" thickBot="1">
      <c r="A54" s="14" t="s">
        <v>82</v>
      </c>
      <c r="B54" s="15">
        <v>0</v>
      </c>
      <c r="C54" s="15">
        <v>0</v>
      </c>
      <c r="D54" s="15">
        <v>0</v>
      </c>
      <c r="E54" s="15">
        <v>0</v>
      </c>
      <c r="F54" s="15">
        <v>0.217</v>
      </c>
      <c r="G54" s="15">
        <v>0.189</v>
      </c>
      <c r="H54" s="15">
        <v>0</v>
      </c>
      <c r="I54" s="15">
        <v>0</v>
      </c>
      <c r="J54" s="15">
        <v>0.7</v>
      </c>
      <c r="K54" s="1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A20" sqref="A1:K48"/>
    </sheetView>
  </sheetViews>
  <sheetFormatPr defaultRowHeight="15"/>
  <cols>
    <col min="1" max="1" width="52.42578125" bestFit="1" customWidth="1"/>
    <col min="2" max="2" width="24.42578125" bestFit="1" customWidth="1"/>
    <col min="3" max="3" width="23.7109375" bestFit="1" customWidth="1"/>
    <col min="4" max="4" width="23.85546875" bestFit="1" customWidth="1"/>
    <col min="5" max="5" width="27.140625" bestFit="1" customWidth="1"/>
    <col min="6" max="6" width="27" bestFit="1" customWidth="1"/>
    <col min="7" max="7" width="23.28515625" bestFit="1" customWidth="1"/>
    <col min="8" max="8" width="33.42578125" bestFit="1" customWidth="1"/>
    <col min="9" max="9" width="49.140625" bestFit="1" customWidth="1"/>
    <col min="10" max="10" width="34.28515625" bestFit="1" customWidth="1"/>
  </cols>
  <sheetData>
    <row r="1" spans="1:11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2" t="s">
        <v>54</v>
      </c>
    </row>
    <row r="2" spans="1:11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0.31</v>
      </c>
      <c r="G2" s="2">
        <v>0.27</v>
      </c>
      <c r="H2" s="2">
        <v>0</v>
      </c>
      <c r="I2" s="2">
        <v>0</v>
      </c>
      <c r="J2" s="2">
        <v>0</v>
      </c>
      <c r="K2" s="2">
        <v>1</v>
      </c>
    </row>
    <row r="3" spans="1:11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0.31</v>
      </c>
      <c r="G3" s="2">
        <v>0.27</v>
      </c>
      <c r="H3" s="2">
        <v>0</v>
      </c>
      <c r="I3" s="2">
        <v>0</v>
      </c>
      <c r="J3" s="2">
        <v>0</v>
      </c>
      <c r="K3" s="2">
        <v>1</v>
      </c>
    </row>
    <row r="4" spans="1:11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0.31</v>
      </c>
      <c r="G4" s="2">
        <v>0.27</v>
      </c>
      <c r="H4" s="2">
        <v>0</v>
      </c>
      <c r="I4" s="2">
        <v>0</v>
      </c>
      <c r="J4" s="2">
        <v>0</v>
      </c>
      <c r="K4" s="2">
        <v>1</v>
      </c>
    </row>
    <row r="5" spans="1:11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</row>
    <row r="6" spans="1:11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0.31</v>
      </c>
      <c r="G6" s="2">
        <v>0.27</v>
      </c>
      <c r="H6" s="2">
        <v>0</v>
      </c>
      <c r="I6" s="2">
        <v>0</v>
      </c>
      <c r="J6" s="2">
        <v>0</v>
      </c>
      <c r="K6" s="2">
        <v>1</v>
      </c>
    </row>
    <row r="7" spans="1:11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0.31</v>
      </c>
      <c r="G7" s="2">
        <v>0.27</v>
      </c>
      <c r="H7" s="2">
        <v>0</v>
      </c>
      <c r="I7" s="2">
        <v>0</v>
      </c>
      <c r="J7" s="2">
        <v>0</v>
      </c>
      <c r="K7" s="2">
        <v>1</v>
      </c>
    </row>
    <row r="8" spans="1:11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0.31</v>
      </c>
      <c r="G8" s="2">
        <v>0.27</v>
      </c>
      <c r="H8" s="2">
        <v>0</v>
      </c>
      <c r="I8" s="2">
        <v>0</v>
      </c>
      <c r="J8" s="2">
        <v>0</v>
      </c>
      <c r="K8" s="2">
        <v>1</v>
      </c>
    </row>
    <row r="9" spans="1:11">
      <c r="A9" s="1" t="s">
        <v>7</v>
      </c>
      <c r="B9" s="2">
        <v>0</v>
      </c>
      <c r="C9" s="2">
        <f>0.389380531*100/102.27</f>
        <v>0.38073778331866626</v>
      </c>
      <c r="D9" s="2">
        <v>0</v>
      </c>
      <c r="E9" s="2">
        <v>0</v>
      </c>
      <c r="F9" s="2">
        <v>0</v>
      </c>
      <c r="G9" s="2">
        <v>0</v>
      </c>
      <c r="H9" s="2">
        <f>0.1725663717*100/102.27</f>
        <v>0.16873606306834851</v>
      </c>
      <c r="I9" s="2">
        <f>2.27/102.27</f>
        <v>2.2196147452820964E-2</v>
      </c>
      <c r="J9" s="2">
        <v>0</v>
      </c>
      <c r="K9" s="2">
        <v>1</v>
      </c>
    </row>
    <row r="10" spans="1:11">
      <c r="A10" s="1" t="s">
        <v>8</v>
      </c>
      <c r="B10" s="2">
        <v>0</v>
      </c>
      <c r="C10" s="2">
        <f>88/208</f>
        <v>0.42307692307692307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</row>
    <row r="11" spans="1:11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0.31</v>
      </c>
      <c r="G11" s="2">
        <v>0.27</v>
      </c>
      <c r="H11" s="2">
        <v>0</v>
      </c>
      <c r="I11" s="2">
        <v>0</v>
      </c>
      <c r="J11" s="2">
        <v>0</v>
      </c>
      <c r="K11" s="2">
        <v>1</v>
      </c>
    </row>
    <row r="12" spans="1:11">
      <c r="A12" s="1" t="s">
        <v>10</v>
      </c>
      <c r="B12" s="2">
        <v>8.648648649E-2</v>
      </c>
      <c r="C12" s="2">
        <v>0</v>
      </c>
      <c r="D12" s="2">
        <v>0.44444444440000003</v>
      </c>
      <c r="E12" s="2">
        <v>0</v>
      </c>
      <c r="F12" s="2">
        <v>0.18378378379999999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</row>
    <row r="13" spans="1:11">
      <c r="A13" s="1" t="s">
        <v>11</v>
      </c>
      <c r="B13" s="2">
        <v>0</v>
      </c>
      <c r="C13" s="2">
        <f>0.511627907*100/103.84</f>
        <v>0.49270792276579356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>3.84/103.84</f>
        <v>3.697996918335901E-2</v>
      </c>
      <c r="J13" s="2">
        <v>0</v>
      </c>
      <c r="K13" s="2">
        <v>1</v>
      </c>
    </row>
    <row r="14" spans="1:11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0.31</v>
      </c>
      <c r="G14" s="2">
        <v>0.27</v>
      </c>
      <c r="H14" s="2">
        <v>0</v>
      </c>
      <c r="I14" s="2">
        <v>0</v>
      </c>
      <c r="J14" s="2">
        <v>0</v>
      </c>
      <c r="K14" s="2">
        <v>1</v>
      </c>
    </row>
    <row r="15" spans="1:11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0.31</v>
      </c>
      <c r="G15" s="2">
        <v>0.27</v>
      </c>
      <c r="H15" s="2">
        <v>0</v>
      </c>
      <c r="I15" s="2">
        <v>0</v>
      </c>
      <c r="J15" s="2">
        <v>0</v>
      </c>
      <c r="K15" s="2">
        <v>1</v>
      </c>
    </row>
    <row r="16" spans="1:11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0.31</v>
      </c>
      <c r="G16" s="2">
        <v>0.27</v>
      </c>
      <c r="H16" s="2">
        <v>0</v>
      </c>
      <c r="I16" s="2">
        <v>0</v>
      </c>
      <c r="J16" s="2">
        <v>0</v>
      </c>
      <c r="K16" s="2">
        <v>1</v>
      </c>
    </row>
    <row r="17" spans="1:11">
      <c r="A17" s="1" t="s">
        <v>15</v>
      </c>
      <c r="B17" s="2">
        <f t="shared" ref="B17:J17" si="0">(0.6553672316*B38+0.00564971751412429*B20)/(0.6553672316+0.00564971751412429)</f>
        <v>1.8559999999990702E-2</v>
      </c>
      <c r="C17" s="2">
        <f t="shared" si="0"/>
        <v>0</v>
      </c>
      <c r="D17" s="2">
        <f t="shared" si="0"/>
        <v>0</v>
      </c>
      <c r="E17" s="2">
        <f t="shared" si="0"/>
        <v>2.7097810792806938E-2</v>
      </c>
      <c r="F17" s="2">
        <f t="shared" si="0"/>
        <v>0.27377062937099661</v>
      </c>
      <c r="G17" s="2">
        <f t="shared" si="0"/>
        <v>0.23556923076911274</v>
      </c>
      <c r="H17" s="2">
        <f t="shared" si="0"/>
        <v>1.4710240144949895E-2</v>
      </c>
      <c r="I17" s="2">
        <f t="shared" si="0"/>
        <v>0</v>
      </c>
      <c r="J17" s="2">
        <f t="shared" si="0"/>
        <v>8.7100106116195682E-3</v>
      </c>
      <c r="K17" s="2">
        <v>1</v>
      </c>
    </row>
    <row r="18" spans="1:11">
      <c r="A18" s="1" t="s">
        <v>16</v>
      </c>
      <c r="B18" s="2">
        <f t="shared" ref="B18:K18" si="1">B14</f>
        <v>0</v>
      </c>
      <c r="C18" s="2">
        <f t="shared" si="1"/>
        <v>0</v>
      </c>
      <c r="D18" s="2">
        <f t="shared" si="1"/>
        <v>0</v>
      </c>
      <c r="E18" s="2">
        <f t="shared" si="1"/>
        <v>0</v>
      </c>
      <c r="F18" s="2">
        <f t="shared" si="1"/>
        <v>0.31</v>
      </c>
      <c r="G18" s="2">
        <f t="shared" si="1"/>
        <v>0.27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1</v>
      </c>
    </row>
    <row r="19" spans="1:11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0.31</v>
      </c>
      <c r="G19" s="2">
        <v>0.27</v>
      </c>
      <c r="H19" s="2">
        <v>0</v>
      </c>
      <c r="I19" s="2">
        <v>0</v>
      </c>
      <c r="J19" s="2">
        <v>0</v>
      </c>
      <c r="K19" s="2">
        <v>1</v>
      </c>
    </row>
    <row r="20" spans="1:11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0.38636363639999999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</row>
    <row r="21" spans="1:11">
      <c r="A21" s="1" t="s">
        <v>19</v>
      </c>
      <c r="B21" s="2">
        <v>0</v>
      </c>
      <c r="C21" s="3">
        <v>0.51</v>
      </c>
      <c r="D21" s="2">
        <v>2.5000000000000001E-3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</row>
    <row r="22" spans="1:11">
      <c r="A22" s="1" t="s">
        <v>20</v>
      </c>
      <c r="B22" s="2">
        <v>0</v>
      </c>
      <c r="C22" s="2">
        <v>0.51300000000000001</v>
      </c>
      <c r="D22" s="2">
        <v>7.4999999999999997E-3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</row>
    <row r="23" spans="1:11">
      <c r="A23" s="1" t="s">
        <v>21</v>
      </c>
      <c r="B23" s="2">
        <v>0</v>
      </c>
      <c r="C23" s="2">
        <v>0.52</v>
      </c>
      <c r="D23" s="2">
        <v>1.4E-2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</row>
    <row r="24" spans="1:11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0.31</v>
      </c>
      <c r="G24" s="2">
        <v>0.27</v>
      </c>
      <c r="H24" s="2">
        <v>0</v>
      </c>
      <c r="I24" s="2">
        <v>0</v>
      </c>
      <c r="J24" s="2">
        <v>0</v>
      </c>
      <c r="K24" s="2">
        <v>1</v>
      </c>
    </row>
    <row r="25" spans="1:11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0.31</v>
      </c>
      <c r="G25" s="2">
        <v>0.27</v>
      </c>
      <c r="H25" s="2">
        <v>0</v>
      </c>
      <c r="I25" s="2">
        <v>0</v>
      </c>
      <c r="J25" s="2">
        <v>0</v>
      </c>
      <c r="K25" s="2">
        <v>1</v>
      </c>
    </row>
    <row r="26" spans="1:11">
      <c r="A26" s="1" t="s">
        <v>24</v>
      </c>
      <c r="B26" s="2">
        <v>0</v>
      </c>
      <c r="C26" s="2">
        <v>0</v>
      </c>
      <c r="D26" s="2">
        <v>6.7000000000000004E-2</v>
      </c>
      <c r="E26" s="2">
        <v>3.8399999999999997E-2</v>
      </c>
      <c r="F26" s="2">
        <v>9.5100000000000004E-2</v>
      </c>
      <c r="G26" s="2">
        <v>0</v>
      </c>
      <c r="H26" s="2">
        <v>0.29699999999999999</v>
      </c>
      <c r="I26" s="2">
        <v>0</v>
      </c>
      <c r="J26" s="2">
        <v>0</v>
      </c>
      <c r="K26" s="2">
        <v>1</v>
      </c>
    </row>
    <row r="27" spans="1:11">
      <c r="A27" s="1" t="s">
        <v>55</v>
      </c>
      <c r="B27" s="2">
        <v>0</v>
      </c>
      <c r="C27" s="2">
        <v>0</v>
      </c>
      <c r="D27" s="2">
        <v>6.7000000000000004E-2</v>
      </c>
      <c r="E27" s="2">
        <v>3.8399999999999997E-2</v>
      </c>
      <c r="F27" s="2">
        <v>9.5100000000000004E-2</v>
      </c>
      <c r="G27" s="2">
        <v>0</v>
      </c>
      <c r="H27" s="2">
        <v>0.29699999999999999</v>
      </c>
      <c r="I27" s="2">
        <v>0</v>
      </c>
      <c r="J27" s="2">
        <v>0</v>
      </c>
      <c r="K27" s="2">
        <v>1</v>
      </c>
    </row>
    <row r="28" spans="1:11">
      <c r="A28" s="1" t="s">
        <v>25</v>
      </c>
      <c r="B28" s="2">
        <v>0</v>
      </c>
      <c r="C28" s="2">
        <v>0</v>
      </c>
      <c r="D28" s="2">
        <v>0</v>
      </c>
      <c r="E28" s="2">
        <v>0</v>
      </c>
      <c r="F28" s="2">
        <f>170/460</f>
        <v>0.36956521739130432</v>
      </c>
      <c r="G28" s="2">
        <f>225/460</f>
        <v>0.4891304347826087</v>
      </c>
      <c r="H28" s="2">
        <v>0</v>
      </c>
      <c r="I28" s="2">
        <v>0</v>
      </c>
      <c r="J28" s="2">
        <v>0</v>
      </c>
      <c r="K28" s="2">
        <v>1</v>
      </c>
    </row>
    <row r="29" spans="1:11">
      <c r="A29" s="1" t="s">
        <v>26</v>
      </c>
      <c r="B29" s="2">
        <f t="shared" ref="B29:I29" si="2">B3* 0.3848+0.2882*B28+0.2954*B27</f>
        <v>0</v>
      </c>
      <c r="C29" s="2">
        <f t="shared" si="2"/>
        <v>0</v>
      </c>
      <c r="D29" s="2">
        <f t="shared" si="2"/>
        <v>1.9791800000000002E-2</v>
      </c>
      <c r="E29" s="2">
        <f t="shared" si="2"/>
        <v>1.1343359999999999E-2</v>
      </c>
      <c r="F29" s="2">
        <f t="shared" si="2"/>
        <v>0.25388923565217392</v>
      </c>
      <c r="G29" s="2">
        <f t="shared" si="2"/>
        <v>0.24486339130434781</v>
      </c>
      <c r="H29" s="2">
        <f t="shared" si="2"/>
        <v>8.7733800000000001E-2</v>
      </c>
      <c r="I29" s="2">
        <f t="shared" si="2"/>
        <v>0</v>
      </c>
      <c r="J29" s="2">
        <v>0</v>
      </c>
      <c r="K29" s="2">
        <v>0.96799999999999997</v>
      </c>
    </row>
    <row r="30" spans="1:11">
      <c r="A30" s="1" t="s">
        <v>27</v>
      </c>
      <c r="B30" s="2">
        <f t="shared" ref="B30:I30" si="3">B3* 0.375+0.205*B27+0.238*B28</f>
        <v>0</v>
      </c>
      <c r="C30" s="2">
        <f t="shared" si="3"/>
        <v>0</v>
      </c>
      <c r="D30" s="2">
        <f t="shared" si="3"/>
        <v>1.3735000000000001E-2</v>
      </c>
      <c r="E30" s="2">
        <f t="shared" si="3"/>
        <v>7.8719999999999988E-3</v>
      </c>
      <c r="F30" s="2">
        <f t="shared" si="3"/>
        <v>0.2237020217391304</v>
      </c>
      <c r="G30" s="2">
        <f t="shared" si="3"/>
        <v>0.21766304347826088</v>
      </c>
      <c r="H30" s="2">
        <f t="shared" si="3"/>
        <v>6.0884999999999995E-2</v>
      </c>
      <c r="I30" s="2">
        <f t="shared" si="3"/>
        <v>0</v>
      </c>
      <c r="J30" s="2">
        <v>0</v>
      </c>
      <c r="K30" s="2">
        <v>0.76</v>
      </c>
    </row>
    <row r="31" spans="1:11">
      <c r="A31" s="1" t="s">
        <v>28</v>
      </c>
      <c r="B31" s="2">
        <f t="shared" ref="B31:I31" si="4">B3* 0.4308+0.1633*B27+0.253*B28</f>
        <v>0</v>
      </c>
      <c r="C31" s="2">
        <f t="shared" si="4"/>
        <v>0</v>
      </c>
      <c r="D31" s="2">
        <f t="shared" si="4"/>
        <v>1.09411E-2</v>
      </c>
      <c r="E31" s="2">
        <f t="shared" si="4"/>
        <v>6.2707199999999996E-3</v>
      </c>
      <c r="F31" s="2">
        <f t="shared" si="4"/>
        <v>0.24257782999999999</v>
      </c>
      <c r="G31" s="2">
        <f t="shared" si="4"/>
        <v>0.240066</v>
      </c>
      <c r="H31" s="2">
        <f t="shared" si="4"/>
        <v>4.8500099999999997E-2</v>
      </c>
      <c r="I31" s="2">
        <f t="shared" si="4"/>
        <v>0</v>
      </c>
      <c r="J31" s="2">
        <v>0</v>
      </c>
      <c r="K31" s="2">
        <f>K3* 0.4308+0.1633*K27+0.253*K28</f>
        <v>0.84710000000000008</v>
      </c>
    </row>
    <row r="32" spans="1:11">
      <c r="A32" s="4" t="s">
        <v>29</v>
      </c>
      <c r="B32" s="2">
        <f>B3* 0.398+0.226*B28+0.128*B27</f>
        <v>0</v>
      </c>
      <c r="C32" s="2">
        <f t="shared" ref="C32:I32" si="5">C4* 0.398+0.226*C28+0.128*C27</f>
        <v>0</v>
      </c>
      <c r="D32" s="2">
        <f t="shared" si="5"/>
        <v>8.5760000000000003E-3</v>
      </c>
      <c r="E32" s="2">
        <f t="shared" si="5"/>
        <v>4.9151999999999998E-3</v>
      </c>
      <c r="F32" s="2">
        <f t="shared" si="5"/>
        <v>0.21907453913043481</v>
      </c>
      <c r="G32" s="2">
        <f t="shared" si="5"/>
        <v>0.21800347826086958</v>
      </c>
      <c r="H32" s="2">
        <f t="shared" si="5"/>
        <v>3.8016000000000001E-2</v>
      </c>
      <c r="I32" s="2">
        <f t="shared" si="5"/>
        <v>0</v>
      </c>
      <c r="J32" s="2">
        <v>0</v>
      </c>
      <c r="K32" s="2">
        <f>K4* 0.398+0.226*K28+0.128*K27</f>
        <v>0.752</v>
      </c>
    </row>
    <row r="33" spans="1:11">
      <c r="A33" s="1" t="s">
        <v>30</v>
      </c>
      <c r="B33" s="2">
        <f t="shared" ref="B33:I33" si="6">B3* 0.22+0.225*B28+0.455*B27</f>
        <v>0</v>
      </c>
      <c r="C33" s="2">
        <f t="shared" si="6"/>
        <v>0</v>
      </c>
      <c r="D33" s="2">
        <f t="shared" si="6"/>
        <v>3.0485000000000002E-2</v>
      </c>
      <c r="E33" s="2">
        <f t="shared" si="6"/>
        <v>1.7471999999999998E-2</v>
      </c>
      <c r="F33" s="2">
        <f t="shared" si="6"/>
        <v>0.19462267391304344</v>
      </c>
      <c r="G33" s="2">
        <f t="shared" si="6"/>
        <v>0.16945434782608695</v>
      </c>
      <c r="H33" s="2">
        <f t="shared" si="6"/>
        <v>0.13513500000000001</v>
      </c>
      <c r="I33" s="2">
        <f t="shared" si="6"/>
        <v>0</v>
      </c>
      <c r="J33" s="2">
        <v>0</v>
      </c>
      <c r="K33" s="2">
        <f>K3* 0.22+0.225*K28+0.455*K27</f>
        <v>0.9</v>
      </c>
    </row>
    <row r="34" spans="1:11">
      <c r="A34" s="1" t="s">
        <v>31</v>
      </c>
      <c r="B34" s="2">
        <f t="shared" ref="B34:I34" si="7">B3* 0.375+0.31*B28+0.255*B27</f>
        <v>0</v>
      </c>
      <c r="C34" s="2">
        <f t="shared" si="7"/>
        <v>0</v>
      </c>
      <c r="D34" s="2">
        <f t="shared" si="7"/>
        <v>1.7085000000000003E-2</v>
      </c>
      <c r="E34" s="2">
        <f t="shared" si="7"/>
        <v>9.7919999999999986E-3</v>
      </c>
      <c r="F34" s="2">
        <f t="shared" si="7"/>
        <v>0.25506571739130435</v>
      </c>
      <c r="G34" s="2">
        <f t="shared" si="7"/>
        <v>0.25288043478260869</v>
      </c>
      <c r="H34" s="2">
        <f t="shared" si="7"/>
        <v>7.5734999999999997E-2</v>
      </c>
      <c r="I34" s="2">
        <f t="shared" si="7"/>
        <v>0</v>
      </c>
      <c r="J34" s="2">
        <v>0</v>
      </c>
      <c r="K34" s="2">
        <f>K3* 0.375+0.31*K28+0.255*K27</f>
        <v>0.94000000000000006</v>
      </c>
    </row>
    <row r="35" spans="1:11">
      <c r="A35" s="1" t="s">
        <v>32</v>
      </c>
      <c r="B35" s="2">
        <f t="shared" ref="B35:I35" si="8">0.464*B3+0.185*B28+B27*0.1785</f>
        <v>0</v>
      </c>
      <c r="C35" s="2">
        <f t="shared" si="8"/>
        <v>0</v>
      </c>
      <c r="D35" s="2">
        <f t="shared" si="8"/>
        <v>1.19595E-2</v>
      </c>
      <c r="E35" s="2">
        <f t="shared" si="8"/>
        <v>6.8543999999999992E-3</v>
      </c>
      <c r="F35" s="2">
        <f t="shared" si="8"/>
        <v>0.22918491521739129</v>
      </c>
      <c r="G35" s="2">
        <f t="shared" si="8"/>
        <v>0.21576913043478263</v>
      </c>
      <c r="H35" s="2">
        <f t="shared" si="8"/>
        <v>5.3014499999999992E-2</v>
      </c>
      <c r="I35" s="2">
        <f t="shared" si="8"/>
        <v>0</v>
      </c>
      <c r="J35" s="2">
        <v>0</v>
      </c>
      <c r="K35" s="2">
        <f>0.464*K3+0.185*K28+K27*0.1785</f>
        <v>0.82750000000000001</v>
      </c>
    </row>
    <row r="36" spans="1:11">
      <c r="A36" s="1" t="s">
        <v>33</v>
      </c>
      <c r="B36" s="2">
        <f t="shared" ref="B36:I36" si="9">0.124*B3+0.391*B28+B27*0.239</f>
        <v>0</v>
      </c>
      <c r="C36" s="2">
        <f t="shared" si="9"/>
        <v>0</v>
      </c>
      <c r="D36" s="2">
        <f t="shared" si="9"/>
        <v>1.6012999999999999E-2</v>
      </c>
      <c r="E36" s="2">
        <f t="shared" si="9"/>
        <v>9.1775999999999993E-3</v>
      </c>
      <c r="F36" s="2">
        <f t="shared" si="9"/>
        <v>0.20566889999999999</v>
      </c>
      <c r="G36" s="2">
        <f t="shared" si="9"/>
        <v>0.22473000000000001</v>
      </c>
      <c r="H36" s="2">
        <f t="shared" si="9"/>
        <v>7.0982999999999991E-2</v>
      </c>
      <c r="I36" s="2">
        <f t="shared" si="9"/>
        <v>0</v>
      </c>
      <c r="J36" s="2">
        <v>0</v>
      </c>
      <c r="K36" s="2">
        <f>0.124*K3+0.391*K28+K27*0.239</f>
        <v>0.754</v>
      </c>
    </row>
    <row r="37" spans="1:11">
      <c r="A37" s="4" t="s">
        <v>5</v>
      </c>
      <c r="B37" s="2">
        <v>0</v>
      </c>
      <c r="C37" s="2">
        <v>0</v>
      </c>
      <c r="D37" s="2">
        <v>0</v>
      </c>
      <c r="E37" s="2">
        <v>0</v>
      </c>
      <c r="F37" s="2">
        <v>0.31</v>
      </c>
      <c r="G37" s="2">
        <v>0.27</v>
      </c>
      <c r="H37" s="2">
        <v>0</v>
      </c>
      <c r="I37" s="2">
        <v>0</v>
      </c>
      <c r="J37" s="2">
        <v>0</v>
      </c>
      <c r="K37" s="2">
        <v>1</v>
      </c>
    </row>
    <row r="38" spans="1:11" ht="18">
      <c r="A38" s="5" t="s">
        <v>34</v>
      </c>
      <c r="B38" s="6">
        <v>1.8720000000000001E-2</v>
      </c>
      <c r="C38" s="6">
        <v>0</v>
      </c>
      <c r="D38" s="6">
        <v>0</v>
      </c>
      <c r="E38" s="6">
        <v>2.7331412610000001E-2</v>
      </c>
      <c r="F38" s="6">
        <v>0.27279999999999999</v>
      </c>
      <c r="G38" s="6">
        <v>0.23760000000000001</v>
      </c>
      <c r="H38" s="6">
        <v>1.4837052559999999E-2</v>
      </c>
      <c r="I38" s="6">
        <v>0</v>
      </c>
      <c r="J38" s="6">
        <v>8.7850969099999999E-3</v>
      </c>
      <c r="K38" s="6">
        <v>1</v>
      </c>
    </row>
    <row r="39" spans="1:11" ht="18">
      <c r="A39" s="5" t="s">
        <v>35</v>
      </c>
      <c r="B39" s="2">
        <f t="shared" ref="B39:I39" si="10">B3* 0.42+0.23*B28+0.24*B27</f>
        <v>0</v>
      </c>
      <c r="C39" s="2">
        <f t="shared" si="10"/>
        <v>0</v>
      </c>
      <c r="D39" s="2">
        <f t="shared" si="10"/>
        <v>1.6080000000000001E-2</v>
      </c>
      <c r="E39" s="2">
        <f t="shared" si="10"/>
        <v>9.2159999999999985E-3</v>
      </c>
      <c r="F39" s="2">
        <f t="shared" si="10"/>
        <v>0.23802399999999999</v>
      </c>
      <c r="G39" s="2">
        <f t="shared" si="10"/>
        <v>0.22589999999999999</v>
      </c>
      <c r="H39" s="2">
        <f t="shared" si="10"/>
        <v>7.1279999999999996E-2</v>
      </c>
      <c r="I39" s="2">
        <f t="shared" si="10"/>
        <v>0</v>
      </c>
      <c r="J39" s="2">
        <v>0</v>
      </c>
      <c r="K39" s="2">
        <f>K3* 0.42+0.23*K28+0.24*K27</f>
        <v>0.89</v>
      </c>
    </row>
    <row r="40" spans="1:11">
      <c r="A40" s="1" t="s">
        <v>36</v>
      </c>
      <c r="B40" s="6">
        <v>2.7671710749999998E-2</v>
      </c>
      <c r="C40" s="6">
        <v>0</v>
      </c>
      <c r="D40" s="6">
        <v>1.168458436E-3</v>
      </c>
      <c r="E40" s="6">
        <v>3.0152006849999999E-2</v>
      </c>
      <c r="F40" s="6">
        <v>5.7260076190000002E-2</v>
      </c>
      <c r="G40" s="6">
        <v>6.7852534209999996E-2</v>
      </c>
      <c r="H40" s="6">
        <v>5.1795844100000002E-3</v>
      </c>
      <c r="I40" s="6">
        <v>0</v>
      </c>
      <c r="J40" s="6">
        <v>4.2302959280000003E-2</v>
      </c>
      <c r="K40" s="6">
        <f>41.5/(100-27)</f>
        <v>0.56849315068493156</v>
      </c>
    </row>
    <row r="41" spans="1:11">
      <c r="A41" s="1" t="s">
        <v>37</v>
      </c>
      <c r="B41" s="2">
        <f t="shared" ref="B41:I41" si="11">0.252*B3+0.3406*B28+B27*0.15</f>
        <v>0</v>
      </c>
      <c r="C41" s="2">
        <f t="shared" si="11"/>
        <v>0</v>
      </c>
      <c r="D41" s="2">
        <f t="shared" si="11"/>
        <v>1.005E-2</v>
      </c>
      <c r="E41" s="2">
        <f t="shared" si="11"/>
        <v>5.7599999999999995E-3</v>
      </c>
      <c r="F41" s="2">
        <f t="shared" si="11"/>
        <v>0.21825891304347825</v>
      </c>
      <c r="G41" s="2">
        <f t="shared" si="11"/>
        <v>0.23463782608695655</v>
      </c>
      <c r="H41" s="2">
        <f t="shared" si="11"/>
        <v>4.4549999999999999E-2</v>
      </c>
      <c r="I41" s="2">
        <f t="shared" si="11"/>
        <v>0</v>
      </c>
      <c r="J41" s="2">
        <v>0</v>
      </c>
      <c r="K41" s="2">
        <f>0.252*K3+0.3406*K28+K27*0.15</f>
        <v>0.74260000000000004</v>
      </c>
    </row>
    <row r="42" spans="1:11">
      <c r="A42" s="1" t="s">
        <v>38</v>
      </c>
      <c r="B42" s="7">
        <f>0.3398*B3+0.0999*B28+B27*0.0693+B49*0.209+0.09*0.17</f>
        <v>1.5300000000000001E-2</v>
      </c>
      <c r="C42" s="7">
        <f>0.3398*C3+0.0999*C28+C27*0.0693+C49*0.209</f>
        <v>0</v>
      </c>
      <c r="D42" s="7">
        <f>0.3398*D3+0.0999*D28+D27*0.0693+D49*0.209</f>
        <v>4.6431000000000007E-3</v>
      </c>
      <c r="E42" s="7">
        <f>0.3398*E3+0.0999*E28+E27*0.0693+E49*0.209+0.26*0.09</f>
        <v>2.606112E-2</v>
      </c>
      <c r="F42" s="7">
        <f>0.3398*F3+0.0999*F28+F27*0.0693+F49*0.209+0.09*0.0112</f>
        <v>0.14985599521739132</v>
      </c>
      <c r="G42" s="7">
        <f>0.3398*G3+0.0999*G28+G27*0.0693+G49*0.209</f>
        <v>0.14061013043478263</v>
      </c>
      <c r="H42" s="7">
        <f>0.3398*H3+0.0999*H28+H27*0.0693+H49*0.209</f>
        <v>2.0582099999999999E-2</v>
      </c>
      <c r="I42" s="7">
        <f>0.3398*I3+0.0999*I28+I27*0.0693+I49*0.209</f>
        <v>0</v>
      </c>
      <c r="J42" s="7">
        <f>0.3398*J3+0.0999*J28+J27*0.0693+J49*0.209</f>
        <v>0</v>
      </c>
      <c r="K42" s="7">
        <f>0.3398*K3+0.0999*K28+K27*0.0693+K49*0.209+0.09</f>
        <v>0.59899999999999998</v>
      </c>
    </row>
    <row r="43" spans="1:11">
      <c r="A43" s="2" t="s">
        <v>39</v>
      </c>
      <c r="B43" s="2">
        <f>0.3398*B3+0.0999*B28+B27*0.0693+B49*0.209+0.09*0.18</f>
        <v>1.6199999999999999E-2</v>
      </c>
      <c r="C43" s="2">
        <v>0</v>
      </c>
      <c r="D43" s="2">
        <v>0</v>
      </c>
      <c r="E43" s="2">
        <f>0.3398*E3+0.0999*E28+E27*0.0693+E49*0.209+0.254*0.09</f>
        <v>2.5521119999999998E-2</v>
      </c>
      <c r="F43" s="2">
        <f>0.3398*F3+0.0999*F28+F27*0.0693+F49*0.209+0.09*0.008</f>
        <v>0.14956799521739131</v>
      </c>
      <c r="G43" s="2">
        <v>0</v>
      </c>
      <c r="H43" s="2">
        <v>0</v>
      </c>
      <c r="I43" s="2">
        <v>0</v>
      </c>
      <c r="J43" s="2">
        <f>0.3398*J3+0.0999*J28+J27*0.0693+J49*0.209</f>
        <v>0</v>
      </c>
      <c r="K43" s="7">
        <f>0.3398*K3+0.0999*K28+K27*0.0693+K49*0.209+0.09</f>
        <v>0.59899999999999998</v>
      </c>
    </row>
    <row r="44" spans="1:11">
      <c r="A44" s="2" t="s">
        <v>40</v>
      </c>
      <c r="B44" s="2">
        <f t="shared" ref="B44:K44" si="12">0.5455*B3+0.23816*B28+0.085*B27</f>
        <v>0</v>
      </c>
      <c r="C44" s="2">
        <f t="shared" si="12"/>
        <v>0</v>
      </c>
      <c r="D44" s="2">
        <f t="shared" si="12"/>
        <v>5.6950000000000004E-3</v>
      </c>
      <c r="E44" s="2">
        <f t="shared" si="12"/>
        <v>3.264E-3</v>
      </c>
      <c r="F44" s="2">
        <f t="shared" si="12"/>
        <v>0.26520415217391308</v>
      </c>
      <c r="G44" s="2">
        <f t="shared" si="12"/>
        <v>0.26377630434782606</v>
      </c>
      <c r="H44" s="2">
        <f t="shared" si="12"/>
        <v>2.5245E-2</v>
      </c>
      <c r="I44" s="2">
        <f t="shared" si="12"/>
        <v>0</v>
      </c>
      <c r="J44" s="2">
        <f t="shared" si="12"/>
        <v>0</v>
      </c>
      <c r="K44" s="2">
        <f t="shared" si="12"/>
        <v>0.86865999999999999</v>
      </c>
    </row>
    <row r="45" spans="1:11">
      <c r="A45" s="1" t="s">
        <v>41</v>
      </c>
      <c r="B45" s="2">
        <f t="shared" ref="B45:J45" si="13">0.6*(B3* 0.375+0.225*B27+0.175*B28)</f>
        <v>0</v>
      </c>
      <c r="C45" s="2">
        <f t="shared" si="13"/>
        <v>0</v>
      </c>
      <c r="D45" s="2">
        <f t="shared" si="13"/>
        <v>9.045000000000001E-3</v>
      </c>
      <c r="E45" s="2">
        <f t="shared" si="13"/>
        <v>5.1840000000000002E-3</v>
      </c>
      <c r="F45" s="2">
        <f t="shared" si="13"/>
        <v>0.12139284782608693</v>
      </c>
      <c r="G45" s="2">
        <f t="shared" si="13"/>
        <v>0.11210869565217391</v>
      </c>
      <c r="H45" s="2">
        <f t="shared" si="13"/>
        <v>4.0094999999999999E-2</v>
      </c>
      <c r="I45" s="2">
        <f t="shared" si="13"/>
        <v>0</v>
      </c>
      <c r="J45" s="2">
        <f t="shared" si="13"/>
        <v>0</v>
      </c>
      <c r="K45" s="2">
        <f>0.6*0.775</f>
        <v>0.46499999999999997</v>
      </c>
    </row>
    <row r="46" spans="1:11">
      <c r="A46" s="2" t="s">
        <v>42</v>
      </c>
      <c r="B46" s="2">
        <f t="shared" ref="B46:K46" si="14">B27</f>
        <v>0</v>
      </c>
      <c r="C46" s="2">
        <f t="shared" si="14"/>
        <v>0</v>
      </c>
      <c r="D46" s="2">
        <f t="shared" si="14"/>
        <v>6.7000000000000004E-2</v>
      </c>
      <c r="E46" s="2">
        <f t="shared" si="14"/>
        <v>3.8399999999999997E-2</v>
      </c>
      <c r="F46" s="2">
        <f t="shared" si="14"/>
        <v>9.5100000000000004E-2</v>
      </c>
      <c r="G46" s="2">
        <f t="shared" si="14"/>
        <v>0</v>
      </c>
      <c r="H46" s="2">
        <f t="shared" si="14"/>
        <v>0.29699999999999999</v>
      </c>
      <c r="I46" s="2">
        <f t="shared" si="14"/>
        <v>0</v>
      </c>
      <c r="J46" s="2">
        <f t="shared" si="14"/>
        <v>0</v>
      </c>
      <c r="K46" s="2">
        <f t="shared" si="14"/>
        <v>1</v>
      </c>
    </row>
    <row r="47" spans="1:11">
      <c r="A47" s="8" t="s">
        <v>43</v>
      </c>
      <c r="B47" s="2">
        <v>0</v>
      </c>
      <c r="C47" s="2">
        <v>0</v>
      </c>
      <c r="D47" s="2">
        <v>0</v>
      </c>
      <c r="E47" s="2">
        <v>0</v>
      </c>
      <c r="F47" s="2">
        <v>0.31</v>
      </c>
      <c r="G47" s="2">
        <v>0.27</v>
      </c>
      <c r="H47" s="2">
        <v>0</v>
      </c>
      <c r="I47" s="2">
        <v>0</v>
      </c>
      <c r="J47" s="2">
        <v>0</v>
      </c>
      <c r="K47" s="2">
        <v>1</v>
      </c>
    </row>
    <row r="48" spans="1:11">
      <c r="A48" t="s">
        <v>56</v>
      </c>
      <c r="B48">
        <v>0</v>
      </c>
      <c r="C48">
        <v>0</v>
      </c>
      <c r="D48">
        <v>1.5075000000000002E-2</v>
      </c>
      <c r="E48">
        <v>8.6400000000000001E-3</v>
      </c>
      <c r="F48">
        <v>0.20232141304347823</v>
      </c>
      <c r="G48">
        <v>0.18684782608695652</v>
      </c>
      <c r="H48">
        <v>6.6824999999999996E-2</v>
      </c>
      <c r="I48">
        <v>0</v>
      </c>
      <c r="J48">
        <v>0</v>
      </c>
      <c r="K48">
        <v>0.77500000000000002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2015-06-05T18:17:20Z</dcterms:created>
  <dcterms:modified xsi:type="dcterms:W3CDTF">2024-04-09T21:46:43Z</dcterms:modified>
</cp:coreProperties>
</file>