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D6FDD57E-72A6-44AD-A635-7133DC8EA5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CF" sheetId="1" r:id="rId1"/>
    <sheet name="income statement" sheetId="2" state="hidden" r:id="rId2"/>
    <sheet name="PP&amp;E" sheetId="3" state="hidden" r:id="rId3"/>
    <sheet name="WACC" sheetId="5" r:id="rId4"/>
    <sheet name="CWC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C21" i="5"/>
  <c r="D18" i="1"/>
  <c r="E18" i="1"/>
  <c r="F18" i="1"/>
  <c r="G18" i="1"/>
  <c r="H18" i="1"/>
  <c r="I18" i="1"/>
  <c r="J18" i="1"/>
  <c r="C18" i="1"/>
  <c r="M4" i="1"/>
  <c r="M8" i="1"/>
  <c r="D28" i="1"/>
  <c r="D6" i="1"/>
  <c r="E6" i="1"/>
  <c r="F6" i="1"/>
  <c r="C6" i="1"/>
  <c r="G4" i="2"/>
  <c r="E21" i="1"/>
  <c r="F21" i="1"/>
  <c r="D21" i="1"/>
  <c r="D13" i="1"/>
  <c r="E13" i="1"/>
  <c r="F13" i="1"/>
  <c r="C16" i="1"/>
  <c r="D7" i="6"/>
  <c r="D9" i="6" s="1"/>
  <c r="E7" i="6"/>
  <c r="F7" i="6"/>
  <c r="C7" i="6"/>
  <c r="C9" i="6" s="1"/>
  <c r="C3" i="6"/>
  <c r="D3" i="6"/>
  <c r="E3" i="6"/>
  <c r="F3" i="6"/>
  <c r="G3" i="6"/>
  <c r="H3" i="6"/>
  <c r="I3" i="6"/>
  <c r="J3" i="6"/>
  <c r="B3" i="6"/>
  <c r="C13" i="1"/>
  <c r="F8" i="1"/>
  <c r="E8" i="1"/>
  <c r="D8" i="1"/>
  <c r="C8" i="1"/>
  <c r="C22" i="2"/>
  <c r="D22" i="2"/>
  <c r="E22" i="2"/>
  <c r="F22" i="2"/>
  <c r="G22" i="2"/>
  <c r="H22" i="2"/>
  <c r="I22" i="2"/>
  <c r="J22" i="2"/>
  <c r="C17" i="5"/>
  <c r="C3" i="5"/>
  <c r="D6" i="2"/>
  <c r="D11" i="2" s="1"/>
  <c r="E6" i="2"/>
  <c r="E11" i="2" s="1"/>
  <c r="F6" i="2"/>
  <c r="F11" i="2" s="1"/>
  <c r="G6" i="2"/>
  <c r="C6" i="2"/>
  <c r="C11" i="2" s="1"/>
  <c r="G31" i="2"/>
  <c r="F31" i="2"/>
  <c r="G27" i="2"/>
  <c r="G30" i="2"/>
  <c r="H30" i="2" s="1"/>
  <c r="I30" i="2" s="1"/>
  <c r="J30" i="2" s="1"/>
  <c r="F28" i="2"/>
  <c r="E28" i="2"/>
  <c r="E12" i="2" s="1"/>
  <c r="D28" i="2"/>
  <c r="D12" i="2" s="1"/>
  <c r="C28" i="2"/>
  <c r="C12" i="2" s="1"/>
  <c r="C31" i="2"/>
  <c r="D31" i="2"/>
  <c r="D32" i="2" s="1"/>
  <c r="E31" i="2"/>
  <c r="E32" i="2" s="1"/>
  <c r="D3" i="3"/>
  <c r="E3" i="3"/>
  <c r="F3" i="3"/>
  <c r="G3" i="3"/>
  <c r="H3" i="3"/>
  <c r="I3" i="3"/>
  <c r="J3" i="3"/>
  <c r="C3" i="3"/>
  <c r="F32" i="2"/>
  <c r="E22" i="3"/>
  <c r="E21" i="3"/>
  <c r="E20" i="3"/>
  <c r="D22" i="3"/>
  <c r="D21" i="3"/>
  <c r="D20" i="3"/>
  <c r="C22" i="3"/>
  <c r="C21" i="3"/>
  <c r="C20" i="3"/>
  <c r="E16" i="3"/>
  <c r="D16" i="3"/>
  <c r="C16" i="3"/>
  <c r="E15" i="3"/>
  <c r="D15" i="3"/>
  <c r="C15" i="3"/>
  <c r="E14" i="3"/>
  <c r="D14" i="3"/>
  <c r="C14" i="3"/>
  <c r="B13" i="3"/>
  <c r="E5" i="3"/>
  <c r="D7" i="3"/>
  <c r="C7" i="3"/>
  <c r="F5" i="3"/>
  <c r="F6" i="3"/>
  <c r="E6" i="3"/>
  <c r="E7" i="3"/>
  <c r="F4" i="3" s="1"/>
  <c r="H13" i="3"/>
  <c r="I13" i="3"/>
  <c r="J13" i="3"/>
  <c r="D13" i="3"/>
  <c r="E13" i="3"/>
  <c r="F13" i="3"/>
  <c r="G13" i="3"/>
  <c r="C13" i="3"/>
  <c r="C24" i="2"/>
  <c r="D24" i="2"/>
  <c r="E24" i="2"/>
  <c r="F24" i="2"/>
  <c r="C25" i="2"/>
  <c r="D25" i="2"/>
  <c r="E25" i="2"/>
  <c r="F25" i="2"/>
  <c r="C23" i="2"/>
  <c r="D23" i="2"/>
  <c r="E23" i="2"/>
  <c r="F23" i="2"/>
  <c r="G23" i="2"/>
  <c r="G24" i="2"/>
  <c r="G25" i="2"/>
  <c r="D21" i="2"/>
  <c r="E21" i="2"/>
  <c r="F21" i="2"/>
  <c r="G21" i="2"/>
  <c r="C13" i="2"/>
  <c r="D13" i="2"/>
  <c r="E13" i="2"/>
  <c r="F8" i="6" l="1"/>
  <c r="F16" i="1" s="1"/>
  <c r="F9" i="6"/>
  <c r="E8" i="6"/>
  <c r="E16" i="1" s="1"/>
  <c r="E9" i="6"/>
  <c r="G9" i="6" s="1"/>
  <c r="H9" i="6" s="1"/>
  <c r="I9" i="6" s="1"/>
  <c r="J9" i="6" s="1"/>
  <c r="G6" i="1"/>
  <c r="G7" i="6" s="1"/>
  <c r="G8" i="6" s="1"/>
  <c r="G16" i="1" s="1"/>
  <c r="H4" i="2"/>
  <c r="D8" i="6"/>
  <c r="D16" i="1" s="1"/>
  <c r="C20" i="5"/>
  <c r="C19" i="5"/>
  <c r="C9" i="5"/>
  <c r="C11" i="5" s="1"/>
  <c r="C6" i="5"/>
  <c r="F12" i="2"/>
  <c r="F13" i="2" s="1"/>
  <c r="H27" i="2"/>
  <c r="F16" i="3"/>
  <c r="F22" i="3"/>
  <c r="F21" i="3"/>
  <c r="F20" i="3"/>
  <c r="G20" i="3"/>
  <c r="H20" i="3" s="1"/>
  <c r="I20" i="3" s="1"/>
  <c r="J20" i="3" s="1"/>
  <c r="G21" i="3"/>
  <c r="H21" i="3" s="1"/>
  <c r="I21" i="3" s="1"/>
  <c r="J21" i="3" s="1"/>
  <c r="G22" i="3"/>
  <c r="H22" i="3" s="1"/>
  <c r="I22" i="3" s="1"/>
  <c r="J22" i="3" s="1"/>
  <c r="D29" i="2"/>
  <c r="E29" i="2"/>
  <c r="F29" i="2"/>
  <c r="G29" i="2" s="1"/>
  <c r="G28" i="2" s="1"/>
  <c r="F15" i="2"/>
  <c r="E15" i="2"/>
  <c r="D15" i="2"/>
  <c r="C15" i="2"/>
  <c r="C33" i="2" s="1"/>
  <c r="F17" i="2"/>
  <c r="F33" i="2"/>
  <c r="E17" i="2"/>
  <c r="E33" i="2"/>
  <c r="D17" i="2"/>
  <c r="D33" i="2"/>
  <c r="C17" i="2"/>
  <c r="G33" i="2"/>
  <c r="H33" i="2" s="1"/>
  <c r="I33" i="2" s="1"/>
  <c r="J33" i="2" s="1"/>
  <c r="G10" i="2"/>
  <c r="H25" i="2"/>
  <c r="G9" i="2"/>
  <c r="H24" i="2"/>
  <c r="G8" i="2"/>
  <c r="G11" i="2" s="1"/>
  <c r="H23" i="2"/>
  <c r="G32" i="2"/>
  <c r="G16" i="3"/>
  <c r="H16" i="3" s="1"/>
  <c r="I16" i="3" s="1"/>
  <c r="J16" i="3" s="1"/>
  <c r="F15" i="3"/>
  <c r="F14" i="3"/>
  <c r="G14" i="3"/>
  <c r="G15" i="3"/>
  <c r="V6" i="3"/>
  <c r="F7" i="3"/>
  <c r="G4" i="3" s="1"/>
  <c r="G5" i="3" s="1"/>
  <c r="H6" i="1" l="1"/>
  <c r="H7" i="6" s="1"/>
  <c r="H8" i="6" s="1"/>
  <c r="H16" i="1" s="1"/>
  <c r="I4" i="2"/>
  <c r="H6" i="2"/>
  <c r="H31" i="2"/>
  <c r="H21" i="2"/>
  <c r="C9" i="1"/>
  <c r="C12" i="1" s="1"/>
  <c r="D9" i="1"/>
  <c r="D12" i="1" s="1"/>
  <c r="E9" i="1"/>
  <c r="E12" i="1" s="1"/>
  <c r="F9" i="1"/>
  <c r="F12" i="1" s="1"/>
  <c r="G12" i="2"/>
  <c r="I27" i="2"/>
  <c r="H29" i="2"/>
  <c r="H32" i="2"/>
  <c r="I32" i="2" s="1"/>
  <c r="J32" i="2" s="1"/>
  <c r="I23" i="2"/>
  <c r="H8" i="2"/>
  <c r="I24" i="2"/>
  <c r="H9" i="2"/>
  <c r="I25" i="2"/>
  <c r="H10" i="2"/>
  <c r="G6" i="3"/>
  <c r="G7" i="3"/>
  <c r="H4" i="3" s="1"/>
  <c r="I6" i="1" l="1"/>
  <c r="I7" i="6" s="1"/>
  <c r="I8" i="6" s="1"/>
  <c r="I16" i="1" s="1"/>
  <c r="J4" i="2"/>
  <c r="I6" i="2"/>
  <c r="I31" i="2"/>
  <c r="I21" i="2"/>
  <c r="F14" i="1"/>
  <c r="F17" i="1" s="1"/>
  <c r="E14" i="1"/>
  <c r="E17" i="1" s="1"/>
  <c r="D14" i="1"/>
  <c r="D17" i="1" s="1"/>
  <c r="C14" i="1"/>
  <c r="C17" i="1" s="1"/>
  <c r="H11" i="2"/>
  <c r="I29" i="2"/>
  <c r="J29" i="2" s="1"/>
  <c r="H28" i="2"/>
  <c r="J27" i="2"/>
  <c r="G13" i="2"/>
  <c r="G8" i="1" s="1"/>
  <c r="H6" i="3"/>
  <c r="H5" i="3"/>
  <c r="J25" i="2"/>
  <c r="J10" i="2" s="1"/>
  <c r="I10" i="2"/>
  <c r="J24" i="2"/>
  <c r="J9" i="2" s="1"/>
  <c r="I9" i="2"/>
  <c r="J23" i="2"/>
  <c r="J8" i="2" s="1"/>
  <c r="I8" i="2"/>
  <c r="I11" i="2" s="1"/>
  <c r="H7" i="3"/>
  <c r="I4" i="3" s="1"/>
  <c r="I5" i="3" s="1"/>
  <c r="J6" i="1" l="1"/>
  <c r="J7" i="6" s="1"/>
  <c r="J8" i="6" s="1"/>
  <c r="J16" i="1" s="1"/>
  <c r="J6" i="2"/>
  <c r="J11" i="2" s="1"/>
  <c r="J31" i="2"/>
  <c r="J21" i="2"/>
  <c r="G15" i="2"/>
  <c r="G9" i="1"/>
  <c r="I28" i="2"/>
  <c r="H12" i="2"/>
  <c r="I6" i="3"/>
  <c r="I7" i="3"/>
  <c r="J4" i="3" s="1"/>
  <c r="J5" i="3" s="1"/>
  <c r="H13" i="2" l="1"/>
  <c r="H8" i="1" s="1"/>
  <c r="J28" i="2"/>
  <c r="J12" i="2" s="1"/>
  <c r="I12" i="2"/>
  <c r="G16" i="2"/>
  <c r="G12" i="1" s="1"/>
  <c r="G14" i="1" s="1"/>
  <c r="G17" i="1" s="1"/>
  <c r="G19" i="1" s="1"/>
  <c r="G17" i="2"/>
  <c r="J6" i="3"/>
  <c r="J7" i="3"/>
  <c r="I13" i="2" l="1"/>
  <c r="I8" i="1" s="1"/>
  <c r="J13" i="2"/>
  <c r="J8" i="1" s="1"/>
  <c r="H15" i="2"/>
  <c r="H9" i="1"/>
  <c r="H16" i="2" l="1"/>
  <c r="H12" i="1" s="1"/>
  <c r="H14" i="1" s="1"/>
  <c r="H17" i="1" s="1"/>
  <c r="H19" i="1" s="1"/>
  <c r="H17" i="2"/>
  <c r="J15" i="2"/>
  <c r="J9" i="1"/>
  <c r="I15" i="2"/>
  <c r="I9" i="1"/>
  <c r="I16" i="2" l="1"/>
  <c r="I12" i="1" s="1"/>
  <c r="I14" i="1" s="1"/>
  <c r="I17" i="1" s="1"/>
  <c r="I19" i="1" s="1"/>
  <c r="I17" i="2"/>
  <c r="J16" i="2"/>
  <c r="J12" i="1" s="1"/>
  <c r="J17" i="2"/>
  <c r="J14" i="1" l="1"/>
  <c r="J17" i="1" s="1"/>
  <c r="M9" i="1"/>
  <c r="M10" i="1" s="1"/>
  <c r="M11" i="1" s="1"/>
  <c r="J19" i="1"/>
  <c r="M5" i="1" s="1"/>
  <c r="M13" i="1" s="1"/>
  <c r="M20" i="1" s="1"/>
  <c r="M23" i="1" l="1"/>
  <c r="L25" i="1" l="1"/>
</calcChain>
</file>

<file path=xl/sharedStrings.xml><?xml version="1.0" encoding="utf-8"?>
<sst xmlns="http://schemas.openxmlformats.org/spreadsheetml/2006/main" count="126" uniqueCount="95">
  <si>
    <t>Tata Consultancy Service (TCS)</t>
  </si>
  <si>
    <t>Choose WACC</t>
  </si>
  <si>
    <t>Choose TV</t>
  </si>
  <si>
    <t>in crores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</si>
  <si>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</si>
  <si>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</si>
  <si>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</si>
  <si>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</si>
  <si>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</si>
  <si>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</si>
  <si>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</si>
  <si>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</si>
  <si>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Discount Rate%</t>
  </si>
  <si>
    <t>Particulars</t>
  </si>
  <si>
    <t>Present value of FCF</t>
  </si>
  <si>
    <t>Revenue</t>
  </si>
  <si>
    <t>No. of equity shares</t>
  </si>
  <si>
    <t>Terminal Value</t>
  </si>
  <si>
    <t>EBIT</t>
  </si>
  <si>
    <t>Terminal Growth Rate</t>
  </si>
  <si>
    <t>EBIT After Tax</t>
  </si>
  <si>
    <t>FCF*(1+G)</t>
  </si>
  <si>
    <t>Dep &amp; Amortisation</t>
  </si>
  <si>
    <t>PV of Terminal value</t>
  </si>
  <si>
    <t>Cash NOPAT</t>
  </si>
  <si>
    <t>Capex</t>
  </si>
  <si>
    <t>Enterprise Value</t>
  </si>
  <si>
    <t>Add: Cash</t>
  </si>
  <si>
    <t>CWC</t>
  </si>
  <si>
    <t>Add: Other non op.asset</t>
  </si>
  <si>
    <t>FCF</t>
  </si>
  <si>
    <t>Less: Debt</t>
  </si>
  <si>
    <t>Discount Rate</t>
  </si>
  <si>
    <t>Less: Minority Interest</t>
  </si>
  <si>
    <t>PV of Cash flow</t>
  </si>
  <si>
    <t>DCF Value ( Equity Value)</t>
  </si>
  <si>
    <t>Revenue growth</t>
  </si>
  <si>
    <t>No. Equity shares</t>
  </si>
  <si>
    <t>Value per share</t>
  </si>
  <si>
    <t>Current Market Price</t>
  </si>
  <si>
    <t>The Choose WACC and Terminal Value is based on 
the Sensitivity Data Created, the 1=3.5% For TV and 
the 1=9% for WACC</t>
  </si>
  <si>
    <t>TCS  Income Statement</t>
  </si>
  <si>
    <t>Actuals</t>
  </si>
  <si>
    <t>Forecasts</t>
  </si>
  <si>
    <t>other revenue</t>
  </si>
  <si>
    <t>Total Revenue</t>
  </si>
  <si>
    <t>Expenses</t>
  </si>
  <si>
    <t>Employement Benefits expenses</t>
  </si>
  <si>
    <t>Cost of equipment and software licence</t>
  </si>
  <si>
    <t>Other expenses</t>
  </si>
  <si>
    <t>EBITDA</t>
  </si>
  <si>
    <t>D &amp; A</t>
  </si>
  <si>
    <t>Interest expense</t>
  </si>
  <si>
    <t>EBT</t>
  </si>
  <si>
    <t>Taxes</t>
  </si>
  <si>
    <t>Net Profit</t>
  </si>
  <si>
    <t>Assumption</t>
  </si>
  <si>
    <t>Other revenue</t>
  </si>
  <si>
    <t>Depreciation on PP&amp;E</t>
  </si>
  <si>
    <t>Depreciation on RUA</t>
  </si>
  <si>
    <t>Improvement RUA</t>
  </si>
  <si>
    <t>Amortisation</t>
  </si>
  <si>
    <t>Interest % on Revenue</t>
  </si>
  <si>
    <t>Interest expense % improv</t>
  </si>
  <si>
    <t xml:space="preserve"> PP&amp;E Forecast</t>
  </si>
  <si>
    <t>Year</t>
  </si>
  <si>
    <t>Biggining PP&amp;E</t>
  </si>
  <si>
    <t>Depreciation</t>
  </si>
  <si>
    <t>Ending PP&amp;E</t>
  </si>
  <si>
    <t>Addition % on Bigin PP%E</t>
  </si>
  <si>
    <t>Disposal % on Bigin PP%E</t>
  </si>
  <si>
    <t>Translation Exge diff. % on
Bigin PP%E</t>
  </si>
  <si>
    <t>Depreciation % on Bigin PP&amp;E</t>
  </si>
  <si>
    <t>Disposals % on Bigin PP&amp;E</t>
  </si>
  <si>
    <t>WACC</t>
  </si>
  <si>
    <t>AAA</t>
  </si>
  <si>
    <t>Risk Free Rate</t>
  </si>
  <si>
    <t>ERP</t>
  </si>
  <si>
    <t>Beta</t>
  </si>
  <si>
    <t>Cost of Equity</t>
  </si>
  <si>
    <t>Cost of Debt pretax</t>
  </si>
  <si>
    <t>Tax Rate</t>
  </si>
  <si>
    <t>Cost of Debt (post tax)</t>
  </si>
  <si>
    <t>Total Market value of equity</t>
  </si>
  <si>
    <t>Total Market value of Dept</t>
  </si>
  <si>
    <t>Total Market Value</t>
  </si>
  <si>
    <t>Equity/Total Market value</t>
  </si>
  <si>
    <t>Debt/ Total Market value</t>
  </si>
  <si>
    <t>Discount Rate(WACC)</t>
  </si>
  <si>
    <t>Trade Recievables</t>
  </si>
  <si>
    <t>Inventories</t>
  </si>
  <si>
    <t>Trade Payables</t>
  </si>
  <si>
    <t>Working Capital</t>
  </si>
  <si>
    <t>Change in Working Capital</t>
  </si>
  <si>
    <t>Working Capital % on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</si>
</sst>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"/>
    <numFmt numFmtId="167" formatCode="#,##0.0"/>
    <numFmt numFmtId="168" formatCode="0.000000"/>
  </numFmts>
  <fonts count="10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0"/>
      <name val="Arial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rial"/>
    </font>
    <font>
      <b/>
      <sz val="11"/>
      <color theme="0" tint="-4.9989318521683403E-2"/>
      <name val="Arial"/>
    </font>
    <font>
      <sz val="12"/>
      <color rgb="FF000000"/>
      <name val="Times New Roman"/>
      <family val="1"/>
      <charset val="1"/>
    </font>
    <font>
      <sz val="11"/>
      <color rgb="FF22222F"/>
      <name val="Inter Var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4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0" fillId="7" borderId="0" xfId="0" applyFill="1"/>
    <xf numFmtId="164" fontId="0" fillId="7" borderId="0" xfId="0" applyNumberFormat="1" applyFill="1"/>
    <xf numFmtId="9" fontId="0" fillId="0" borderId="0" xfId="0" applyNumberFormat="1"/>
    <xf numFmtId="1" fontId="0" fillId="0" borderId="0" xfId="0" applyNumberFormat="1"/>
    <xf numFmtId="0" fontId="6" fillId="8" borderId="0" xfId="0" applyFont="1" applyFill="1"/>
    <xf numFmtId="0" fontId="1" fillId="3" borderId="0" xfId="0" applyFont="1" applyFill="1"/>
    <xf numFmtId="3" fontId="0" fillId="3" borderId="0" xfId="0" applyNumberFormat="1" applyFill="1"/>
    <xf numFmtId="0" fontId="1" fillId="7" borderId="0" xfId="0" applyFont="1" applyFill="1"/>
    <xf numFmtId="1" fontId="1" fillId="3" borderId="0" xfId="0" applyNumberFormat="1" applyFont="1" applyFill="1"/>
    <xf numFmtId="164" fontId="1" fillId="7" borderId="0" xfId="0" applyNumberFormat="1" applyFont="1" applyFill="1"/>
    <xf numFmtId="0" fontId="1" fillId="5" borderId="3" xfId="0" applyFont="1" applyFill="1" applyBorder="1"/>
    <xf numFmtId="3" fontId="1" fillId="5" borderId="3" xfId="0" applyNumberFormat="1" applyFont="1" applyFill="1" applyBorder="1"/>
    <xf numFmtId="1" fontId="1" fillId="5" borderId="3" xfId="0" applyNumberFormat="1" applyFont="1" applyFill="1" applyBorder="1"/>
    <xf numFmtId="0" fontId="7" fillId="5" borderId="0" xfId="0" applyFont="1" applyFill="1"/>
    <xf numFmtId="9" fontId="1" fillId="0" borderId="0" xfId="0" applyNumberFormat="1" applyFont="1"/>
    <xf numFmtId="0" fontId="1" fillId="9" borderId="3" xfId="0" applyFont="1" applyFill="1" applyBorder="1"/>
    <xf numFmtId="0" fontId="1" fillId="10" borderId="0" xfId="0" applyFont="1" applyFill="1" applyBorder="1"/>
    <xf numFmtId="164" fontId="1" fillId="10" borderId="0" xfId="0" applyNumberFormat="1" applyFont="1" applyFill="1" applyBorder="1"/>
    <xf numFmtId="9" fontId="1" fillId="10" borderId="0" xfId="0" applyNumberFormat="1" applyFont="1" applyFill="1" applyBorder="1"/>
    <xf numFmtId="0" fontId="1" fillId="10" borderId="0" xfId="0" applyFont="1" applyFill="1"/>
    <xf numFmtId="3" fontId="1" fillId="10" borderId="0" xfId="0" applyNumberFormat="1" applyFont="1" applyFill="1"/>
    <xf numFmtId="164" fontId="1" fillId="10" borderId="0" xfId="0" applyNumberFormat="1" applyFont="1" applyFill="1"/>
    <xf numFmtId="1" fontId="1" fillId="10" borderId="0" xfId="0" applyNumberFormat="1" applyFont="1" applyFill="1"/>
    <xf numFmtId="0" fontId="6" fillId="10" borderId="0" xfId="0" applyFont="1" applyFill="1"/>
    <xf numFmtId="3" fontId="0" fillId="10" borderId="0" xfId="0" applyNumberFormat="1" applyFill="1"/>
    <xf numFmtId="1" fontId="1" fillId="10" borderId="0" xfId="0" applyNumberFormat="1" applyFont="1" applyFill="1" applyBorder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10" fontId="0" fillId="10" borderId="0" xfId="0" applyNumberFormat="1" applyFill="1"/>
    <xf numFmtId="0" fontId="0" fillId="7" borderId="0" xfId="0" applyNumberFormat="1" applyFill="1"/>
    <xf numFmtId="0" fontId="5" fillId="7" borderId="0" xfId="0" applyFont="1" applyFill="1"/>
    <xf numFmtId="0" fontId="0" fillId="7" borderId="2" xfId="0" applyFill="1" applyBorder="1"/>
    <xf numFmtId="10" fontId="0" fillId="7" borderId="2" xfId="0" applyNumberFormat="1" applyFill="1" applyBorder="1"/>
    <xf numFmtId="0" fontId="0" fillId="7" borderId="0" xfId="0" applyFill="1" applyBorder="1"/>
    <xf numFmtId="0" fontId="0" fillId="9" borderId="0" xfId="0" applyFill="1" applyBorder="1"/>
    <xf numFmtId="10" fontId="0" fillId="9" borderId="0" xfId="0" applyNumberFormat="1" applyFill="1" applyBorder="1"/>
    <xf numFmtId="164" fontId="0" fillId="7" borderId="0" xfId="0" applyNumberFormat="1" applyFill="1" applyBorder="1"/>
    <xf numFmtId="164" fontId="0" fillId="7" borderId="2" xfId="0" applyNumberForma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1" fillId="9" borderId="6" xfId="0" applyFont="1" applyFill="1" applyBorder="1"/>
    <xf numFmtId="164" fontId="1" fillId="9" borderId="2" xfId="0" applyNumberFormat="1" applyFont="1" applyFill="1" applyBorder="1"/>
    <xf numFmtId="164" fontId="1" fillId="9" borderId="7" xfId="0" applyNumberFormat="1" applyFont="1" applyFill="1" applyBorder="1"/>
    <xf numFmtId="0" fontId="1" fillId="9" borderId="8" xfId="0" applyFont="1" applyFill="1" applyBorder="1"/>
    <xf numFmtId="164" fontId="1" fillId="9" borderId="0" xfId="0" applyNumberFormat="1" applyFont="1" applyFill="1" applyBorder="1"/>
    <xf numFmtId="164" fontId="1" fillId="9" borderId="9" xfId="0" applyNumberFormat="1" applyFont="1" applyFill="1" applyBorder="1"/>
    <xf numFmtId="0" fontId="1" fillId="9" borderId="10" xfId="0" applyFont="1" applyFill="1" applyBorder="1" applyAlignment="1">
      <alignment wrapText="1"/>
    </xf>
    <xf numFmtId="164" fontId="1" fillId="9" borderId="4" xfId="0" applyNumberFormat="1" applyFont="1" applyFill="1" applyBorder="1"/>
    <xf numFmtId="164" fontId="1" fillId="9" borderId="11" xfId="0" applyNumberFormat="1" applyFont="1" applyFill="1" applyBorder="1"/>
    <xf numFmtId="0" fontId="1" fillId="9" borderId="2" xfId="0" applyFont="1" applyFill="1" applyBorder="1"/>
    <xf numFmtId="0" fontId="1" fillId="9" borderId="8" xfId="0" applyFont="1" applyFill="1" applyBorder="1" applyAlignment="1">
      <alignment wrapText="1"/>
    </xf>
    <xf numFmtId="0" fontId="1" fillId="9" borderId="12" xfId="0" applyFont="1" applyFill="1" applyBorder="1" applyAlignment="1">
      <alignment wrapText="1"/>
    </xf>
    <xf numFmtId="0" fontId="1" fillId="9" borderId="7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" xfId="0" applyFont="1" applyFill="1" applyBorder="1"/>
    <xf numFmtId="164" fontId="0" fillId="11" borderId="0" xfId="0" applyNumberFormat="1" applyFill="1"/>
    <xf numFmtId="164" fontId="0" fillId="11" borderId="2" xfId="0" applyNumberFormat="1" applyFill="1" applyBorder="1"/>
    <xf numFmtId="164" fontId="0" fillId="11" borderId="0" xfId="0" applyNumberFormat="1" applyFill="1" applyBorder="1"/>
    <xf numFmtId="164" fontId="0" fillId="11" borderId="4" xfId="0" applyNumberFormat="1" applyFill="1" applyBorder="1"/>
    <xf numFmtId="1" fontId="0" fillId="11" borderId="0" xfId="0" applyNumberFormat="1" applyFill="1"/>
    <xf numFmtId="10" fontId="0" fillId="11" borderId="2" xfId="0" applyNumberFormat="1" applyFill="1" applyBorder="1"/>
    <xf numFmtId="10" fontId="0" fillId="11" borderId="0" xfId="0" applyNumberFormat="1" applyFill="1" applyBorder="1"/>
    <xf numFmtId="0" fontId="5" fillId="5" borderId="8" xfId="0" applyFont="1" applyFill="1" applyBorder="1"/>
    <xf numFmtId="0" fontId="5" fillId="5" borderId="0" xfId="0" applyFont="1" applyFill="1" applyBorder="1"/>
    <xf numFmtId="1" fontId="1" fillId="0" borderId="0" xfId="0" applyNumberFormat="1" applyFont="1"/>
    <xf numFmtId="0" fontId="5" fillId="3" borderId="0" xfId="0" applyFont="1" applyFill="1"/>
    <xf numFmtId="0" fontId="0" fillId="3" borderId="8" xfId="0" applyFill="1" applyBorder="1"/>
    <xf numFmtId="0" fontId="0" fillId="3" borderId="0" xfId="0" applyFill="1" applyBorder="1"/>
    <xf numFmtId="1" fontId="0" fillId="3" borderId="8" xfId="0" applyNumberFormat="1" applyFill="1" applyBorder="1"/>
    <xf numFmtId="1" fontId="0" fillId="3" borderId="0" xfId="0" applyNumberFormat="1" applyFill="1" applyBorder="1"/>
    <xf numFmtId="0" fontId="0" fillId="3" borderId="0" xfId="0" applyFont="1" applyFill="1"/>
    <xf numFmtId="0" fontId="5" fillId="3" borderId="2" xfId="0" applyFont="1" applyFill="1" applyBorder="1"/>
    <xf numFmtId="3" fontId="0" fillId="3" borderId="2" xfId="0" applyNumberFormat="1" applyFill="1" applyBorder="1"/>
    <xf numFmtId="3" fontId="0" fillId="3" borderId="6" xfId="0" applyNumberFormat="1" applyFill="1" applyBorder="1"/>
    <xf numFmtId="0" fontId="5" fillId="3" borderId="0" xfId="0" applyFont="1" applyFill="1" applyBorder="1"/>
    <xf numFmtId="3" fontId="0" fillId="3" borderId="8" xfId="0" applyNumberFormat="1" applyFill="1" applyBorder="1"/>
    <xf numFmtId="3" fontId="0" fillId="3" borderId="0" xfId="0" applyNumberFormat="1" applyFill="1" applyBorder="1"/>
    <xf numFmtId="0" fontId="0" fillId="3" borderId="0" xfId="0" applyFill="1"/>
    <xf numFmtId="0" fontId="5" fillId="3" borderId="5" xfId="0" applyFont="1" applyFill="1" applyBorder="1"/>
    <xf numFmtId="3" fontId="0" fillId="3" borderId="5" xfId="0" applyNumberFormat="1" applyFill="1" applyBorder="1"/>
    <xf numFmtId="3" fontId="0" fillId="3" borderId="15" xfId="0" applyNumberFormat="1" applyFill="1" applyBorder="1"/>
    <xf numFmtId="1" fontId="1" fillId="0" borderId="0" xfId="0" applyNumberFormat="1" applyFont="1" applyAlignment="1">
      <alignment horizontal="right" vertical="center"/>
    </xf>
    <xf numFmtId="10" fontId="8" fillId="0" borderId="0" xfId="0" applyNumberFormat="1" applyFont="1"/>
    <xf numFmtId="10" fontId="0" fillId="5" borderId="0" xfId="0" applyNumberFormat="1" applyFill="1"/>
    <xf numFmtId="2" fontId="0" fillId="0" borderId="0" xfId="0" applyNumberFormat="1"/>
    <xf numFmtId="10" fontId="0" fillId="3" borderId="0" xfId="0" applyNumberFormat="1" applyFill="1"/>
    <xf numFmtId="0" fontId="0" fillId="9" borderId="0" xfId="0" applyFill="1"/>
    <xf numFmtId="10" fontId="0" fillId="9" borderId="0" xfId="0" applyNumberFormat="1" applyFill="1"/>
    <xf numFmtId="10" fontId="1" fillId="0" borderId="0" xfId="0" applyNumberFormat="1" applyFont="1"/>
    <xf numFmtId="3" fontId="0" fillId="3" borderId="9" xfId="0" applyNumberFormat="1" applyFill="1" applyBorder="1"/>
    <xf numFmtId="3" fontId="0" fillId="3" borderId="7" xfId="0" applyNumberFormat="1" applyFill="1" applyBorder="1"/>
    <xf numFmtId="3" fontId="9" fillId="13" borderId="0" xfId="0" applyNumberFormat="1" applyFont="1" applyFill="1" applyBorder="1" applyAlignment="1">
      <alignment wrapText="1"/>
    </xf>
    <xf numFmtId="164" fontId="1" fillId="0" borderId="0" xfId="0" applyNumberFormat="1" applyFont="1"/>
    <xf numFmtId="166" fontId="1" fillId="0" borderId="0" xfId="0" applyNumberFormat="1" applyFont="1"/>
    <xf numFmtId="0" fontId="1" fillId="14" borderId="0" xfId="0" applyFont="1" applyFill="1"/>
    <xf numFmtId="3" fontId="1" fillId="14" borderId="0" xfId="0" applyNumberFormat="1" applyFont="1" applyFill="1"/>
    <xf numFmtId="3" fontId="1" fillId="14" borderId="0" xfId="0" applyNumberFormat="1" applyFont="1" applyFill="1" applyAlignment="1">
      <alignment wrapText="1"/>
    </xf>
    <xf numFmtId="3" fontId="1" fillId="14" borderId="0" xfId="0" applyNumberFormat="1" applyFont="1" applyFill="1" applyAlignment="1">
      <alignment horizontal="right" vertical="center"/>
    </xf>
    <xf numFmtId="0" fontId="1" fillId="14" borderId="2" xfId="0" applyFont="1" applyFill="1" applyBorder="1" applyAlignment="1">
      <alignment wrapText="1"/>
    </xf>
    <xf numFmtId="1" fontId="1" fillId="14" borderId="2" xfId="0" applyNumberFormat="1" applyFont="1" applyFill="1" applyBorder="1" applyAlignment="1">
      <alignment wrapText="1"/>
    </xf>
    <xf numFmtId="0" fontId="6" fillId="2" borderId="0" xfId="0" applyFont="1" applyFill="1"/>
    <xf numFmtId="0" fontId="6" fillId="2" borderId="2" xfId="0" applyFont="1" applyFill="1" applyBorder="1"/>
    <xf numFmtId="0" fontId="6" fillId="2" borderId="0" xfId="0" applyFont="1" applyFill="1" applyAlignment="1">
      <alignment wrapText="1"/>
    </xf>
    <xf numFmtId="0" fontId="6" fillId="2" borderId="4" xfId="0" applyFont="1" applyFill="1" applyBorder="1"/>
    <xf numFmtId="0" fontId="6" fillId="2" borderId="0" xfId="0" applyFont="1" applyFill="1" applyBorder="1"/>
    <xf numFmtId="0" fontId="3" fillId="2" borderId="0" xfId="0" applyFont="1" applyFill="1" applyAlignment="1">
      <alignment horizontal="center"/>
    </xf>
    <xf numFmtId="0" fontId="6" fillId="2" borderId="5" xfId="0" applyFont="1" applyFill="1" applyBorder="1"/>
    <xf numFmtId="3" fontId="2" fillId="14" borderId="2" xfId="0" applyNumberFormat="1" applyFont="1" applyFill="1" applyBorder="1"/>
    <xf numFmtId="3" fontId="2" fillId="14" borderId="5" xfId="0" applyNumberFormat="1" applyFont="1" applyFill="1" applyBorder="1"/>
    <xf numFmtId="10" fontId="1" fillId="14" borderId="0" xfId="0" applyNumberFormat="1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14" borderId="8" xfId="0" applyFont="1" applyFill="1" applyBorder="1"/>
    <xf numFmtId="0" fontId="1" fillId="14" borderId="0" xfId="0" applyFont="1" applyFill="1" applyBorder="1"/>
    <xf numFmtId="3" fontId="1" fillId="14" borderId="8" xfId="0" applyNumberFormat="1" applyFont="1" applyFill="1" applyBorder="1"/>
    <xf numFmtId="3" fontId="1" fillId="14" borderId="0" xfId="0" applyNumberFormat="1" applyFont="1" applyFill="1" applyBorder="1"/>
    <xf numFmtId="3" fontId="1" fillId="14" borderId="8" xfId="0" applyNumberFormat="1" applyFont="1" applyFill="1" applyBorder="1" applyAlignment="1">
      <alignment wrapText="1"/>
    </xf>
    <xf numFmtId="3" fontId="1" fillId="14" borderId="0" xfId="0" applyNumberFormat="1" applyFont="1" applyFill="1" applyBorder="1" applyAlignment="1">
      <alignment wrapText="1"/>
    </xf>
    <xf numFmtId="3" fontId="2" fillId="14" borderId="6" xfId="0" applyNumberFormat="1" applyFont="1" applyFill="1" applyBorder="1"/>
    <xf numFmtId="1" fontId="1" fillId="14" borderId="8" xfId="0" applyNumberFormat="1" applyFont="1" applyFill="1" applyBorder="1" applyAlignment="1">
      <alignment vertical="center"/>
    </xf>
    <xf numFmtId="1" fontId="1" fillId="14" borderId="0" xfId="0" applyNumberFormat="1" applyFont="1" applyFill="1" applyBorder="1" applyAlignment="1">
      <alignment vertical="center"/>
    </xf>
    <xf numFmtId="1" fontId="1" fillId="14" borderId="8" xfId="0" applyNumberFormat="1" applyFont="1" applyFill="1" applyBorder="1"/>
    <xf numFmtId="1" fontId="1" fillId="14" borderId="0" xfId="0" applyNumberFormat="1" applyFont="1" applyFill="1" applyBorder="1"/>
    <xf numFmtId="1" fontId="1" fillId="14" borderId="6" xfId="0" applyNumberFormat="1" applyFont="1" applyFill="1" applyBorder="1" applyAlignment="1">
      <alignment wrapText="1"/>
    </xf>
    <xf numFmtId="3" fontId="2" fillId="14" borderId="15" xfId="0" applyNumberFormat="1" applyFont="1" applyFill="1" applyBorder="1"/>
    <xf numFmtId="0" fontId="1" fillId="15" borderId="0" xfId="0" applyFont="1" applyFill="1"/>
    <xf numFmtId="10" fontId="1" fillId="15" borderId="0" xfId="0" applyNumberFormat="1" applyFont="1" applyFill="1"/>
    <xf numFmtId="0" fontId="1" fillId="16" borderId="0" xfId="0" applyFont="1" applyFill="1"/>
    <xf numFmtId="0" fontId="1" fillId="0" borderId="5" xfId="0" applyFont="1" applyBorder="1"/>
    <xf numFmtId="1" fontId="1" fillId="0" borderId="5" xfId="0" applyNumberFormat="1" applyFont="1" applyBorder="1"/>
    <xf numFmtId="10" fontId="1" fillId="17" borderId="0" xfId="0" applyNumberFormat="1" applyFont="1" applyFill="1"/>
    <xf numFmtId="166" fontId="1" fillId="17" borderId="0" xfId="0" applyNumberFormat="1" applyFont="1" applyFill="1"/>
    <xf numFmtId="0" fontId="1" fillId="18" borderId="0" xfId="0" applyFont="1" applyFill="1"/>
    <xf numFmtId="3" fontId="1" fillId="18" borderId="0" xfId="0" applyNumberFormat="1" applyFont="1" applyFill="1"/>
    <xf numFmtId="166" fontId="1" fillId="15" borderId="0" xfId="0" applyNumberFormat="1" applyFont="1" applyFill="1"/>
    <xf numFmtId="167" fontId="1" fillId="0" borderId="0" xfId="0" applyNumberFormat="1" applyFont="1"/>
    <xf numFmtId="165" fontId="1" fillId="0" borderId="0" xfId="0" applyNumberFormat="1" applyFont="1"/>
    <xf numFmtId="168" fontId="1" fillId="0" borderId="0" xfId="0" applyNumberFormat="1" applyFont="1"/>
    <xf numFmtId="0" fontId="1" fillId="19" borderId="0" xfId="0" applyFont="1" applyFill="1"/>
    <xf numFmtId="0" fontId="6" fillId="20" borderId="0" xfId="0" applyFont="1" applyFill="1"/>
    <xf numFmtId="0" fontId="0" fillId="12" borderId="0" xfId="0" applyFill="1"/>
    <xf numFmtId="0" fontId="1" fillId="21" borderId="0" xfId="0" applyFont="1" applyFill="1"/>
    <xf numFmtId="10" fontId="1" fillId="21" borderId="0" xfId="0" applyNumberFormat="1" applyFont="1" applyFill="1"/>
    <xf numFmtId="1" fontId="1" fillId="9" borderId="0" xfId="0" applyNumberFormat="1" applyFont="1" applyFill="1"/>
    <xf numFmtId="2" fontId="1" fillId="23" borderId="11" xfId="0" applyNumberFormat="1" applyFont="1" applyFill="1" applyBorder="1"/>
    <xf numFmtId="9" fontId="1" fillId="23" borderId="4" xfId="0" applyNumberFormat="1" applyFont="1" applyFill="1" applyBorder="1"/>
    <xf numFmtId="10" fontId="1" fillId="23" borderId="4" xfId="0" applyNumberFormat="1" applyFont="1" applyFill="1" applyBorder="1"/>
    <xf numFmtId="164" fontId="1" fillId="23" borderId="9" xfId="0" applyNumberFormat="1" applyFont="1" applyFill="1" applyBorder="1"/>
    <xf numFmtId="1" fontId="1" fillId="23" borderId="0" xfId="0" applyNumberFormat="1" applyFont="1" applyFill="1"/>
    <xf numFmtId="0" fontId="1" fillId="23" borderId="0" xfId="0" applyFont="1" applyFill="1"/>
    <xf numFmtId="10" fontId="0" fillId="23" borderId="0" xfId="0" applyNumberFormat="1" applyFill="1"/>
    <xf numFmtId="0" fontId="0" fillId="24" borderId="0" xfId="0" applyFill="1"/>
    <xf numFmtId="0" fontId="0" fillId="15" borderId="0" xfId="0" applyFill="1"/>
    <xf numFmtId="3" fontId="0" fillId="15" borderId="0" xfId="0" applyNumberFormat="1" applyFill="1"/>
    <xf numFmtId="164" fontId="0" fillId="15" borderId="0" xfId="0" applyNumberFormat="1" applyFill="1"/>
    <xf numFmtId="0" fontId="5" fillId="25" borderId="0" xfId="0" applyFont="1" applyFill="1"/>
    <xf numFmtId="3" fontId="5" fillId="25" borderId="0" xfId="0" applyNumberFormat="1" applyFont="1" applyFill="1"/>
    <xf numFmtId="1" fontId="5" fillId="25" borderId="0" xfId="0" applyNumberFormat="1" applyFont="1" applyFill="1"/>
    <xf numFmtId="0" fontId="0" fillId="5" borderId="0" xfId="0" applyFill="1"/>
    <xf numFmtId="0" fontId="3" fillId="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" fillId="26" borderId="0" xfId="0" applyFont="1" applyFill="1"/>
    <xf numFmtId="3" fontId="1" fillId="17" borderId="6" xfId="0" applyNumberFormat="1" applyFont="1" applyFill="1" applyBorder="1" applyAlignment="1">
      <alignment horizontal="left" vertical="center" wrapText="1"/>
    </xf>
    <xf numFmtId="3" fontId="1" fillId="17" borderId="2" xfId="0" applyNumberFormat="1" applyFont="1" applyFill="1" applyBorder="1" applyAlignment="1">
      <alignment horizontal="left" vertical="center" wrapText="1"/>
    </xf>
    <xf numFmtId="3" fontId="1" fillId="17" borderId="7" xfId="0" applyNumberFormat="1" applyFont="1" applyFill="1" applyBorder="1" applyAlignment="1">
      <alignment horizontal="left" vertical="center" wrapText="1"/>
    </xf>
    <xf numFmtId="3" fontId="1" fillId="17" borderId="8" xfId="0" applyNumberFormat="1" applyFont="1" applyFill="1" applyBorder="1" applyAlignment="1">
      <alignment horizontal="left" vertical="center" wrapText="1"/>
    </xf>
    <xf numFmtId="3" fontId="1" fillId="17" borderId="0" xfId="0" applyNumberFormat="1" applyFont="1" applyFill="1" applyBorder="1" applyAlignment="1">
      <alignment horizontal="left" vertical="center" wrapText="1"/>
    </xf>
    <xf numFmtId="3" fontId="1" fillId="17" borderId="9" xfId="0" applyNumberFormat="1" applyFont="1" applyFill="1" applyBorder="1" applyAlignment="1">
      <alignment horizontal="left" vertical="center" wrapText="1"/>
    </xf>
    <xf numFmtId="3" fontId="1" fillId="17" borderId="10" xfId="0" applyNumberFormat="1" applyFont="1" applyFill="1" applyBorder="1" applyAlignment="1">
      <alignment horizontal="left" vertical="center" wrapText="1"/>
    </xf>
    <xf numFmtId="3" fontId="1" fillId="17" borderId="4" xfId="0" applyNumberFormat="1" applyFont="1" applyFill="1" applyBorder="1" applyAlignment="1">
      <alignment horizontal="left" vertical="center" wrapText="1"/>
    </xf>
    <xf numFmtId="3" fontId="1" fillId="17" borderId="11" xfId="0" applyNumberFormat="1" applyFont="1" applyFill="1" applyBorder="1" applyAlignment="1">
      <alignment horizontal="left" vertical="center" wrapText="1"/>
    </xf>
    <xf numFmtId="1" fontId="1" fillId="14" borderId="0" xfId="0" applyNumberFormat="1" applyFont="1" applyFill="1"/>
    <xf numFmtId="9" fontId="1" fillId="9" borderId="4" xfId="0" applyNumberFormat="1" applyFont="1" applyFill="1" applyBorder="1"/>
    <xf numFmtId="9" fontId="0" fillId="10" borderId="0" xfId="0" applyNumberFormat="1" applyFill="1" applyBorder="1"/>
    <xf numFmtId="10" fontId="0" fillId="10" borderId="0" xfId="0" applyNumberFormat="1" applyFill="1" applyBorder="1"/>
    <xf numFmtId="1" fontId="1" fillId="15" borderId="0" xfId="0" applyNumberFormat="1" applyFont="1" applyFill="1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6" fontId="1" fillId="1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workbookViewId="0">
      <selection activeCell="B4" sqref="B4"/>
    </sheetView>
  </sheetViews>
  <sheetFormatPr defaultRowHeight="14.25"/>
  <cols>
    <col min="1" max="1" width="2" style="1" customWidth="1"/>
    <col min="2" max="2" width="16.28515625" style="1" customWidth="1"/>
    <col min="3" max="3" width="9.85546875" style="1" customWidth="1"/>
    <col min="4" max="4" width="10.42578125" style="1" customWidth="1"/>
    <col min="5" max="7" width="9.140625" style="1"/>
    <col min="8" max="8" width="9.7109375" style="1" customWidth="1"/>
    <col min="9" max="11" width="9.140625" style="1"/>
    <col min="12" max="12" width="21.140625" style="1" bestFit="1" customWidth="1"/>
    <col min="13" max="13" width="12.28515625" style="1" customWidth="1"/>
    <col min="14" max="14" width="8.28515625" style="1" customWidth="1"/>
    <col min="15" max="15" width="14.85546875" style="1" customWidth="1"/>
    <col min="16" max="16" width="9.140625" style="1"/>
    <col min="17" max="17" width="25" style="1" customWidth="1"/>
    <col min="18" max="18" width="15.28515625" style="1" bestFit="1" customWidth="1"/>
    <col min="19" max="16384" width="9.140625" style="1"/>
  </cols>
  <sheetData>
    <row r="1" spans="2:16" ht="15" customHeight="1">
      <c r="B1" s="169" t="s">
        <v>0</v>
      </c>
      <c r="C1" s="169"/>
      <c r="D1" s="169"/>
      <c r="E1" s="169"/>
      <c r="F1" s="169"/>
    </row>
    <row r="2" spans="2:16">
      <c r="B2" s="169"/>
      <c r="C2" s="169"/>
      <c r="D2" s="169"/>
      <c r="E2" s="169"/>
      <c r="F2" s="169"/>
      <c r="L2" s="148" t="s">
        <v>1</v>
      </c>
      <c r="M2" s="174" t="s">
        <v>2</v>
      </c>
    </row>
    <row r="3" spans="2:16">
      <c r="C3" s="1">
        <v>0.5</v>
      </c>
      <c r="D3" s="1">
        <v>1.5</v>
      </c>
      <c r="E3" s="1">
        <v>2.5</v>
      </c>
      <c r="F3" s="1">
        <v>3.5</v>
      </c>
      <c r="G3" s="1">
        <v>0.5</v>
      </c>
      <c r="H3" s="1">
        <v>1.5</v>
      </c>
      <c r="I3" s="1">
        <v>2.5</v>
      </c>
      <c r="J3" s="1">
        <v>3.5</v>
      </c>
      <c r="L3" s="149">
        <v>3</v>
      </c>
      <c r="M3" s="149">
        <v>2</v>
      </c>
    </row>
    <row r="4" spans="2:16" ht="15">
      <c r="B4" s="189" t="s">
        <v>3</v>
      </c>
      <c r="C4" s="115" t="s">
        <v>4</v>
      </c>
      <c r="D4" s="115" t="s">
        <v>5</v>
      </c>
      <c r="E4" s="115" t="s">
        <v>6</v>
      </c>
      <c r="F4" s="115" t="s">
        <v>7</v>
      </c>
      <c r="G4" s="120" t="s">
        <v>8</v>
      </c>
      <c r="H4" s="121" t="s">
        <v>9</v>
      </c>
      <c r="I4" s="121" t="s">
        <v>10</v>
      </c>
      <c r="J4" s="121" t="s">
        <v>11</v>
      </c>
      <c r="L4" s="135" t="s">
        <v>12</v>
      </c>
      <c r="M4" s="136">
        <f>CHOOSE(L3,C23,D23,E23,F23,G23)</f>
        <v>0.11</v>
      </c>
    </row>
    <row r="5" spans="2:16">
      <c r="B5" s="190" t="s">
        <v>13</v>
      </c>
      <c r="C5" s="104"/>
      <c r="D5" s="104"/>
      <c r="E5" s="104"/>
      <c r="F5" s="104"/>
      <c r="G5" s="122"/>
      <c r="H5" s="123"/>
      <c r="I5" s="123"/>
      <c r="J5" s="123"/>
      <c r="L5" s="135" t="s">
        <v>14</v>
      </c>
      <c r="M5" s="144">
        <f>SUM(G19:J19)</f>
        <v>186879.10805093183</v>
      </c>
    </row>
    <row r="6" spans="2:16" ht="16.5" customHeight="1">
      <c r="B6" s="110" t="s">
        <v>15</v>
      </c>
      <c r="C6" s="105">
        <f>'income statement'!C4</f>
        <v>191754</v>
      </c>
      <c r="D6" s="105">
        <f>'income statement'!D4</f>
        <v>225458</v>
      </c>
      <c r="E6" s="105">
        <f>'income statement'!E4</f>
        <v>240893</v>
      </c>
      <c r="F6" s="105">
        <f>'income statement'!F4</f>
        <v>255324</v>
      </c>
      <c r="G6" s="124">
        <f>'income statement'!G4</f>
        <v>258643.21199999997</v>
      </c>
      <c r="H6" s="125">
        <f>'income statement'!H4</f>
        <v>268988.94047999999</v>
      </c>
      <c r="I6" s="125">
        <f>'income statement'!I4</f>
        <v>285128.27690880001</v>
      </c>
      <c r="J6" s="125">
        <f>'income statement'!J4</f>
        <v>313641.10459968005</v>
      </c>
      <c r="L6" s="135" t="s">
        <v>16</v>
      </c>
      <c r="M6" s="188">
        <f>3618087518/10000000</f>
        <v>361.80875179999998</v>
      </c>
      <c r="P6"/>
    </row>
    <row r="7" spans="2:16" ht="13.5" customHeight="1">
      <c r="B7" s="110"/>
      <c r="C7" s="104"/>
      <c r="D7" s="104"/>
      <c r="E7" s="104"/>
      <c r="F7" s="104"/>
      <c r="G7" s="122"/>
      <c r="H7" s="123"/>
      <c r="I7" s="123"/>
      <c r="J7" s="123"/>
      <c r="L7" s="137" t="s">
        <v>17</v>
      </c>
      <c r="M7" s="137"/>
    </row>
    <row r="8" spans="2:16">
      <c r="B8" s="110" t="s">
        <v>18</v>
      </c>
      <c r="C8" s="106">
        <f>'income statement'!C13-4018</f>
        <v>48453</v>
      </c>
      <c r="D8" s="106">
        <f>'income statement'!D13-3449</f>
        <v>54237</v>
      </c>
      <c r="E8" s="106">
        <f>'income statement'!E13-4422</f>
        <v>59311</v>
      </c>
      <c r="F8" s="106">
        <f>'income statement'!F13-3962</f>
        <v>62165</v>
      </c>
      <c r="G8" s="126">
        <f>'income statement'!G13-4000</f>
        <v>63996.017562368012</v>
      </c>
      <c r="H8" s="127">
        <f>'income statement'!H13-4000</f>
        <v>66630.648264862743</v>
      </c>
      <c r="I8" s="127">
        <f>'income statement'!I13-4000</f>
        <v>70800.712160754527</v>
      </c>
      <c r="J8" s="127">
        <f>'income statement'!J13-4000</f>
        <v>78267.058376829969</v>
      </c>
      <c r="L8" s="1" t="s">
        <v>19</v>
      </c>
      <c r="M8" s="102">
        <f>CHOOSE(M3,B24,B25,B26,B27,B28,B29,B30)</f>
        <v>0.04</v>
      </c>
    </row>
    <row r="9" spans="2:16" ht="15">
      <c r="B9" s="111" t="s">
        <v>20</v>
      </c>
      <c r="C9" s="117">
        <f>C8*(1-'income statement'!C33)</f>
        <v>35653.316094956179</v>
      </c>
      <c r="D9" s="117">
        <f>D8*(1-'income statement'!D33)</f>
        <v>40172.37861774474</v>
      </c>
      <c r="E9" s="117">
        <f>E8*(1-'income statement'!E33)</f>
        <v>44365.249797474382</v>
      </c>
      <c r="F9" s="117">
        <f>F8*(1-'income statement'!F33)</f>
        <v>46074.474062849178</v>
      </c>
      <c r="G9" s="128">
        <f>G8*(1-'income statement'!G33)</f>
        <v>47448.085240502282</v>
      </c>
      <c r="H9" s="117">
        <f>H8*(1-'income statement'!H33)</f>
        <v>49401.459636454128</v>
      </c>
      <c r="I9" s="117">
        <f>I8*(1-'income statement'!I33)</f>
        <v>52493.238699077614</v>
      </c>
      <c r="J9" s="117">
        <f>J8*(1-'income statement'!J33)</f>
        <v>58028.955532553977</v>
      </c>
      <c r="L9" s="1" t="s">
        <v>21</v>
      </c>
      <c r="M9" s="74">
        <f>J17*(1+0.05)</f>
        <v>64718.198991372978</v>
      </c>
      <c r="N9" s="91"/>
      <c r="O9" s="91"/>
      <c r="P9" s="91"/>
    </row>
    <row r="10" spans="2:16">
      <c r="B10" s="110"/>
      <c r="C10" s="104"/>
      <c r="D10" s="104"/>
      <c r="E10" s="104"/>
      <c r="F10" s="104"/>
      <c r="G10" s="122"/>
      <c r="H10" s="123"/>
      <c r="I10" s="123"/>
      <c r="J10" s="123"/>
      <c r="L10" s="1" t="s">
        <v>17</v>
      </c>
      <c r="M10" s="103">
        <f>M9/(M4-M8)</f>
        <v>924545.69987675676</v>
      </c>
    </row>
    <row r="11" spans="2:16" ht="30" customHeight="1">
      <c r="B11" s="112" t="s">
        <v>22</v>
      </c>
      <c r="C11" s="107">
        <v>4604</v>
      </c>
      <c r="D11" s="107">
        <v>5022</v>
      </c>
      <c r="E11" s="107">
        <v>4985</v>
      </c>
      <c r="F11" s="107">
        <v>5242</v>
      </c>
      <c r="G11" s="129">
        <v>4317.9328779355192</v>
      </c>
      <c r="H11" s="130">
        <v>5219.75</v>
      </c>
      <c r="I11" s="130">
        <v>5353.75</v>
      </c>
      <c r="J11" s="130">
        <v>5502.75</v>
      </c>
      <c r="L11" s="138" t="s">
        <v>23</v>
      </c>
      <c r="M11" s="139">
        <f>M10/(1+M4)^J3</f>
        <v>641649.64341742301</v>
      </c>
    </row>
    <row r="12" spans="2:16" ht="15">
      <c r="B12" s="111" t="s">
        <v>24</v>
      </c>
      <c r="C12" s="117">
        <f>SUM(C9:C11)</f>
        <v>40257.316094956179</v>
      </c>
      <c r="D12" s="117">
        <f t="shared" ref="D12:F12" si="0">SUM(D9:D11)</f>
        <v>45194.37861774474</v>
      </c>
      <c r="E12" s="117">
        <f t="shared" si="0"/>
        <v>49350.249797474382</v>
      </c>
      <c r="F12" s="117">
        <f t="shared" si="0"/>
        <v>51316.474062849178</v>
      </c>
      <c r="G12" s="128">
        <f>SUM(G9:G11)</f>
        <v>51766.018118437802</v>
      </c>
      <c r="H12" s="117">
        <f>SUM(H9:H11)</f>
        <v>54621.209636454128</v>
      </c>
      <c r="I12" s="117">
        <f>SUM(I9:I11)</f>
        <v>57846.988699077614</v>
      </c>
      <c r="J12" s="117">
        <f>SUM(J9:J11)</f>
        <v>63531.705532553977</v>
      </c>
      <c r="N12" s="101"/>
      <c r="O12" s="101"/>
      <c r="P12" s="101"/>
    </row>
    <row r="13" spans="2:16">
      <c r="B13" s="113" t="s">
        <v>25</v>
      </c>
      <c r="C13" s="104">
        <f>-2964</f>
        <v>-2964</v>
      </c>
      <c r="D13" s="104">
        <f>-3063</f>
        <v>-3063</v>
      </c>
      <c r="E13" s="104">
        <f>-2650</f>
        <v>-2650</v>
      </c>
      <c r="F13" s="104">
        <f>-3914</f>
        <v>-3914</v>
      </c>
      <c r="G13" s="131">
        <v>-3160</v>
      </c>
      <c r="H13" s="132">
        <v>-3160</v>
      </c>
      <c r="I13" s="132">
        <v>-3160</v>
      </c>
      <c r="J13" s="132">
        <v>-3160</v>
      </c>
      <c r="L13" s="140" t="s">
        <v>26</v>
      </c>
      <c r="M13" s="141">
        <f>M5+M11</f>
        <v>828528.75146835484</v>
      </c>
    </row>
    <row r="14" spans="2:16" ht="15">
      <c r="B14" s="114"/>
      <c r="C14" s="117">
        <f>C12-C13</f>
        <v>43221.316094956179</v>
      </c>
      <c r="D14" s="117">
        <f>D12-D13</f>
        <v>48257.37861774474</v>
      </c>
      <c r="E14" s="117">
        <f>E12-E13</f>
        <v>52000.249797474382</v>
      </c>
      <c r="F14" s="117">
        <f>F12-F13</f>
        <v>55230.474062849178</v>
      </c>
      <c r="G14" s="128">
        <f>G12-G13</f>
        <v>54926.018118437802</v>
      </c>
      <c r="H14" s="117">
        <f>H12-H13</f>
        <v>57781.209636454128</v>
      </c>
      <c r="I14" s="117">
        <f>I12-I13</f>
        <v>61006.988699077614</v>
      </c>
      <c r="J14" s="117">
        <f>J12-J13</f>
        <v>66691.705532553984</v>
      </c>
      <c r="N14" s="102"/>
      <c r="O14" s="102"/>
      <c r="P14" s="102"/>
    </row>
    <row r="15" spans="2:16">
      <c r="B15" s="110"/>
      <c r="C15" s="104"/>
      <c r="D15" s="104"/>
      <c r="E15" s="104"/>
      <c r="F15" s="104"/>
      <c r="G15" s="122"/>
      <c r="H15" s="123"/>
      <c r="I15" s="123"/>
      <c r="J15" s="123"/>
      <c r="L15" s="1" t="s">
        <v>27</v>
      </c>
      <c r="M15" s="1">
        <v>15463</v>
      </c>
    </row>
    <row r="16" spans="2:16" ht="16.5" customHeight="1">
      <c r="B16" s="111" t="s">
        <v>28</v>
      </c>
      <c r="C16" s="108">
        <f>CWC!C8</f>
        <v>11558</v>
      </c>
      <c r="D16" s="108">
        <f>CWC!D8</f>
        <v>5682</v>
      </c>
      <c r="E16" s="108">
        <f>CWC!E8</f>
        <v>4157</v>
      </c>
      <c r="F16" s="108">
        <f>CWC!F8</f>
        <v>1534</v>
      </c>
      <c r="G16" s="133">
        <f>CWC!G8</f>
        <v>699.45229290817224</v>
      </c>
      <c r="H16" s="109">
        <f>CWC!H8</f>
        <v>1834.2980917163295</v>
      </c>
      <c r="I16" s="109">
        <f>CWC!I8</f>
        <v>2861.5050230774723</v>
      </c>
      <c r="J16" s="109">
        <f>CWC!J8</f>
        <v>5055.3255407702018</v>
      </c>
      <c r="L16" s="101" t="s">
        <v>29</v>
      </c>
      <c r="M16" s="1">
        <v>28556</v>
      </c>
    </row>
    <row r="17" spans="2:15" ht="15">
      <c r="B17" s="116" t="s">
        <v>30</v>
      </c>
      <c r="C17" s="118">
        <f>C14-C16</f>
        <v>31663.316094956179</v>
      </c>
      <c r="D17" s="118">
        <f t="shared" ref="D17:J17" si="1">D14-D16</f>
        <v>42575.37861774474</v>
      </c>
      <c r="E17" s="118">
        <f t="shared" si="1"/>
        <v>47843.249797474382</v>
      </c>
      <c r="F17" s="118">
        <f t="shared" si="1"/>
        <v>53696.474062849178</v>
      </c>
      <c r="G17" s="134">
        <f t="shared" si="1"/>
        <v>54226.565825529629</v>
      </c>
      <c r="H17" s="118">
        <f t="shared" si="1"/>
        <v>55946.911544737799</v>
      </c>
      <c r="I17" s="118">
        <f t="shared" si="1"/>
        <v>58145.483676000142</v>
      </c>
      <c r="J17" s="118">
        <f t="shared" si="1"/>
        <v>61636.379991783782</v>
      </c>
      <c r="L17" s="1" t="s">
        <v>31</v>
      </c>
      <c r="M17" s="1">
        <v>9392</v>
      </c>
    </row>
    <row r="18" spans="2:15">
      <c r="B18" s="114" t="s">
        <v>32</v>
      </c>
      <c r="C18" s="119">
        <f>$M$4</f>
        <v>0.11</v>
      </c>
      <c r="D18" s="119">
        <f t="shared" ref="D18:J18" si="2">$M$4</f>
        <v>0.11</v>
      </c>
      <c r="E18" s="119">
        <f t="shared" si="2"/>
        <v>0.11</v>
      </c>
      <c r="F18" s="119">
        <f t="shared" si="2"/>
        <v>0.11</v>
      </c>
      <c r="G18" s="119">
        <f t="shared" si="2"/>
        <v>0.11</v>
      </c>
      <c r="H18" s="119">
        <f t="shared" si="2"/>
        <v>0.11</v>
      </c>
      <c r="I18" s="119">
        <f t="shared" si="2"/>
        <v>0.11</v>
      </c>
      <c r="J18" s="119">
        <f t="shared" si="2"/>
        <v>0.11</v>
      </c>
      <c r="L18" s="102" t="s">
        <v>33</v>
      </c>
      <c r="M18" s="74">
        <v>840</v>
      </c>
    </row>
    <row r="19" spans="2:15">
      <c r="B19" s="110" t="s">
        <v>34</v>
      </c>
      <c r="C19" s="184"/>
      <c r="D19" s="184"/>
      <c r="E19" s="184"/>
      <c r="F19" s="184"/>
      <c r="G19" s="122">
        <f>G17/(1+G18)^G3</f>
        <v>51469.578535500659</v>
      </c>
      <c r="H19" s="123">
        <f t="shared" ref="H19:J19" si="3">H17/(1+H18)^H3</f>
        <v>47840.052639951049</v>
      </c>
      <c r="I19" s="123">
        <f t="shared" si="3"/>
        <v>44792.833980985255</v>
      </c>
      <c r="J19" s="123">
        <f t="shared" si="3"/>
        <v>42776.642894494864</v>
      </c>
    </row>
    <row r="20" spans="2:15">
      <c r="L20" s="1" t="s">
        <v>35</v>
      </c>
      <c r="M20" s="103">
        <f>M13+M15+M16-M17-M18</f>
        <v>862315.75146835484</v>
      </c>
    </row>
    <row r="21" spans="2:15">
      <c r="B21" s="151" t="s">
        <v>36</v>
      </c>
      <c r="C21" s="151"/>
      <c r="D21" s="152">
        <f>D6/C6-1</f>
        <v>0.17576686796624852</v>
      </c>
      <c r="E21" s="152">
        <f>E6/D6-1</f>
        <v>6.8460644554639849E-2</v>
      </c>
      <c r="F21" s="152">
        <f>F6/E6-1</f>
        <v>5.9906265437351891E-2</v>
      </c>
      <c r="G21" s="152">
        <v>1.2999999999999999E-2</v>
      </c>
      <c r="H21" s="152">
        <v>0.04</v>
      </c>
      <c r="I21" s="152">
        <v>0.06</v>
      </c>
      <c r="J21" s="152">
        <v>0.1</v>
      </c>
      <c r="N21" s="3"/>
    </row>
    <row r="22" spans="2:15">
      <c r="L22" s="142" t="s">
        <v>37</v>
      </c>
      <c r="M22" s="143">
        <v>361.81</v>
      </c>
    </row>
    <row r="23" spans="2:15">
      <c r="B23" s="154"/>
      <c r="C23" s="155">
        <v>0.09</v>
      </c>
      <c r="D23" s="155">
        <v>0.1</v>
      </c>
      <c r="E23" s="185">
        <v>0.11</v>
      </c>
      <c r="F23" s="156">
        <v>0.12</v>
      </c>
      <c r="G23" s="156">
        <v>0.13250000000000001</v>
      </c>
      <c r="H23" s="98"/>
      <c r="I23" s="98"/>
      <c r="J23" s="98"/>
      <c r="L23" s="1" t="s">
        <v>38</v>
      </c>
      <c r="M23" s="103">
        <f>M20/M22</f>
        <v>2383.3386348314166</v>
      </c>
    </row>
    <row r="24" spans="2:15">
      <c r="B24" s="157">
        <v>3.5000000000000003E-2</v>
      </c>
      <c r="C24" s="158">
        <v>3034</v>
      </c>
      <c r="D24" s="158">
        <v>2590</v>
      </c>
      <c r="E24" s="153">
        <v>2265</v>
      </c>
      <c r="F24" s="158">
        <v>2016</v>
      </c>
      <c r="G24" s="158">
        <v>1777</v>
      </c>
      <c r="L24" s="142" t="s">
        <v>39</v>
      </c>
      <c r="M24" s="191">
        <v>2905.4</v>
      </c>
      <c r="N24" s="103"/>
    </row>
    <row r="25" spans="2:15">
      <c r="B25" s="54">
        <v>0.04</v>
      </c>
      <c r="C25" s="153">
        <v>3274</v>
      </c>
      <c r="D25" s="153">
        <v>2754</v>
      </c>
      <c r="E25" s="15">
        <v>2383</v>
      </c>
      <c r="F25" s="153">
        <v>2105</v>
      </c>
      <c r="G25" s="153">
        <v>1841</v>
      </c>
      <c r="K25" s="74"/>
      <c r="L25" s="170" t="str">
        <f>IF(M23&lt;M24,"Overvalued","Undervalued")</f>
        <v>Overvalued</v>
      </c>
      <c r="M25" s="170"/>
      <c r="N25" s="145"/>
    </row>
    <row r="26" spans="2:15">
      <c r="B26" s="157">
        <v>4.4999999999999998E-2</v>
      </c>
      <c r="C26" s="158">
        <v>3568</v>
      </c>
      <c r="D26" s="159">
        <v>2948</v>
      </c>
      <c r="E26" s="153">
        <v>2520</v>
      </c>
      <c r="F26" s="158">
        <v>2205</v>
      </c>
      <c r="G26" s="158">
        <v>1913</v>
      </c>
      <c r="N26" s="74"/>
    </row>
    <row r="27" spans="2:15" ht="15" customHeight="1">
      <c r="B27" s="157">
        <v>0.05</v>
      </c>
      <c r="C27" s="158">
        <v>3935</v>
      </c>
      <c r="D27" s="158">
        <v>3181</v>
      </c>
      <c r="E27" s="153">
        <v>2679</v>
      </c>
      <c r="F27" s="158">
        <v>2319</v>
      </c>
      <c r="G27" s="158">
        <v>1993</v>
      </c>
      <c r="I27" s="175" t="s">
        <v>40</v>
      </c>
      <c r="J27" s="176"/>
      <c r="K27" s="176"/>
      <c r="L27" s="176"/>
      <c r="M27" s="177"/>
      <c r="N27" s="74"/>
      <c r="O27" s="3"/>
    </row>
    <row r="28" spans="2:15" ht="14.25" customHeight="1">
      <c r="B28" s="157">
        <v>5.5E-2</v>
      </c>
      <c r="C28" s="158">
        <v>4408</v>
      </c>
      <c r="D28" s="158">
        <f>3466</f>
        <v>3466</v>
      </c>
      <c r="E28" s="153">
        <v>2867</v>
      </c>
      <c r="F28" s="158">
        <v>2452</v>
      </c>
      <c r="G28" s="158">
        <v>2084</v>
      </c>
      <c r="I28" s="178"/>
      <c r="J28" s="179"/>
      <c r="K28" s="179"/>
      <c r="L28" s="179"/>
      <c r="M28" s="180"/>
      <c r="N28" s="3"/>
      <c r="O28" s="3"/>
    </row>
    <row r="29" spans="2:15">
      <c r="B29" s="157">
        <v>0.06</v>
      </c>
      <c r="C29" s="158">
        <v>5031</v>
      </c>
      <c r="D29" s="158">
        <v>3288</v>
      </c>
      <c r="E29" s="153">
        <v>3093</v>
      </c>
      <c r="F29" s="158">
        <v>2606</v>
      </c>
      <c r="G29" s="158">
        <v>2186</v>
      </c>
      <c r="I29" s="181"/>
      <c r="J29" s="182"/>
      <c r="K29" s="182"/>
      <c r="L29" s="182"/>
      <c r="M29" s="183"/>
      <c r="N29" s="146"/>
      <c r="O29" s="74"/>
    </row>
    <row r="30" spans="2:15">
      <c r="B30" s="157">
        <v>6.5000000000000002E-2</v>
      </c>
      <c r="C30" s="158">
        <v>5920</v>
      </c>
      <c r="D30" s="158">
        <v>4280</v>
      </c>
      <c r="E30" s="153">
        <v>3369</v>
      </c>
      <c r="F30" s="158">
        <v>2788</v>
      </c>
      <c r="G30" s="158">
        <v>2304</v>
      </c>
      <c r="O30" s="74"/>
    </row>
    <row r="31" spans="2:15">
      <c r="O31" s="74"/>
    </row>
    <row r="32" spans="2:15">
      <c r="O32" s="147"/>
    </row>
  </sheetData>
  <mergeCells count="3">
    <mergeCell ref="B1:F2"/>
    <mergeCell ref="L25:M25"/>
    <mergeCell ref="I27:M29"/>
  </mergeCells>
  <dataValidations count="2">
    <dataValidation type="list" allowBlank="1" showInputMessage="1" showErrorMessage="1" sqref="L3" xr:uid="{9B03DD36-7C38-4CDE-A733-2B227A1DAABA}">
      <formula1>"1,2,3,4,5"</formula1>
    </dataValidation>
    <dataValidation type="list" allowBlank="1" showInputMessage="1" showErrorMessage="1" sqref="M3" xr:uid="{69C0D0E9-1A00-45CE-A790-2B2DA9866A4F}">
      <formula1>"1,2,3,4,5,6,7"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67E-5C3B-404C-B307-FCA155C8F240}">
  <dimension ref="B1:S33"/>
  <sheetViews>
    <sheetView workbookViewId="0">
      <selection activeCell="G4" sqref="G4"/>
    </sheetView>
  </sheetViews>
  <sheetFormatPr defaultRowHeight="15"/>
  <cols>
    <col min="1" max="1" width="2" customWidth="1"/>
    <col min="2" max="2" width="36" bestFit="1" customWidth="1"/>
    <col min="3" max="3" width="9.7109375" bestFit="1" customWidth="1"/>
  </cols>
  <sheetData>
    <row r="1" spans="2:14" ht="21">
      <c r="B1" s="4" t="s">
        <v>41</v>
      </c>
    </row>
    <row r="2" spans="2:14">
      <c r="B2" s="171" t="s">
        <v>42</v>
      </c>
      <c r="C2" s="171"/>
      <c r="D2" s="171"/>
      <c r="E2" s="171"/>
      <c r="F2" s="171"/>
      <c r="G2" s="172" t="s">
        <v>43</v>
      </c>
      <c r="H2" s="173"/>
      <c r="I2" s="173"/>
      <c r="J2" s="173"/>
    </row>
    <row r="3" spans="2:14">
      <c r="B3" s="5" t="s">
        <v>13</v>
      </c>
      <c r="C3" s="5" t="s">
        <v>4</v>
      </c>
      <c r="D3" s="5" t="s">
        <v>5</v>
      </c>
      <c r="E3" s="5" t="s">
        <v>6</v>
      </c>
      <c r="F3" s="5" t="s">
        <v>7</v>
      </c>
      <c r="G3" s="72" t="s">
        <v>8</v>
      </c>
      <c r="H3" s="73" t="s">
        <v>9</v>
      </c>
      <c r="I3" s="73" t="s">
        <v>10</v>
      </c>
      <c r="J3" s="73" t="s">
        <v>11</v>
      </c>
    </row>
    <row r="4" spans="2:14">
      <c r="B4" s="75" t="s">
        <v>15</v>
      </c>
      <c r="C4" s="13">
        <v>191754</v>
      </c>
      <c r="D4" s="13">
        <v>225458</v>
      </c>
      <c r="E4" s="13">
        <v>240893</v>
      </c>
      <c r="F4" s="99">
        <v>255324</v>
      </c>
      <c r="G4" s="79">
        <f>F4*(1+DCF!G21)</f>
        <v>258643.21199999997</v>
      </c>
      <c r="H4" s="79">
        <f>G4*(1+DCF!H21)</f>
        <v>268988.94047999999</v>
      </c>
      <c r="I4" s="79">
        <f>H4*(1+DCF!I21)</f>
        <v>285128.27690880001</v>
      </c>
      <c r="J4" s="79">
        <f>I4*(1+DCF!J21)</f>
        <v>313641.10459968005</v>
      </c>
    </row>
    <row r="5" spans="2:14">
      <c r="B5" s="75" t="s">
        <v>44</v>
      </c>
      <c r="C5" s="13">
        <v>4018</v>
      </c>
      <c r="D5" s="13">
        <v>3449</v>
      </c>
      <c r="E5" s="13">
        <v>4422</v>
      </c>
      <c r="F5" s="13">
        <v>3962</v>
      </c>
      <c r="G5" s="78">
        <v>4000</v>
      </c>
      <c r="H5" s="79">
        <v>4000</v>
      </c>
      <c r="I5" s="79">
        <v>4000</v>
      </c>
      <c r="J5" s="79">
        <v>4000</v>
      </c>
    </row>
    <row r="6" spans="2:14">
      <c r="B6" s="75" t="s">
        <v>45</v>
      </c>
      <c r="C6" s="13">
        <f>SUM(C4:C5)</f>
        <v>195772</v>
      </c>
      <c r="D6" s="13">
        <f>SUM(D4:D5)</f>
        <v>228907</v>
      </c>
      <c r="E6" s="13">
        <f>SUM(E4:E5)</f>
        <v>245315</v>
      </c>
      <c r="F6" s="99">
        <f>SUM(F4:F5)</f>
        <v>259286</v>
      </c>
      <c r="G6" s="13">
        <f>SUM(G4:G5)</f>
        <v>262643.21199999994</v>
      </c>
      <c r="H6" s="13">
        <f>SUM(H4:H5)</f>
        <v>272988.94047999999</v>
      </c>
      <c r="I6" s="13">
        <f>SUM(I4:I5)</f>
        <v>289128.27690880001</v>
      </c>
      <c r="J6" s="13">
        <f>SUM(J4:J5)</f>
        <v>317641.10459968005</v>
      </c>
    </row>
    <row r="7" spans="2:14">
      <c r="B7" s="75" t="s">
        <v>46</v>
      </c>
      <c r="C7" s="13"/>
      <c r="D7" s="13"/>
      <c r="E7" s="13"/>
      <c r="F7" s="13"/>
      <c r="G7" s="76"/>
      <c r="H7" s="77"/>
      <c r="I7" s="77"/>
      <c r="J7" s="77"/>
    </row>
    <row r="8" spans="2:14">
      <c r="B8" s="80" t="s">
        <v>47</v>
      </c>
      <c r="C8" s="13">
        <v>-107554</v>
      </c>
      <c r="D8" s="13">
        <v>-127522</v>
      </c>
      <c r="E8" s="13">
        <v>-140131</v>
      </c>
      <c r="F8" s="13">
        <v>-145788</v>
      </c>
      <c r="G8" s="78">
        <f>-G4*G23</f>
        <v>-147375.91691229827</v>
      </c>
      <c r="H8" s="79">
        <f>-H4*H23</f>
        <v>-153270.95358879023</v>
      </c>
      <c r="I8" s="79">
        <f>-I4*I23</f>
        <v>-162467.21080411764</v>
      </c>
      <c r="J8" s="79">
        <f>-J4*J23</f>
        <v>-178713.93188452945</v>
      </c>
    </row>
    <row r="9" spans="2:14">
      <c r="B9" s="80" t="s">
        <v>48</v>
      </c>
      <c r="C9" s="13">
        <v>-1163</v>
      </c>
      <c r="D9" s="13">
        <v>-1881</v>
      </c>
      <c r="E9" s="13">
        <v>-3702</v>
      </c>
      <c r="F9" s="13">
        <v>-11648</v>
      </c>
      <c r="G9" s="78">
        <f>-G4*G24</f>
        <v>-4875.1895238628013</v>
      </c>
      <c r="H9" s="79">
        <f>-H4*H24</f>
        <v>-5070.1971048173136</v>
      </c>
      <c r="I9" s="79">
        <f>-I4*I24</f>
        <v>-5374.4089311063526</v>
      </c>
      <c r="J9" s="79">
        <f>-J4*J24</f>
        <v>-5911.849824216989</v>
      </c>
      <c r="L9" s="2"/>
      <c r="M9" s="33"/>
    </row>
    <row r="10" spans="2:14">
      <c r="B10" s="80" t="s">
        <v>49</v>
      </c>
      <c r="C10" s="13">
        <v>-29980</v>
      </c>
      <c r="D10" s="13">
        <v>-36796</v>
      </c>
      <c r="E10" s="13">
        <v>-32764</v>
      </c>
      <c r="F10" s="13">
        <v>-30481</v>
      </c>
      <c r="G10" s="78">
        <f>-G4*G25</f>
        <v>-37176.33800147086</v>
      </c>
      <c r="H10" s="79">
        <f>-H4*H25</f>
        <v>-38663.391521529695</v>
      </c>
      <c r="I10" s="79">
        <f>-I4*I25</f>
        <v>-40983.195012821481</v>
      </c>
      <c r="J10" s="79">
        <f>-J4*J25</f>
        <v>-45081.514514103634</v>
      </c>
      <c r="L10" s="2"/>
    </row>
    <row r="11" spans="2:14">
      <c r="B11" s="81" t="s">
        <v>50</v>
      </c>
      <c r="C11" s="82">
        <f>SUM(C6:C10)</f>
        <v>57075</v>
      </c>
      <c r="D11" s="82">
        <f t="shared" ref="D11:J11" si="0">SUM(D6:D10)</f>
        <v>62708</v>
      </c>
      <c r="E11" s="82">
        <f t="shared" si="0"/>
        <v>68718</v>
      </c>
      <c r="F11" s="100">
        <f t="shared" si="0"/>
        <v>71369</v>
      </c>
      <c r="G11" s="82">
        <f t="shared" si="0"/>
        <v>73215.767562368012</v>
      </c>
      <c r="H11" s="82">
        <f t="shared" si="0"/>
        <v>75984.398264862743</v>
      </c>
      <c r="I11" s="82">
        <f t="shared" si="0"/>
        <v>80303.462160754527</v>
      </c>
      <c r="J11" s="82">
        <f t="shared" si="0"/>
        <v>87933.808376829969</v>
      </c>
      <c r="L11" s="2"/>
      <c r="N11" s="9"/>
    </row>
    <row r="12" spans="2:14">
      <c r="B12" s="84" t="s">
        <v>51</v>
      </c>
      <c r="C12" s="13">
        <f>C27+C28+C30</f>
        <v>4604</v>
      </c>
      <c r="D12" s="13">
        <f>D27+D28+D30</f>
        <v>5022</v>
      </c>
      <c r="E12" s="13">
        <f>E27+E28+E30</f>
        <v>4985</v>
      </c>
      <c r="F12" s="13">
        <f>F27+F28+F30</f>
        <v>5242</v>
      </c>
      <c r="G12" s="85">
        <f>G27+G28+G30</f>
        <v>5219.75</v>
      </c>
      <c r="H12" s="86">
        <f>H27+H28+H30</f>
        <v>5353.75</v>
      </c>
      <c r="I12" s="86">
        <f>I27+I28+I30</f>
        <v>5502.75</v>
      </c>
      <c r="J12" s="86">
        <f>J27+J28+J30</f>
        <v>5666.75</v>
      </c>
      <c r="N12" s="9"/>
    </row>
    <row r="13" spans="2:14">
      <c r="B13" s="81" t="s">
        <v>18</v>
      </c>
      <c r="C13" s="82">
        <f t="shared" ref="C13:F13" si="1">C11-C12</f>
        <v>52471</v>
      </c>
      <c r="D13" s="82">
        <f t="shared" si="1"/>
        <v>57686</v>
      </c>
      <c r="E13" s="82">
        <f t="shared" si="1"/>
        <v>63733</v>
      </c>
      <c r="F13" s="82">
        <f t="shared" si="1"/>
        <v>66127</v>
      </c>
      <c r="G13" s="83">
        <f>G11-G12</f>
        <v>67996.017562368012</v>
      </c>
      <c r="H13" s="82">
        <f t="shared" ref="H13:J13" si="2">H11-H12</f>
        <v>70630.648264862743</v>
      </c>
      <c r="I13" s="82">
        <f>I11-I12</f>
        <v>74800.712160754527</v>
      </c>
      <c r="J13" s="82">
        <f t="shared" si="2"/>
        <v>82267.058376829969</v>
      </c>
      <c r="N13" s="9"/>
    </row>
    <row r="14" spans="2:14">
      <c r="B14" s="75" t="s">
        <v>52</v>
      </c>
      <c r="C14" s="87">
        <v>784</v>
      </c>
      <c r="D14" s="87">
        <v>779</v>
      </c>
      <c r="E14" s="87">
        <v>778</v>
      </c>
      <c r="F14" s="87">
        <v>796</v>
      </c>
      <c r="G14" s="78">
        <v>754</v>
      </c>
      <c r="H14" s="79">
        <v>754</v>
      </c>
      <c r="I14" s="79">
        <v>754</v>
      </c>
      <c r="J14" s="79">
        <v>754</v>
      </c>
      <c r="M14" s="2"/>
    </row>
    <row r="15" spans="2:14">
      <c r="B15" s="81" t="s">
        <v>53</v>
      </c>
      <c r="C15" s="82">
        <f t="shared" ref="C15:J15" si="3">C13-C14</f>
        <v>51687</v>
      </c>
      <c r="D15" s="82">
        <f t="shared" si="3"/>
        <v>56907</v>
      </c>
      <c r="E15" s="82">
        <f t="shared" si="3"/>
        <v>62955</v>
      </c>
      <c r="F15" s="82">
        <f t="shared" si="3"/>
        <v>65331</v>
      </c>
      <c r="G15" s="83">
        <f t="shared" si="3"/>
        <v>67242.017562368012</v>
      </c>
      <c r="H15" s="82">
        <f t="shared" si="3"/>
        <v>69876.648264862743</v>
      </c>
      <c r="I15" s="82">
        <f t="shared" si="3"/>
        <v>74046.712160754527</v>
      </c>
      <c r="J15" s="82">
        <f t="shared" si="3"/>
        <v>81513.058376829969</v>
      </c>
    </row>
    <row r="16" spans="2:14">
      <c r="B16" s="75" t="s">
        <v>54</v>
      </c>
      <c r="C16" s="13">
        <v>13654</v>
      </c>
      <c r="D16" s="13">
        <v>14757</v>
      </c>
      <c r="E16" s="13">
        <v>15864</v>
      </c>
      <c r="F16" s="13">
        <v>16910</v>
      </c>
      <c r="G16" s="78">
        <f>G15*G33</f>
        <v>17387.274992906598</v>
      </c>
      <c r="H16" s="79">
        <f>H15*H33</f>
        <v>18068.531299449482</v>
      </c>
      <c r="I16" s="79">
        <f>I15*I33</f>
        <v>19146.816132717777</v>
      </c>
      <c r="J16" s="79">
        <f>J15*J33</f>
        <v>21077.44551531686</v>
      </c>
    </row>
    <row r="17" spans="2:19">
      <c r="B17" s="88" t="s">
        <v>55</v>
      </c>
      <c r="C17" s="89">
        <f t="shared" ref="C17:J17" si="4">C15-C16</f>
        <v>38033</v>
      </c>
      <c r="D17" s="89">
        <f t="shared" si="4"/>
        <v>42150</v>
      </c>
      <c r="E17" s="89">
        <f t="shared" si="4"/>
        <v>47091</v>
      </c>
      <c r="F17" s="89">
        <f t="shared" si="4"/>
        <v>48421</v>
      </c>
      <c r="G17" s="90">
        <f t="shared" si="4"/>
        <v>49854.742569461414</v>
      </c>
      <c r="H17" s="89">
        <f t="shared" si="4"/>
        <v>51808.116965413261</v>
      </c>
      <c r="I17" s="89">
        <f t="shared" si="4"/>
        <v>54899.896028036746</v>
      </c>
      <c r="J17" s="89">
        <f t="shared" si="4"/>
        <v>60435.612861513109</v>
      </c>
    </row>
    <row r="18" spans="2:19">
      <c r="O18" s="37"/>
      <c r="P18" s="37"/>
      <c r="Q18" s="37"/>
      <c r="R18" s="37"/>
      <c r="S18" s="37"/>
    </row>
    <row r="20" spans="2:19">
      <c r="B20" s="6" t="s">
        <v>56</v>
      </c>
      <c r="L20" s="36"/>
      <c r="M20" s="36"/>
      <c r="N20" s="36"/>
      <c r="O20" s="36"/>
      <c r="P20" s="36"/>
    </row>
    <row r="21" spans="2:19">
      <c r="B21" s="7" t="s">
        <v>15</v>
      </c>
      <c r="C21" s="8"/>
      <c r="D21" s="8">
        <f t="shared" ref="D21:J21" si="5">D4/C4-1</f>
        <v>0.17576686796624852</v>
      </c>
      <c r="E21" s="8">
        <f t="shared" si="5"/>
        <v>6.8460644554639849E-2</v>
      </c>
      <c r="F21" s="8">
        <f t="shared" si="5"/>
        <v>5.9906265437351891E-2</v>
      </c>
      <c r="G21" s="65">
        <f t="shared" si="5"/>
        <v>1.2999999999999901E-2</v>
      </c>
      <c r="H21" s="65">
        <f t="shared" si="5"/>
        <v>4.0000000000000036E-2</v>
      </c>
      <c r="I21" s="65">
        <f t="shared" si="5"/>
        <v>6.0000000000000053E-2</v>
      </c>
      <c r="J21" s="65">
        <f>J4/I4-1</f>
        <v>0.10000000000000009</v>
      </c>
      <c r="M21" s="36"/>
      <c r="N21" s="36"/>
      <c r="O21" s="36"/>
    </row>
    <row r="22" spans="2:19">
      <c r="B22" s="7" t="s">
        <v>57</v>
      </c>
      <c r="C22" s="8">
        <f>C5/C$4</f>
        <v>2.0953930556859308E-2</v>
      </c>
      <c r="D22" s="8">
        <f>D5/D$4</f>
        <v>1.5297749469967798E-2</v>
      </c>
      <c r="E22" s="8">
        <f>E5/E$4</f>
        <v>1.8356697786984264E-2</v>
      </c>
      <c r="F22" s="8">
        <f>F5/F$4</f>
        <v>1.5517538500101831E-2</v>
      </c>
      <c r="G22" s="65">
        <f>AVERAGE(C22:F22)</f>
        <v>1.7531479078478299E-2</v>
      </c>
      <c r="H22" s="65">
        <f>G22</f>
        <v>1.7531479078478299E-2</v>
      </c>
      <c r="I22" s="65">
        <f t="shared" ref="I22:J22" si="6">H22</f>
        <v>1.7531479078478299E-2</v>
      </c>
      <c r="J22" s="65">
        <f t="shared" si="6"/>
        <v>1.7531479078478299E-2</v>
      </c>
      <c r="L22" s="34"/>
      <c r="M22" s="34"/>
      <c r="N22" s="36"/>
      <c r="O22" s="34"/>
    </row>
    <row r="23" spans="2:19">
      <c r="B23" s="40" t="s">
        <v>47</v>
      </c>
      <c r="C23" s="46">
        <f t="shared" ref="C23:F23" si="7">-C8/C$4</f>
        <v>0.56089573098866252</v>
      </c>
      <c r="D23" s="46">
        <f t="shared" si="7"/>
        <v>0.56561310754109417</v>
      </c>
      <c r="E23" s="46">
        <f t="shared" si="7"/>
        <v>0.5817147032084784</v>
      </c>
      <c r="F23" s="46">
        <f t="shared" si="7"/>
        <v>0.57099215114912816</v>
      </c>
      <c r="G23" s="66">
        <f>AVERAGE(C23:F23)</f>
        <v>0.56980392322184081</v>
      </c>
      <c r="H23" s="66">
        <f>G23</f>
        <v>0.56980392322184081</v>
      </c>
      <c r="I23" s="66">
        <f t="shared" ref="I23:J23" si="8">H23</f>
        <v>0.56980392322184081</v>
      </c>
      <c r="J23" s="66">
        <f t="shared" si="8"/>
        <v>0.56980392322184081</v>
      </c>
      <c r="M23" s="36"/>
      <c r="N23" s="35"/>
    </row>
    <row r="24" spans="2:19">
      <c r="B24" s="42" t="s">
        <v>48</v>
      </c>
      <c r="C24" s="45">
        <f t="shared" ref="C24:F24" si="9">-C9/C$4</f>
        <v>6.0650625280307064E-3</v>
      </c>
      <c r="D24" s="45">
        <f t="shared" si="9"/>
        <v>8.3430173247345408E-3</v>
      </c>
      <c r="E24" s="45">
        <f t="shared" si="9"/>
        <v>1.5367818907149647E-2</v>
      </c>
      <c r="F24" s="45">
        <f t="shared" si="9"/>
        <v>4.5620466544468989E-2</v>
      </c>
      <c r="G24" s="67">
        <f>AVERAGE(C24:F24)</f>
        <v>1.8849091326095972E-2</v>
      </c>
      <c r="H24" s="67">
        <f>G24</f>
        <v>1.8849091326095972E-2</v>
      </c>
      <c r="I24" s="67">
        <f t="shared" ref="I24:J24" si="10">H24</f>
        <v>1.8849091326095972E-2</v>
      </c>
      <c r="J24" s="67">
        <f t="shared" si="10"/>
        <v>1.8849091326095972E-2</v>
      </c>
    </row>
    <row r="25" spans="2:19">
      <c r="B25" s="47" t="s">
        <v>49</v>
      </c>
      <c r="C25" s="48">
        <f t="shared" ref="C25:F25" si="11">-C10/C$4</f>
        <v>0.15634615184037881</v>
      </c>
      <c r="D25" s="48">
        <f t="shared" si="11"/>
        <v>0.16320556378571618</v>
      </c>
      <c r="E25" s="48">
        <f t="shared" si="11"/>
        <v>0.13601059391514075</v>
      </c>
      <c r="F25" s="48">
        <f t="shared" si="11"/>
        <v>0.11938164841534678</v>
      </c>
      <c r="G25" s="68">
        <f>AVERAGE(C25:F25)</f>
        <v>0.14373598948914562</v>
      </c>
      <c r="H25" s="68">
        <f>G25</f>
        <v>0.14373598948914562</v>
      </c>
      <c r="I25" s="68">
        <f t="shared" ref="I25:J25" si="12">H25</f>
        <v>0.14373598948914562</v>
      </c>
      <c r="J25" s="68">
        <f t="shared" si="12"/>
        <v>0.14373598948914562</v>
      </c>
      <c r="N25" s="10"/>
    </row>
    <row r="26" spans="2:19">
      <c r="B26" s="39" t="s">
        <v>51</v>
      </c>
      <c r="C26" s="8"/>
      <c r="D26" s="8"/>
      <c r="E26" s="8"/>
      <c r="F26" s="8"/>
      <c r="G26" s="65"/>
      <c r="H26" s="65"/>
      <c r="I26" s="65"/>
      <c r="J26" s="65"/>
      <c r="N26" s="10"/>
    </row>
    <row r="27" spans="2:19">
      <c r="B27" s="7" t="s">
        <v>58</v>
      </c>
      <c r="C27" s="38">
        <v>2689</v>
      </c>
      <c r="D27" s="38">
        <v>2892</v>
      </c>
      <c r="E27" s="38">
        <v>2790</v>
      </c>
      <c r="F27" s="38">
        <v>2695</v>
      </c>
      <c r="G27" s="69">
        <f>AVERAGE(C27:F27)</f>
        <v>2766.5</v>
      </c>
      <c r="H27" s="69">
        <f>G27</f>
        <v>2766.5</v>
      </c>
      <c r="I27" s="69">
        <f t="shared" ref="I27:J27" si="13">H27</f>
        <v>2766.5</v>
      </c>
      <c r="J27" s="69">
        <f t="shared" si="13"/>
        <v>2766.5</v>
      </c>
      <c r="N27" s="10"/>
    </row>
    <row r="28" spans="2:19">
      <c r="B28" s="7" t="s">
        <v>59</v>
      </c>
      <c r="C28" s="38">
        <f>1560</f>
        <v>1560</v>
      </c>
      <c r="D28" s="38">
        <f>1634</f>
        <v>1634</v>
      </c>
      <c r="E28" s="38">
        <f>1716</f>
        <v>1716</v>
      </c>
      <c r="F28" s="38">
        <f>1820</f>
        <v>1820</v>
      </c>
      <c r="G28" s="69">
        <f>F28+G29</f>
        <v>1939</v>
      </c>
      <c r="H28" s="69">
        <f t="shared" ref="H28:J28" si="14">G28+H29</f>
        <v>2073</v>
      </c>
      <c r="I28" s="69">
        <f t="shared" si="14"/>
        <v>2222</v>
      </c>
      <c r="J28" s="69">
        <f t="shared" si="14"/>
        <v>2386</v>
      </c>
      <c r="N28" s="10"/>
    </row>
    <row r="29" spans="2:19">
      <c r="B29" s="7" t="s">
        <v>60</v>
      </c>
      <c r="C29" s="38"/>
      <c r="D29" s="38">
        <f>D28-C28</f>
        <v>74</v>
      </c>
      <c r="E29" s="38">
        <f t="shared" ref="E29:F29" si="15">E28-D28</f>
        <v>82</v>
      </c>
      <c r="F29" s="38">
        <f t="shared" si="15"/>
        <v>104</v>
      </c>
      <c r="G29" s="69">
        <f>F29+15</f>
        <v>119</v>
      </c>
      <c r="H29" s="69">
        <f t="shared" ref="H29:J29" si="16">G29+15</f>
        <v>134</v>
      </c>
      <c r="I29" s="69">
        <f t="shared" si="16"/>
        <v>149</v>
      </c>
      <c r="J29" s="69">
        <f t="shared" si="16"/>
        <v>164</v>
      </c>
      <c r="N29" s="10"/>
    </row>
    <row r="30" spans="2:19">
      <c r="B30" s="7" t="s">
        <v>61</v>
      </c>
      <c r="C30" s="38">
        <v>355</v>
      </c>
      <c r="D30" s="38">
        <v>496</v>
      </c>
      <c r="E30" s="38">
        <v>479</v>
      </c>
      <c r="F30" s="38">
        <v>727</v>
      </c>
      <c r="G30" s="69">
        <f>AVERAGE(C30:F30)</f>
        <v>514.25</v>
      </c>
      <c r="H30" s="69">
        <f>G30</f>
        <v>514.25</v>
      </c>
      <c r="I30" s="69">
        <f t="shared" ref="I30:J30" si="17">H30</f>
        <v>514.25</v>
      </c>
      <c r="J30" s="69">
        <f t="shared" si="17"/>
        <v>514.25</v>
      </c>
      <c r="N30" s="10"/>
    </row>
    <row r="31" spans="2:19">
      <c r="B31" s="40" t="s">
        <v>62</v>
      </c>
      <c r="C31" s="41">
        <f>C14/C4</f>
        <v>4.0885718159725483E-3</v>
      </c>
      <c r="D31" s="41">
        <f>D14/D4</f>
        <v>3.4551889930718805E-3</v>
      </c>
      <c r="E31" s="41">
        <f>E14/E4</f>
        <v>3.2296496784879592E-3</v>
      </c>
      <c r="F31" s="41">
        <f>F14/F4</f>
        <v>3.1176074321254562E-3</v>
      </c>
      <c r="G31" s="70">
        <f>G14/G4</f>
        <v>2.9152127912794403E-3</v>
      </c>
      <c r="H31" s="70">
        <f>H14/H4</f>
        <v>2.8030892223840772E-3</v>
      </c>
      <c r="I31" s="70">
        <f>I14/I4</f>
        <v>2.6444237947019595E-3</v>
      </c>
      <c r="J31" s="70">
        <f>J14/J4</f>
        <v>2.4040216315472356E-3</v>
      </c>
      <c r="N31" s="10"/>
    </row>
    <row r="32" spans="2:19">
      <c r="B32" s="42" t="s">
        <v>63</v>
      </c>
      <c r="C32" s="43"/>
      <c r="D32" s="44">
        <f>D31/C31</f>
        <v>0.84508457930804259</v>
      </c>
      <c r="E32" s="44">
        <f>E31/D31</f>
        <v>0.93472446368746887</v>
      </c>
      <c r="F32" s="44">
        <f>O18/E31</f>
        <v>0</v>
      </c>
      <c r="G32" s="71">
        <f>AVERAGE(D32:F32)</f>
        <v>0.59326968099850375</v>
      </c>
      <c r="H32" s="71">
        <f>G32</f>
        <v>0.59326968099850375</v>
      </c>
      <c r="I32" s="71">
        <f t="shared" ref="I32:J33" si="18">H32</f>
        <v>0.59326968099850375</v>
      </c>
      <c r="J32" s="71">
        <f t="shared" si="18"/>
        <v>0.59326968099850375</v>
      </c>
    </row>
    <row r="33" spans="2:14">
      <c r="B33" s="42" t="s">
        <v>54</v>
      </c>
      <c r="C33" s="45">
        <f>C16/C15</f>
        <v>0.26416700524309789</v>
      </c>
      <c r="D33" s="45">
        <f t="shared" ref="D33:F33" si="19">D16/D15</f>
        <v>0.25931783436132638</v>
      </c>
      <c r="E33" s="45">
        <f t="shared" si="19"/>
        <v>0.25198951632118177</v>
      </c>
      <c r="F33" s="45">
        <f t="shared" si="19"/>
        <v>0.25883577474705727</v>
      </c>
      <c r="G33" s="67">
        <f>AVERAGE(C33:F33)</f>
        <v>0.25857753266816585</v>
      </c>
      <c r="H33" s="67">
        <f>G33</f>
        <v>0.25857753266816585</v>
      </c>
      <c r="I33" s="67">
        <f t="shared" si="18"/>
        <v>0.25857753266816585</v>
      </c>
      <c r="J33" s="67">
        <f t="shared" si="18"/>
        <v>0.25857753266816585</v>
      </c>
      <c r="N33" s="10"/>
    </row>
  </sheetData>
  <sheetProtection algorithmName="SHA-512" hashValue="iC5fjgl8x5FIsQ11RZ3juLhaAFRaRzfoo4yAcZIrMYgBGFVUNT7pipEF2E/fWX7K9MDynnxXOLL6h2a17+fixA==" saltValue="NStDGTT8HjLfz05noXbLsw==" spinCount="100000" sheet="1" objects="1" scenarios="1"/>
  <mergeCells count="2">
    <mergeCell ref="B2:F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F30C-CFC1-4597-8162-5BECF1A40B8F}">
  <dimension ref="B1:V22"/>
  <sheetViews>
    <sheetView workbookViewId="0">
      <selection activeCell="C3" sqref="C3"/>
    </sheetView>
  </sheetViews>
  <sheetFormatPr defaultRowHeight="14.25"/>
  <cols>
    <col min="1" max="1" width="2" style="1" customWidth="1"/>
    <col min="2" max="2" width="28.28515625" style="1" customWidth="1"/>
    <col min="3" max="6" width="9.140625" style="1"/>
    <col min="7" max="7" width="9.7109375" style="1" bestFit="1" customWidth="1"/>
    <col min="8" max="12" width="9.140625" style="1"/>
    <col min="13" max="13" width="16" style="1" bestFit="1" customWidth="1"/>
    <col min="14" max="16384" width="9.140625" style="1"/>
  </cols>
  <sheetData>
    <row r="1" spans="2:22" ht="15">
      <c r="B1" s="20" t="s">
        <v>64</v>
      </c>
    </row>
    <row r="3" spans="2:22">
      <c r="B3" s="11" t="s">
        <v>65</v>
      </c>
      <c r="C3" s="11" t="str">
        <f>'income statement'!C3</f>
        <v>2021-22</v>
      </c>
      <c r="D3" s="11" t="str">
        <f>'income statement'!D3</f>
        <v>2022-23</v>
      </c>
      <c r="E3" s="11" t="str">
        <f>'income statement'!E3</f>
        <v>2023-24</v>
      </c>
      <c r="F3" s="11" t="str">
        <f>'income statement'!F3</f>
        <v>2024-25</v>
      </c>
      <c r="G3" s="11" t="str">
        <f>'income statement'!G3</f>
        <v>2025-26</v>
      </c>
      <c r="H3" s="11" t="str">
        <f>'income statement'!H3</f>
        <v>2026-27</v>
      </c>
      <c r="I3" s="11" t="str">
        <f>'income statement'!I3</f>
        <v>2027-28</v>
      </c>
      <c r="J3" s="11" t="str">
        <f>'income statement'!J3</f>
        <v>2028-29</v>
      </c>
      <c r="K3" s="30"/>
    </row>
    <row r="4" spans="2:22" ht="15">
      <c r="B4" s="12" t="s">
        <v>66</v>
      </c>
      <c r="C4" s="13">
        <v>11110</v>
      </c>
      <c r="D4" s="13">
        <v>10774</v>
      </c>
      <c r="E4" s="12">
        <v>10230</v>
      </c>
      <c r="F4" s="13">
        <f>E7</f>
        <v>9376</v>
      </c>
      <c r="G4" s="13">
        <f>F7</f>
        <v>10978</v>
      </c>
      <c r="H4" s="15">
        <f>G7</f>
        <v>11364.501429189717</v>
      </c>
      <c r="I4" s="15">
        <f t="shared" ref="I4:K4" si="0">H7</f>
        <v>11052.804100959554</v>
      </c>
      <c r="J4" s="15">
        <f t="shared" si="0"/>
        <v>10856.69882759724</v>
      </c>
      <c r="K4" s="29"/>
      <c r="M4" s="23"/>
      <c r="N4" s="26"/>
      <c r="O4" s="26"/>
      <c r="P4" s="26"/>
      <c r="Q4" s="27"/>
      <c r="R4" s="26"/>
      <c r="S4" s="26"/>
      <c r="T4" s="26"/>
      <c r="U4" s="26"/>
    </row>
    <row r="5" spans="2:22" ht="15">
      <c r="B5" s="12" t="s">
        <v>67</v>
      </c>
      <c r="C5" s="12">
        <v>-1978</v>
      </c>
      <c r="D5" s="12">
        <v>-2588</v>
      </c>
      <c r="E5" s="12">
        <f>-2790+492-65</f>
        <v>-2363</v>
      </c>
      <c r="F5" s="13">
        <f>-2695+866+7</f>
        <v>-1822</v>
      </c>
      <c r="G5" s="13">
        <f>-(C20*G4)+(C21*G4)-(C22*G4)</f>
        <v>-1954.4990099009901</v>
      </c>
      <c r="H5" s="13">
        <f>-(D20*H4)+(D21*H4)-(D22*H4)</f>
        <v>-2735.1171529505232</v>
      </c>
      <c r="I5" s="13">
        <f>-(E20*I4)+(E21*I4)-(E22*I4)</f>
        <v>-2553.0572913555648</v>
      </c>
      <c r="J5" s="13">
        <f>-(F20*J4)+(F21*J4)-(F22*J4)</f>
        <v>-2125.9491304893913</v>
      </c>
      <c r="K5" s="31"/>
      <c r="M5" s="26"/>
      <c r="N5" s="26"/>
      <c r="O5" s="28"/>
      <c r="P5" s="28"/>
      <c r="Q5" s="28"/>
      <c r="R5" s="28"/>
      <c r="S5" s="28"/>
      <c r="T5" s="26"/>
      <c r="U5" s="26"/>
      <c r="V5" s="14"/>
    </row>
    <row r="6" spans="2:22">
      <c r="B6" s="12" t="s">
        <v>25</v>
      </c>
      <c r="C6" s="12">
        <v>1642</v>
      </c>
      <c r="D6" s="12">
        <v>2044</v>
      </c>
      <c r="E6" s="12">
        <f>1923-502+88</f>
        <v>1509</v>
      </c>
      <c r="F6" s="12">
        <f>4306-869-13</f>
        <v>3424</v>
      </c>
      <c r="G6" s="12">
        <f>(G14*G4)-(G15*G4)+(G16*G4)</f>
        <v>2341.0004390907079</v>
      </c>
      <c r="H6" s="15">
        <f>(H14*H4)-(H15*H4)+(H16*H4)</f>
        <v>2423.4198247203594</v>
      </c>
      <c r="I6" s="15">
        <f>(I14*I4)-(I15*I4)+(I16*I4)</f>
        <v>2356.9520179932492</v>
      </c>
      <c r="J6" s="15">
        <f>(J14*J4)-(J15*J4)+(J16*J4)</f>
        <v>2315.1336056185746</v>
      </c>
      <c r="K6" s="29"/>
      <c r="M6" s="26"/>
      <c r="N6" s="28"/>
      <c r="O6" s="28"/>
      <c r="P6" s="28"/>
      <c r="Q6" s="28"/>
      <c r="R6" s="28"/>
      <c r="S6" s="28"/>
      <c r="T6" s="28"/>
      <c r="U6" s="28"/>
      <c r="V6" s="16">
        <f t="shared" ref="T6:V6" si="1">U6</f>
        <v>0</v>
      </c>
    </row>
    <row r="7" spans="2:22">
      <c r="B7" s="17" t="s">
        <v>68</v>
      </c>
      <c r="C7" s="17">
        <f>SUM(C4:C6)</f>
        <v>10774</v>
      </c>
      <c r="D7" s="18">
        <f>SUM(D4:D6)</f>
        <v>10230</v>
      </c>
      <c r="E7" s="17">
        <f>SUM(E4:E6)</f>
        <v>9376</v>
      </c>
      <c r="F7" s="17">
        <f>SUM(F4:F6)</f>
        <v>10978</v>
      </c>
      <c r="G7" s="19">
        <f t="shared" ref="G7:K7" si="2">SUM(G4:G6)</f>
        <v>11364.501429189717</v>
      </c>
      <c r="H7" s="19">
        <f t="shared" si="2"/>
        <v>11052.804100959554</v>
      </c>
      <c r="I7" s="19">
        <f t="shared" si="2"/>
        <v>10856.69882759724</v>
      </c>
      <c r="J7" s="19">
        <f t="shared" si="2"/>
        <v>11045.883302726423</v>
      </c>
      <c r="K7" s="32"/>
    </row>
    <row r="8" spans="2:22">
      <c r="N8" s="29"/>
      <c r="O8" s="29"/>
      <c r="P8" s="29"/>
      <c r="Q8" s="29"/>
      <c r="R8" s="29"/>
    </row>
    <row r="10" spans="2:22">
      <c r="B10" s="23"/>
      <c r="C10" s="24"/>
    </row>
    <row r="11" spans="2:22">
      <c r="B11" s="23"/>
      <c r="C11" s="25"/>
    </row>
    <row r="12" spans="2:22">
      <c r="B12" s="64" t="s">
        <v>25</v>
      </c>
    </row>
    <row r="13" spans="2:22">
      <c r="B13" s="52" t="str">
        <f>B3</f>
        <v>Year</v>
      </c>
      <c r="C13" s="58" t="str">
        <f>C3</f>
        <v>2021-22</v>
      </c>
      <c r="D13" s="58" t="str">
        <f t="shared" ref="D13:K13" si="3">D3</f>
        <v>2022-23</v>
      </c>
      <c r="E13" s="58" t="str">
        <f t="shared" si="3"/>
        <v>2023-24</v>
      </c>
      <c r="F13" s="58" t="str">
        <f t="shared" si="3"/>
        <v>2024-25</v>
      </c>
      <c r="G13" s="58" t="str">
        <f t="shared" si="3"/>
        <v>2025-26</v>
      </c>
      <c r="H13" s="58" t="str">
        <f t="shared" si="3"/>
        <v>2026-27</v>
      </c>
      <c r="I13" s="58" t="str">
        <f t="shared" si="3"/>
        <v>2027-28</v>
      </c>
      <c r="J13" s="61" t="str">
        <f t="shared" si="3"/>
        <v>2028-29</v>
      </c>
      <c r="K13" s="23"/>
    </row>
    <row r="14" spans="2:22">
      <c r="B14" s="49" t="s">
        <v>69</v>
      </c>
      <c r="C14" s="50">
        <f>2345/C4</f>
        <v>0.21107110711071106</v>
      </c>
      <c r="D14" s="50">
        <f>2314/D4</f>
        <v>0.21477631334694636</v>
      </c>
      <c r="E14" s="50">
        <f>1923/E4</f>
        <v>0.18797653958944283</v>
      </c>
      <c r="F14" s="50">
        <f>4306/F4</f>
        <v>0.45925767918088739</v>
      </c>
      <c r="G14" s="50">
        <f>AVERAGE(C14:F14)</f>
        <v>0.2682704098069969</v>
      </c>
      <c r="H14" s="50">
        <v>0.2682704098069969</v>
      </c>
      <c r="I14" s="50">
        <v>0.2682704098069969</v>
      </c>
      <c r="J14" s="51">
        <v>0.2682704098069969</v>
      </c>
      <c r="K14" s="24"/>
      <c r="P14" s="21"/>
    </row>
    <row r="15" spans="2:22">
      <c r="B15" s="52" t="s">
        <v>70</v>
      </c>
      <c r="C15" s="53">
        <f>733/C4</f>
        <v>6.5976597659765976E-2</v>
      </c>
      <c r="D15" s="53">
        <f>458/D4</f>
        <v>4.2509745684054204E-2</v>
      </c>
      <c r="E15" s="53">
        <f>502/E4</f>
        <v>4.9071358748778104E-2</v>
      </c>
      <c r="F15" s="53">
        <f>869/F4</f>
        <v>9.2683447098976107E-2</v>
      </c>
      <c r="G15" s="53">
        <f>AVERAGE(C15:F15)</f>
        <v>6.2560287297893591E-2</v>
      </c>
      <c r="H15" s="53">
        <v>6.2560287297893591E-2</v>
      </c>
      <c r="I15" s="53">
        <v>6.2560287297893591E-2</v>
      </c>
      <c r="J15" s="54">
        <v>6.2560287297893591E-2</v>
      </c>
      <c r="K15" s="24"/>
      <c r="P15" s="21"/>
    </row>
    <row r="16" spans="2:22" ht="28.5">
      <c r="B16" s="55" t="s">
        <v>71</v>
      </c>
      <c r="C16" s="56">
        <f>30/C4</f>
        <v>2.7002700270027003E-3</v>
      </c>
      <c r="D16" s="56">
        <f>188/D4</f>
        <v>1.7449415258956748E-2</v>
      </c>
      <c r="E16" s="56">
        <f>88/E4</f>
        <v>8.6021505376344086E-3</v>
      </c>
      <c r="F16" s="56">
        <f>13/F4</f>
        <v>1.386518771331058E-3</v>
      </c>
      <c r="G16" s="56">
        <f>AVERAGE(C16:F16)</f>
        <v>7.5345886487312285E-3</v>
      </c>
      <c r="H16" s="56">
        <f>G16</f>
        <v>7.5345886487312285E-3</v>
      </c>
      <c r="I16" s="56">
        <f t="shared" ref="I16:K16" si="4">H16</f>
        <v>7.5345886487312285E-3</v>
      </c>
      <c r="J16" s="57">
        <f t="shared" si="4"/>
        <v>7.5345886487312285E-3</v>
      </c>
      <c r="K16" s="24"/>
      <c r="P16" s="21"/>
    </row>
    <row r="17" spans="2:16">
      <c r="K17" s="23"/>
      <c r="P17" s="21"/>
    </row>
    <row r="18" spans="2:16" ht="28.5">
      <c r="B18" s="60" t="s">
        <v>72</v>
      </c>
      <c r="K18" s="23"/>
      <c r="P18" s="21"/>
    </row>
    <row r="19" spans="2:16">
      <c r="B19" s="62" t="s">
        <v>65</v>
      </c>
      <c r="C19" s="22" t="s">
        <v>4</v>
      </c>
      <c r="D19" s="22" t="s">
        <v>5</v>
      </c>
      <c r="E19" s="22" t="s">
        <v>6</v>
      </c>
      <c r="F19" s="22" t="s">
        <v>7</v>
      </c>
      <c r="G19" s="22" t="s">
        <v>8</v>
      </c>
      <c r="H19" s="22" t="s">
        <v>9</v>
      </c>
      <c r="I19" s="22" t="s">
        <v>10</v>
      </c>
      <c r="J19" s="63" t="s">
        <v>11</v>
      </c>
      <c r="K19" s="24"/>
    </row>
    <row r="20" spans="2:16" ht="28.5">
      <c r="B20" s="59" t="s">
        <v>72</v>
      </c>
      <c r="C20" s="53">
        <f>2689/C4</f>
        <v>0.24203420342034204</v>
      </c>
      <c r="D20" s="53">
        <f>2892/D4</f>
        <v>0.2684239836643772</v>
      </c>
      <c r="E20" s="53">
        <f>2790/E4</f>
        <v>0.27272727272727271</v>
      </c>
      <c r="F20" s="53">
        <f>2695/F4</f>
        <v>0.28743600682593856</v>
      </c>
      <c r="G20" s="53">
        <f>AVERAGE(C20:F20)</f>
        <v>0.26765536665948264</v>
      </c>
      <c r="H20" s="53">
        <f>G20</f>
        <v>0.26765536665948264</v>
      </c>
      <c r="I20" s="53">
        <f>H20</f>
        <v>0.26765536665948264</v>
      </c>
      <c r="J20" s="54">
        <f>I20</f>
        <v>0.26765536665948264</v>
      </c>
      <c r="K20" s="24"/>
    </row>
    <row r="21" spans="2:16">
      <c r="B21" s="52" t="s">
        <v>73</v>
      </c>
      <c r="C21" s="53">
        <f>725/C4</f>
        <v>6.5256525652565261E-2</v>
      </c>
      <c r="D21" s="53">
        <f>442/D4</f>
        <v>4.1024689066270652E-2</v>
      </c>
      <c r="E21" s="53">
        <f>492/E4</f>
        <v>4.8093841642228741E-2</v>
      </c>
      <c r="F21" s="53">
        <f>866/F4</f>
        <v>9.2363481228668942E-2</v>
      </c>
      <c r="G21" s="53">
        <f t="shared" ref="G21:G22" si="5">AVERAGE(C21:F21)</f>
        <v>6.1684634397433401E-2</v>
      </c>
      <c r="H21" s="53">
        <f>G21</f>
        <v>6.1684634397433401E-2</v>
      </c>
      <c r="I21" s="53">
        <f>H21</f>
        <v>6.1684634397433401E-2</v>
      </c>
      <c r="J21" s="54">
        <f>I21</f>
        <v>6.1684634397433401E-2</v>
      </c>
      <c r="K21" s="24"/>
    </row>
    <row r="22" spans="2:16" ht="28.5">
      <c r="B22" s="55" t="s">
        <v>71</v>
      </c>
      <c r="C22" s="56">
        <f>14/C4</f>
        <v>1.2601260126012602E-3</v>
      </c>
      <c r="D22" s="56">
        <f>143/D4</f>
        <v>1.3272693521440506E-2</v>
      </c>
      <c r="E22" s="56">
        <f>65/E4</f>
        <v>6.3538611925708704E-3</v>
      </c>
      <c r="F22" s="56">
        <f>7/F4</f>
        <v>7.465870307167236E-4</v>
      </c>
      <c r="G22" s="56">
        <f t="shared" si="5"/>
        <v>5.40831693933234E-3</v>
      </c>
      <c r="H22" s="56">
        <f>G22</f>
        <v>5.40831693933234E-3</v>
      </c>
      <c r="I22" s="56">
        <f>H22</f>
        <v>5.40831693933234E-3</v>
      </c>
      <c r="J22" s="57">
        <f>I22</f>
        <v>5.40831693933234E-3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48AE-A387-4043-992B-591CE9629762}">
  <dimension ref="B2:I21"/>
  <sheetViews>
    <sheetView workbookViewId="0">
      <selection activeCell="H10" sqref="H10"/>
    </sheetView>
  </sheetViews>
  <sheetFormatPr defaultRowHeight="15"/>
  <cols>
    <col min="2" max="2" width="24" bestFit="1" customWidth="1"/>
    <col min="4" max="4" width="12.140625" bestFit="1" customWidth="1"/>
  </cols>
  <sheetData>
    <row r="2" spans="2:5">
      <c r="B2" s="150" t="s">
        <v>74</v>
      </c>
      <c r="C2" s="150"/>
      <c r="D2" s="96" t="s">
        <v>75</v>
      </c>
      <c r="E2" s="97">
        <v>4.4999999999999997E-3</v>
      </c>
    </row>
    <row r="3" spans="2:5">
      <c r="B3" t="s">
        <v>76</v>
      </c>
      <c r="C3" s="34">
        <f>6.498/100</f>
        <v>6.4979999999999996E-2</v>
      </c>
    </row>
    <row r="4" spans="2:5" ht="15.75">
      <c r="B4" t="s">
        <v>77</v>
      </c>
      <c r="C4" s="92">
        <v>7.2599999999999998E-2</v>
      </c>
    </row>
    <row r="5" spans="2:5">
      <c r="B5" t="s">
        <v>78</v>
      </c>
      <c r="C5" s="35">
        <v>0.94</v>
      </c>
    </row>
    <row r="6" spans="2:5">
      <c r="B6" s="168" t="s">
        <v>79</v>
      </c>
      <c r="C6" s="93">
        <f>C3+C5*C4</f>
        <v>0.13322400000000001</v>
      </c>
      <c r="E6" s="34"/>
    </row>
    <row r="9" spans="2:5">
      <c r="B9" t="s">
        <v>80</v>
      </c>
      <c r="C9" s="34">
        <f>C3+E2</f>
        <v>6.948E-2</v>
      </c>
    </row>
    <row r="10" spans="2:5">
      <c r="B10" t="s">
        <v>81</v>
      </c>
      <c r="C10" s="9">
        <v>0.25</v>
      </c>
    </row>
    <row r="11" spans="2:5">
      <c r="B11" s="168" t="s">
        <v>82</v>
      </c>
      <c r="C11" s="93">
        <f>C9*(1-C10)</f>
        <v>5.2110000000000004E-2</v>
      </c>
      <c r="E11" s="34"/>
    </row>
    <row r="14" spans="2:5">
      <c r="B14" t="s">
        <v>83</v>
      </c>
      <c r="C14">
        <v>1048920</v>
      </c>
    </row>
    <row r="15" spans="2:5">
      <c r="B15" t="s">
        <v>84</v>
      </c>
      <c r="C15">
        <v>9392</v>
      </c>
    </row>
    <row r="17" spans="2:9">
      <c r="B17" t="s">
        <v>85</v>
      </c>
      <c r="C17">
        <f>SUM(C14:C15)</f>
        <v>1058312</v>
      </c>
    </row>
    <row r="19" spans="2:9">
      <c r="B19" t="s">
        <v>86</v>
      </c>
      <c r="C19" s="94">
        <f>C14/C17</f>
        <v>0.99112549040358611</v>
      </c>
    </row>
    <row r="20" spans="2:9">
      <c r="B20" t="s">
        <v>87</v>
      </c>
      <c r="C20" s="94">
        <f>C15/C17</f>
        <v>8.8745095964139122E-3</v>
      </c>
    </row>
    <row r="21" spans="2:9">
      <c r="B21" s="87" t="s">
        <v>88</v>
      </c>
      <c r="C21" s="95">
        <f>C19*C6+C20*C11</f>
        <v>0.13250415302859647</v>
      </c>
      <c r="D21" s="34"/>
      <c r="E21" s="186"/>
      <c r="F21" s="186"/>
      <c r="G21" s="186"/>
      <c r="H21" s="186"/>
      <c r="I21" s="1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0F55-B7D5-40AE-B530-D57CA38BC21E}">
  <dimension ref="B3:J12"/>
  <sheetViews>
    <sheetView workbookViewId="0">
      <selection activeCell="N11" sqref="N11"/>
    </sheetView>
  </sheetViews>
  <sheetFormatPr defaultRowHeight="15"/>
  <cols>
    <col min="2" max="2" width="26.28515625" bestFit="1" customWidth="1"/>
  </cols>
  <sheetData>
    <row r="3" spans="2:10">
      <c r="B3" s="161" t="str">
        <f>DCF!B4</f>
        <v>in crores</v>
      </c>
      <c r="C3" s="161" t="str">
        <f>DCF!C4</f>
        <v>2021-22</v>
      </c>
      <c r="D3" s="161" t="str">
        <f>DCF!D4</f>
        <v>2022-23</v>
      </c>
      <c r="E3" s="161" t="str">
        <f>DCF!E4</f>
        <v>2023-24</v>
      </c>
      <c r="F3" s="161" t="str">
        <f>DCF!F4</f>
        <v>2024-25</v>
      </c>
      <c r="G3" s="161" t="str">
        <f>DCF!G4</f>
        <v>2025-26</v>
      </c>
      <c r="H3" s="161" t="str">
        <f>DCF!H4</f>
        <v>2026-27</v>
      </c>
      <c r="I3" s="161" t="str">
        <f>DCF!I4</f>
        <v>2027-28</v>
      </c>
      <c r="J3" s="161" t="str">
        <f>DCF!J4</f>
        <v>2028-29</v>
      </c>
    </row>
    <row r="4" spans="2:10">
      <c r="B4" s="162" t="s">
        <v>89</v>
      </c>
      <c r="C4" s="162">
        <v>41810</v>
      </c>
      <c r="D4" s="162">
        <v>49954</v>
      </c>
      <c r="E4" s="162">
        <v>53577</v>
      </c>
      <c r="F4" s="162">
        <v>59046</v>
      </c>
      <c r="G4" s="162"/>
      <c r="H4" s="162"/>
      <c r="I4" s="162"/>
      <c r="J4" s="162"/>
    </row>
    <row r="5" spans="2:10">
      <c r="B5" s="162" t="s">
        <v>90</v>
      </c>
      <c r="C5" s="162">
        <v>20</v>
      </c>
      <c r="D5" s="162">
        <v>28</v>
      </c>
      <c r="E5" s="162">
        <v>28</v>
      </c>
      <c r="F5" s="162">
        <v>21</v>
      </c>
      <c r="G5" s="162"/>
      <c r="H5" s="162"/>
      <c r="I5" s="162"/>
      <c r="J5" s="162"/>
    </row>
    <row r="6" spans="2:10">
      <c r="B6" s="162" t="s">
        <v>91</v>
      </c>
      <c r="C6" s="163">
        <v>8045</v>
      </c>
      <c r="D6" s="163">
        <v>10515</v>
      </c>
      <c r="E6" s="163">
        <v>9981</v>
      </c>
      <c r="F6" s="163">
        <v>13909</v>
      </c>
      <c r="G6" s="162"/>
      <c r="H6" s="162"/>
      <c r="I6" s="162"/>
      <c r="J6" s="162"/>
    </row>
    <row r="7" spans="2:10">
      <c r="B7" s="165" t="s">
        <v>92</v>
      </c>
      <c r="C7" s="166">
        <f>C4+C5-C6</f>
        <v>33785</v>
      </c>
      <c r="D7" s="166">
        <f t="shared" ref="D7:F7" si="0">D4+D5-D6</f>
        <v>39467</v>
      </c>
      <c r="E7" s="166">
        <f t="shared" si="0"/>
        <v>43624</v>
      </c>
      <c r="F7" s="166">
        <f t="shared" si="0"/>
        <v>45158</v>
      </c>
      <c r="G7" s="167">
        <f>DCF!G6*CWC!G9</f>
        <v>45857.452292908172</v>
      </c>
      <c r="H7" s="167">
        <f>DCF!H6*CWC!H9</f>
        <v>47691.750384624502</v>
      </c>
      <c r="I7" s="167">
        <f>DCF!I6*CWC!I9</f>
        <v>50553.255407701974</v>
      </c>
      <c r="J7" s="167">
        <f>DCF!J6*CWC!J9</f>
        <v>55608.580948472176</v>
      </c>
    </row>
    <row r="8" spans="2:10">
      <c r="B8" s="162" t="s">
        <v>93</v>
      </c>
      <c r="C8" s="162">
        <v>11558</v>
      </c>
      <c r="D8" s="163">
        <f>D7-C7</f>
        <v>5682</v>
      </c>
      <c r="E8" s="163">
        <f t="shared" ref="E8:F8" si="1">E7-D7</f>
        <v>4157</v>
      </c>
      <c r="F8" s="163">
        <f t="shared" si="1"/>
        <v>1534</v>
      </c>
      <c r="G8" s="163">
        <f t="shared" ref="G8" si="2">G7-F7</f>
        <v>699.45229290817224</v>
      </c>
      <c r="H8" s="163">
        <f t="shared" ref="H8" si="3">H7-G7</f>
        <v>1834.2980917163295</v>
      </c>
      <c r="I8" s="163">
        <f t="shared" ref="I8" si="4">I7-H7</f>
        <v>2861.5050230774723</v>
      </c>
      <c r="J8" s="163">
        <f t="shared" ref="J8" si="5">J7-I7</f>
        <v>5055.3255407702018</v>
      </c>
    </row>
    <row r="9" spans="2:10">
      <c r="B9" s="162" t="s">
        <v>94</v>
      </c>
      <c r="C9" s="164">
        <f>C7/'income statement'!C4</f>
        <v>0.17618928418703131</v>
      </c>
      <c r="D9" s="164">
        <f>D7/'income statement'!D4</f>
        <v>0.17505255967852104</v>
      </c>
      <c r="E9" s="164">
        <f>E7/'income statement'!E4</f>
        <v>0.18109285035264619</v>
      </c>
      <c r="F9" s="164">
        <f>F7/'income statement'!F4</f>
        <v>0.17686547288934842</v>
      </c>
      <c r="G9" s="164">
        <f>AVERAGE(C9:F9)</f>
        <v>0.17730004177688674</v>
      </c>
      <c r="H9" s="164">
        <f>G9</f>
        <v>0.17730004177688674</v>
      </c>
      <c r="I9" s="164">
        <f t="shared" ref="I9:J9" si="6">H9</f>
        <v>0.17730004177688674</v>
      </c>
      <c r="J9" s="164">
        <f t="shared" si="6"/>
        <v>0.17730004177688674</v>
      </c>
    </row>
    <row r="12" spans="2:10">
      <c r="C12" s="34"/>
      <c r="D12" s="34"/>
      <c r="E12" s="34"/>
      <c r="F12" s="34"/>
      <c r="G12" s="1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2025-09-21T07:58:23Z</dcterms:created>
  <dcterms:modified xsi:type="dcterms:W3CDTF">2025-09-30T17:18:01Z</dcterms:modified>
  <cp:category/>
  <cp:contentStatus/>
</cp:coreProperties>
</file>